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10" yWindow="405" windowWidth="12900" windowHeight="3285" tabRatio="858"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'DebtSvs-Library'!$B$1:$E$81</definedName>
    <definedName name="_xlnm.Print_Area" localSheetId="12">'general'!$B$1:$E$70</definedName>
    <definedName name="_xlnm.Print_Area" localSheetId="1">'inputPrYr'!$A$1:$E$63</definedName>
    <definedName name="_xlnm.Print_Area" localSheetId="16">'levy page10'!$A$1:$E$81</definedName>
    <definedName name="_xlnm.Print_Area" localSheetId="15">'levy page9'!$A$1:$E$81</definedName>
    <definedName name="_xlnm.Print_Area" localSheetId="11">'Library Grant'!$A$1:$J$40</definedName>
    <definedName name="_xlnm.Print_Area" localSheetId="10">'lpform'!$B$1:$I$34</definedName>
    <definedName name="_xlnm.Print_Area" localSheetId="31">'Mill Rate Computation'!#REF!</definedName>
    <definedName name="_xlnm.Print_Area" localSheetId="23">'summ'!$A$1:$H$51</definedName>
  </definedNames>
  <calcPr fullCalcOnLoad="1"/>
</workbook>
</file>

<file path=xl/sharedStrings.xml><?xml version="1.0" encoding="utf-8"?>
<sst xmlns="http://schemas.openxmlformats.org/spreadsheetml/2006/main" count="1629" uniqueCount="991">
  <si>
    <t>1. Added instructions to 9f for the nonbud tab explaining about negative cash balance.</t>
  </si>
  <si>
    <t>2. Changed the formula for unencumbered cash balances for nonbud to show a negative balance.</t>
  </si>
  <si>
    <t>3. Added box under unencumbered cash balance for nonbud to reflect a negative ending cash balance.</t>
  </si>
  <si>
    <t>1b. First County block is for the Home County and the other three blocks are for counties that proves valuation and vehicle/slider information.</t>
  </si>
  <si>
    <t>1c. Dates for the entire budget workbook is controlled by the year entered into the "Enter year being budgeted (YYYY)" field.  If you find a date that is not correct for the budget being submitted, please contact us for assistance.</t>
  </si>
  <si>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</si>
  <si>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</si>
  <si>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</si>
  <si>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</si>
  <si>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</si>
  <si>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</si>
  <si>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</si>
  <si>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</si>
  <si>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 xml:space="preserve">General Instructions </t>
  </si>
  <si>
    <t>Computer Spreadsheet Preparation</t>
  </si>
  <si>
    <t>Fund Names:</t>
  </si>
  <si>
    <t>Statute</t>
  </si>
  <si>
    <t>General</t>
  </si>
  <si>
    <t>Fund name for all funds with a tax levy:</t>
  </si>
  <si>
    <t>Other (non-tax levy) fund names:</t>
  </si>
  <si>
    <t>Special Highway</t>
  </si>
  <si>
    <t>Total</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</si>
  <si>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</si>
  <si>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</si>
  <si>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</si>
  <si>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</si>
  <si>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</si>
  <si>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</si>
  <si>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</si>
  <si>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</si>
  <si>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</si>
  <si>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</si>
  <si>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</si>
  <si>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</si>
  <si>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</si>
  <si>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</si>
  <si>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</si>
  <si>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</si>
  <si>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</si>
  <si>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</si>
  <si>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</si>
  <si>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</si>
  <si>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</si>
  <si>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</si>
  <si>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</si>
  <si>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</si>
  <si>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</si>
  <si>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</si>
  <si>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</si>
  <si>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</si>
  <si>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</si>
  <si>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</si>
  <si>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</si>
  <si>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</si>
  <si>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</si>
  <si>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</si>
  <si>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</si>
  <si>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</si>
  <si>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</si>
  <si>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</si>
  <si>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</si>
  <si>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</si>
  <si>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</si>
  <si>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</si>
  <si>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</si>
  <si>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</si>
  <si>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</si>
  <si>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</si>
  <si>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</si>
  <si>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</si>
  <si>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</si>
  <si>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</si>
  <si>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</si>
  <si>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</si>
  <si>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</si>
  <si>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</si>
  <si>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</si>
  <si>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</si>
  <si>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</si>
  <si>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</si>
  <si>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</si>
  <si>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</si>
  <si>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</si>
  <si>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</si>
  <si>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</si>
  <si>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</si>
  <si>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</si>
  <si>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</si>
  <si>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</si>
  <si>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</si>
  <si>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</si>
  <si>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</si>
  <si>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</si>
  <si>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</si>
  <si>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</si>
  <si>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</si>
  <si>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</si>
  <si>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</si>
  <si>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</si>
  <si>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</si>
  <si>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</si>
  <si>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</si>
  <si>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</si>
  <si>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</si>
  <si>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</si>
  <si>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</si>
  <si>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</si>
  <si>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</si>
  <si>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</si>
  <si>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</si>
  <si>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</si>
  <si>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</si>
  <si>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</si>
  <si>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</si>
  <si>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</si>
  <si>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</si>
  <si>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</si>
  <si>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</si>
  <si>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</si>
  <si>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</si>
  <si>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</si>
  <si>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</si>
  <si>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</si>
  <si>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</si>
  <si>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</si>
  <si>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</si>
  <si>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</si>
  <si>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</si>
  <si>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</si>
  <si>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</si>
  <si>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</si>
  <si>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</si>
  <si>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</si>
  <si>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</si>
  <si>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</si>
  <si>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</si>
  <si>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</si>
  <si>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</si>
  <si>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</si>
  <si>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</si>
  <si>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</si>
  <si>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</si>
  <si>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</si>
  <si>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</si>
  <si>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</si>
  <si>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</si>
  <si>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</si>
  <si>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</si>
  <si>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</si>
  <si>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</si>
  <si>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</si>
  <si>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</si>
  <si>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</si>
  <si>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</si>
  <si>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</si>
  <si>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</si>
  <si>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</si>
  <si>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</si>
  <si>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</si>
  <si>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</si>
  <si>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</si>
  <si>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</si>
  <si>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</si>
  <si>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</si>
  <si>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</si>
  <si>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</si>
  <si>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</si>
  <si>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</si>
  <si>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</si>
  <si>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</si>
  <si>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</si>
  <si>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</si>
  <si>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</si>
  <si>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</si>
  <si>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</si>
  <si>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</si>
  <si>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</si>
  <si>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</si>
  <si>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</si>
  <si>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</si>
  <si>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</si>
  <si>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</si>
  <si>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</si>
  <si>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</si>
  <si>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</si>
  <si>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</si>
  <si>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</si>
  <si>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</si>
  <si>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</si>
  <si>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</si>
  <si>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</si>
  <si>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</si>
  <si>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</si>
  <si>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</si>
  <si>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</si>
  <si>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</si>
  <si>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</si>
  <si>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</si>
  <si>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</si>
  <si>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</si>
  <si>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</si>
  <si>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</si>
  <si>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</si>
  <si>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</si>
  <si>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</si>
  <si>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</si>
  <si>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</si>
  <si>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</si>
  <si>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</si>
  <si>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</si>
  <si>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</si>
  <si>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</si>
  <si>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</si>
  <si>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</si>
  <si>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</si>
  <si>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</si>
  <si>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</si>
  <si>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</si>
  <si>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</si>
  <si>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</si>
  <si>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</si>
  <si>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</si>
  <si>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</si>
  <si>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</si>
  <si>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</si>
  <si>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</si>
  <si>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</si>
  <si>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</si>
  <si>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</si>
  <si>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</si>
  <si>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</si>
  <si>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</si>
  <si>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</si>
  <si>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</si>
  <si>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</si>
  <si>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</si>
  <si>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</si>
  <si>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</si>
  <si>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</si>
  <si>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</si>
  <si>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</si>
  <si>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</si>
  <si>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</si>
  <si>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</si>
  <si>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</si>
  <si>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</si>
  <si>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</si>
  <si>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</si>
  <si>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</si>
  <si>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</si>
  <si>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</si>
  <si>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1.Instruction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</si>
  <si>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</si>
  <si>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</si>
  <si>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</si>
  <si>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</si>
  <si>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</si>
  <si>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</si>
  <si>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</si>
  <si>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Enter City Name (City of )</t>
  </si>
  <si>
    <t>Enter Other Counties' Name:</t>
  </si>
  <si>
    <t>1st</t>
  </si>
  <si>
    <t>2nd</t>
  </si>
  <si>
    <t>3rd</t>
  </si>
  <si>
    <t>Input sheet for City3.XLS budget form</t>
  </si>
  <si>
    <t>Total Assessed Valuation</t>
  </si>
  <si>
    <t xml:space="preserve">Motor              Vehicle </t>
  </si>
  <si>
    <t>Recreational Vehicle</t>
  </si>
  <si>
    <t xml:space="preserve">16\20 M Vehicle </t>
  </si>
  <si>
    <t>Total Vehicle Tax Estimates</t>
  </si>
  <si>
    <r>
      <t>***</t>
    </r>
    <r>
      <rPr>
        <b/>
        <u val="single"/>
        <sz val="12"/>
        <rFont val="Times New Roman"/>
        <family val="1"/>
      </rPr>
      <t>Note</t>
    </r>
    <r>
      <rPr>
        <sz val="12"/>
        <rFont val="Times New Roman"/>
        <family val="1"/>
      </rPr>
      <t xml:space="preserve">:  Only used when a portion of the County monies are distributed to the Cities under the provision of                                                                                                                 </t>
    </r>
  </si>
  <si>
    <t xml:space="preserve">        K.S.A. 79-3425c.</t>
  </si>
  <si>
    <t>Assessed Valuation:</t>
  </si>
  <si>
    <t>City3 Spreadsheet Instructions</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</si>
  <si>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</si>
  <si>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Allocation of MVT, RVT, 16/20M Veh &amp; Slider</t>
  </si>
  <si>
    <t>Funds</t>
  </si>
  <si>
    <t>Budget Authority</t>
  </si>
  <si>
    <t xml:space="preserve">expenditure amounts should reflect the amended </t>
  </si>
  <si>
    <t>expenditure amounts.</t>
  </si>
  <si>
    <t>Neighborhood Revitalization Rebate</t>
  </si>
  <si>
    <t>Does miscellaneous exceed 10% of Total Receipts</t>
  </si>
  <si>
    <t>Does miscellaneous exceed 10% of Total Expenditure</t>
  </si>
  <si>
    <t>11. Added Neighborhood Revitalization, LAVTR, City and County Revenue Sharing, and Slider to the input page and to the General Fund page. Also added NR to all tax levy fund pages.</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</si>
  <si>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</si>
  <si>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</si>
  <si>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</si>
  <si>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</si>
  <si>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</si>
  <si>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</si>
  <si>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</si>
  <si>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</si>
  <si>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</si>
  <si>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</si>
  <si>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</si>
  <si>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Home County Name followed by "County"</t>
  </si>
  <si>
    <t xml:space="preserve"> Real                                       Estate</t>
  </si>
  <si>
    <t xml:space="preserve">Ad Valorem Tax </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</si>
  <si>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</si>
  <si>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</si>
  <si>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</si>
  <si>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</si>
  <si>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and block turns red on all fund pages for the non-appropirated balance.</t>
  </si>
  <si>
    <t>24. Added to the Certificate page three additional spaces for Counties assessed valuation.</t>
  </si>
  <si>
    <t>25. Added to the instruction page concerning the three additional spaces for Counties budget information.</t>
  </si>
  <si>
    <t>26. Made the Schedule of Transfers it's own worksheet.</t>
  </si>
  <si>
    <t>27. Added Neighborhood Revitalization table and added links to all tax levy fund pages.</t>
  </si>
  <si>
    <t>28. Added to the instructions about neighborhood revitalization.</t>
  </si>
  <si>
    <t>29. Added Slider to Vehicle Allocation table and linked to fund pages.</t>
  </si>
  <si>
    <t>30. Added to all budgeted fund pages the budget authority for the actual year, budget violation, and cash violation.</t>
  </si>
  <si>
    <t>31. Added instruction on the addition for item 31.</t>
  </si>
  <si>
    <t>32.  Added miscellanous category to both receipt and expenditure and set warning on fund pages.</t>
  </si>
  <si>
    <t>33. Added instruction concerning the miscellaneous category and how to fix warning.</t>
  </si>
  <si>
    <t xml:space="preserve">34. Added page number for neighborhood revit on the Certificate page. </t>
  </si>
  <si>
    <t>35. Added three spaces for additional counties on the inputpryr, clerk's info, and certificate page.</t>
  </si>
  <si>
    <t>36. Change Certificate page total mil rate from 0 to blank.</t>
  </si>
  <si>
    <t>38. Added 'excluding oil, gas, and mobile homes' on Clerks budget info on tab inputoth.</t>
  </si>
  <si>
    <t>37. Expanded on the preparation of budget note 11 for instructions for the Notice of Budget Hearing.</t>
  </si>
  <si>
    <t>The following were changed to this spreadsheet on 5/08/2008</t>
  </si>
  <si>
    <t>1. Instruction page #9a change from 'shown be shown' to read 'should be shown'.</t>
  </si>
  <si>
    <t>2. Legend #37 change from 'note 10' to 'note 11'.</t>
  </si>
  <si>
    <r>
      <t>3. Change the Non-Budgeted Funds form from 'Only the actual budget year shown' to read '</t>
    </r>
    <r>
      <rPr>
        <i/>
        <sz val="12"/>
        <rFont val="Times New Roman"/>
        <family val="1"/>
      </rPr>
      <t>Only the actual budget year for YYYY is to be shown</t>
    </r>
    <r>
      <rPr>
        <sz val="12"/>
        <rFont val="Times New Roman"/>
        <family val="1"/>
      </rPr>
      <t>'.</t>
    </r>
  </si>
  <si>
    <t>4. The revision date was changed.</t>
  </si>
  <si>
    <t>The following were changed to this spreadsheet on 7/01/08</t>
  </si>
  <si>
    <t>4. Changed foot note to reflect the changes maded on 7/1/08 to the above tabs.</t>
  </si>
  <si>
    <t>Single No Tax Levy Page:</t>
  </si>
  <si>
    <t>Debt Service</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</si>
  <si>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</si>
  <si>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</si>
  <si>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</si>
  <si>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</si>
  <si>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</si>
  <si>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</si>
  <si>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</si>
  <si>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</si>
  <si>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</si>
  <si>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</si>
  <si>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</si>
  <si>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</si>
  <si>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</si>
  <si>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</si>
  <si>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</si>
  <si>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</si>
  <si>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Changed 9a to reflect General Fund Detail (GenDetail) is linked to the General Fund (general) and that detail 'Page Total' amounts should agree to 'Sub-Total' on the General Fund page.</t>
  </si>
  <si>
    <t>13. Added 9j to 9l for additional edits for budget authority.</t>
  </si>
  <si>
    <t>The following were changed to this spreadsheet on 8/25/08</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</si>
  <si>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</si>
  <si>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</si>
  <si>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</si>
  <si>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</si>
  <si>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72 change from Budget Summary to Budget Certificate.</t>
  </si>
  <si>
    <t>The following were changed to this spreadsheet on 6/16/09</t>
  </si>
  <si>
    <t>1. Mvalloc tab, 'Budget Tax Levy Amount for -1' links for amounts from 'inputPrYr' were changed to reflect column 'D' to column 'E'.</t>
  </si>
  <si>
    <t>forms in the appropriate locations. If any of the numbers are wrong, change them on this  input sheet.</t>
  </si>
  <si>
    <t xml:space="preserve">Enter the following information from the sources shown.  This information will be entered on the budget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</si>
  <si>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</si>
  <si>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</si>
  <si>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 xml:space="preserve">Budget Tax Levy </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</si>
  <si>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</si>
  <si>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</si>
  <si>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</si>
  <si>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</si>
  <si>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</si>
  <si>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</si>
  <si>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</si>
  <si>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</si>
  <si>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</si>
  <si>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</si>
  <si>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</si>
  <si>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</si>
  <si>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</si>
  <si>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</si>
  <si>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</si>
  <si>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</si>
  <si>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</si>
  <si>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The following were changed to this spreadsheet on 10/5/09</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</si>
  <si>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</si>
  <si>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</si>
  <si>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</si>
  <si>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</si>
  <si>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</si>
  <si>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</si>
  <si>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</si>
  <si>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</si>
  <si>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</si>
  <si>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</si>
  <si>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12-825d.</t>
    </r>
    <r>
      <rPr>
        <sz val="12"/>
        <color indexed="8"/>
        <rFont val="Times New Roman"/>
        <family val="1"/>
      </rPr>
      <t xml:space="preserve">  </t>
    </r>
    <r>
      <rPr>
        <b/>
        <sz val="12"/>
        <color indexed="8"/>
        <rFont val="Times New Roman"/>
        <family val="1"/>
      </rPr>
      <t>Utility reserve fund.</t>
    </r>
    <r>
      <rPr>
        <sz val="12"/>
        <color indexed="8"/>
        <rFont val="Times New Roman"/>
        <family val="1"/>
      </rPr>
      <t xml:space="preserve">  Cities with a waterworks, fuel, power or lighting plant, may establish a utility reserve fund.</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</si>
  <si>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</si>
  <si>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</si>
  <si>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</si>
  <si>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</si>
  <si>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</si>
  <si>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</si>
  <si>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</si>
  <si>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</si>
  <si>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</si>
  <si>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60-4117.</t>
    </r>
    <r>
      <rPr>
        <sz val="12"/>
        <color indexed="8"/>
        <rFont val="Times New Roman"/>
        <family val="1"/>
      </rPr>
      <t xml:space="preserve">  </t>
    </r>
    <r>
      <rPr>
        <b/>
        <sz val="12"/>
        <color indexed="8"/>
        <rFont val="Times New Roman"/>
        <family val="1"/>
      </rPr>
      <t>Special prosecutor's trust fund.</t>
    </r>
    <r>
      <rPr>
        <sz val="12"/>
        <color indexed="8"/>
        <rFont val="Times New Roman"/>
        <family val="1"/>
      </rPr>
      <t xml:space="preserve">  Provides for creation of a special prosecutor’s trust fund for deposit of proceeds received from the sale of property forfeited pursuant to the act.</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</si>
  <si>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</si>
  <si>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</si>
  <si>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</si>
  <si>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</si>
  <si>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</si>
  <si>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</si>
  <si>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</si>
  <si>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</si>
  <si>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</si>
  <si>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</si>
  <si>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</si>
  <si>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</si>
  <si>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</si>
  <si>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</si>
  <si>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InputPrYr tab changed line A51 from Bond &amp; Interest to Debt Service</t>
  </si>
  <si>
    <t>10. InputOth tab changed line A30 from Bonda &amp; Interest to Debt Service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</si>
  <si>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</si>
  <si>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</si>
  <si>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</si>
  <si>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</si>
  <si>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</si>
  <si>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</si>
  <si>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</si>
  <si>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</si>
  <si>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</si>
  <si>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</si>
  <si>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</si>
  <si>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</si>
  <si>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</si>
  <si>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</si>
  <si>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</si>
  <si>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</si>
  <si>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</si>
  <si>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</si>
  <si>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</si>
  <si>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</si>
  <si>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</si>
  <si>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</si>
  <si>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</si>
  <si>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</si>
  <si>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</si>
  <si>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</si>
  <si>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</si>
  <si>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</si>
  <si>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</si>
  <si>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</si>
  <si>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</si>
  <si>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</si>
  <si>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</si>
  <si>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</si>
  <si>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</si>
  <si>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</si>
  <si>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</si>
  <si>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</si>
  <si>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</si>
  <si>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</si>
  <si>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</si>
  <si>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</si>
  <si>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</si>
  <si>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</si>
  <si>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</si>
  <si>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</si>
  <si>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</si>
  <si>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</si>
  <si>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</si>
  <si>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</si>
  <si>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</si>
  <si>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</si>
  <si>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</si>
  <si>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</si>
  <si>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</si>
  <si>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</si>
  <si>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</si>
  <si>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</si>
  <si>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</si>
  <si>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</si>
  <si>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</si>
  <si>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</si>
  <si>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</si>
  <si>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</si>
  <si>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</si>
  <si>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</si>
  <si>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</si>
  <si>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</si>
  <si>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</si>
  <si>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</si>
  <si>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</si>
  <si>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</si>
  <si>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</si>
  <si>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</si>
  <si>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</si>
  <si>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</si>
  <si>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</si>
  <si>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</si>
  <si>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</si>
  <si>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</si>
  <si>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</si>
  <si>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</si>
  <si>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</si>
  <si>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</si>
  <si>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</si>
  <si>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</si>
  <si>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</si>
  <si>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</si>
  <si>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</si>
  <si>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</si>
  <si>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</si>
  <si>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</si>
  <si>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</si>
  <si>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</si>
  <si>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</si>
  <si>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</si>
  <si>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</si>
  <si>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</si>
  <si>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</si>
  <si>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</si>
  <si>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</si>
  <si>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</si>
  <si>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</si>
  <si>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</si>
  <si>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</si>
  <si>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</si>
  <si>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</si>
  <si>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</si>
  <si>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</si>
  <si>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</si>
  <si>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</si>
  <si>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</si>
  <si>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</si>
  <si>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</si>
  <si>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</si>
  <si>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</si>
  <si>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</si>
  <si>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</si>
  <si>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</si>
  <si>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</si>
  <si>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</si>
  <si>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</si>
  <si>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</si>
  <si>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</si>
  <si>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</si>
  <si>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</si>
  <si>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</si>
  <si>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</si>
  <si>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</si>
  <si>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</si>
  <si>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</si>
  <si>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</si>
  <si>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</si>
  <si>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</si>
  <si>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</si>
  <si>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</si>
  <si>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</si>
  <si>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</si>
  <si>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</si>
  <si>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</si>
  <si>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</si>
  <si>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</si>
  <si>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</si>
  <si>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</si>
  <si>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</si>
  <si>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</si>
  <si>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</si>
  <si>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</si>
  <si>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</si>
  <si>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</si>
  <si>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</si>
  <si>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</si>
  <si>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</si>
  <si>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</si>
  <si>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</si>
  <si>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</si>
  <si>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</si>
  <si>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</si>
  <si>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</si>
  <si>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</si>
  <si>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</si>
  <si>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</si>
  <si>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</si>
  <si>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</si>
  <si>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</si>
  <si>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</si>
  <si>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</si>
  <si>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</si>
  <si>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</si>
  <si>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</si>
  <si>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</si>
  <si>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</si>
  <si>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</si>
  <si>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</si>
  <si>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</si>
  <si>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</si>
  <si>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</si>
  <si>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</si>
  <si>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</si>
  <si>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</si>
  <si>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</si>
  <si>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</si>
  <si>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</si>
  <si>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</si>
  <si>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</si>
  <si>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</si>
  <si>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</si>
  <si>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</si>
  <si>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</si>
  <si>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</si>
  <si>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</si>
  <si>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</si>
  <si>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</si>
  <si>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</si>
  <si>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</si>
  <si>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</si>
  <si>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</si>
  <si>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</si>
  <si>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</si>
  <si>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</si>
  <si>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</si>
  <si>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</si>
  <si>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</si>
  <si>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</si>
  <si>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</si>
  <si>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</si>
  <si>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</si>
  <si>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</si>
  <si>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</si>
  <si>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</si>
  <si>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</si>
  <si>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</si>
  <si>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</si>
  <si>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</si>
  <si>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</si>
  <si>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</si>
  <si>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</si>
  <si>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</si>
  <si>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</si>
  <si>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</si>
  <si>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</si>
  <si>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</si>
  <si>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</si>
  <si>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</si>
  <si>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</si>
  <si>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t>4c. The Certificate page allows for up to four counties assessed valuation.</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</si>
  <si>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</si>
  <si>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</si>
  <si>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</si>
  <si>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</si>
  <si>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</si>
  <si>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</si>
  <si>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</si>
  <si>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</si>
  <si>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</si>
  <si>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</si>
  <si>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</si>
  <si>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</si>
  <si>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</si>
  <si>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</si>
  <si>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Expenditure</t>
  </si>
  <si>
    <t>Receipt</t>
  </si>
  <si>
    <t xml:space="preserve">Fund Transferred </t>
  </si>
  <si>
    <t>Fund Transferred</t>
  </si>
  <si>
    <t>*Note:</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</si>
  <si>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</si>
  <si>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</si>
  <si>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</si>
  <si>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</si>
  <si>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</si>
  <si>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</si>
  <si>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</si>
  <si>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Does miscellaneous exceed 10% of Total Rec</t>
  </si>
  <si>
    <t>Does miscellaneous exceed 10% of Total Exp</t>
  </si>
  <si>
    <t>Official Title:</t>
  </si>
  <si>
    <t>City Clerk, City Treasurer, Mayor</t>
  </si>
  <si>
    <t>Beginning Amt.</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</si>
  <si>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</si>
  <si>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</si>
  <si>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</si>
  <si>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</si>
  <si>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</si>
  <si>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</si>
  <si>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</si>
  <si>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</si>
  <si>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</si>
  <si>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</si>
  <si>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</si>
  <si>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</si>
  <si>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</si>
  <si>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</si>
  <si>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</si>
  <si>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</si>
  <si>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</si>
  <si>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</si>
  <si>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</si>
  <si>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</si>
  <si>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</si>
  <si>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</si>
  <si>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</si>
  <si>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</si>
  <si>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</si>
  <si>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</si>
  <si>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</si>
  <si>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</si>
  <si>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</si>
  <si>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</si>
  <si>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</si>
  <si>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</si>
  <si>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</si>
  <si>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</si>
  <si>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</si>
  <si>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</si>
  <si>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</si>
  <si>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</si>
  <si>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</si>
  <si>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</si>
  <si>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</si>
  <si>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</si>
  <si>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</si>
  <si>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</si>
  <si>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</si>
  <si>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</si>
  <si>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</si>
  <si>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</si>
  <si>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</si>
  <si>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</si>
  <si>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</si>
  <si>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</si>
  <si>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</si>
  <si>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</si>
  <si>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</si>
  <si>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</si>
  <si>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</si>
  <si>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</si>
  <si>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</si>
  <si>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</si>
  <si>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</si>
  <si>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</si>
  <si>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</si>
  <si>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</si>
  <si>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</si>
  <si>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</si>
  <si>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</si>
  <si>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</si>
  <si>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</si>
  <si>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</si>
  <si>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</si>
  <si>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</si>
  <si>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</si>
  <si>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</si>
  <si>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</si>
  <si>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Non-Appropriated Balance</t>
  </si>
  <si>
    <t>Total Expenditure/Non-Appr Balance</t>
  </si>
  <si>
    <t>Delinquent Comp Rate:</t>
  </si>
  <si>
    <t>The estimated value of one mill would be:</t>
  </si>
  <si>
    <t>Change in Ad Valorem Tax Revenue:</t>
  </si>
  <si>
    <t>What Mill Rate Would Be Desired?</t>
  </si>
  <si>
    <t>The following were changed to this spreadsheet on 9/1/10</t>
  </si>
  <si>
    <t>1. All pages removed the revision date</t>
  </si>
  <si>
    <t>2. All tax levy fund pages reduced the columns and revised the bottom of pages for see tabs</t>
  </si>
  <si>
    <t>for Expenditures</t>
  </si>
  <si>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</si>
  <si>
    <t xml:space="preserve">2. The information entered into the Input Other (inputOth) worksheet is obtained from the County Clerk, County Treasurer, League of Municipalities "Budget Tips", and the budget from two years ago (the year for actual year column of the current budget).  After the information has been entered, please verify the data is correct. </t>
  </si>
  <si>
    <t>Compensating Use Tax</t>
  </si>
  <si>
    <t>Desired Carryover Amount:</t>
  </si>
  <si>
    <t>Estimated Mill Rate Impact:</t>
  </si>
  <si>
    <t xml:space="preserve">Totals </t>
  </si>
  <si>
    <t>3. Instruction tab added lines 4d (cert-rec), 14(project carryover), 14a (Desired Carryover), and 15 (protection)</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</si>
  <si>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</si>
  <si>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</si>
  <si>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</si>
  <si>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</si>
  <si>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</si>
  <si>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</si>
  <si>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</si>
  <si>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</si>
  <si>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</si>
  <si>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</si>
  <si>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 tax levy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</si>
  <si>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</si>
  <si>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</si>
  <si>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</si>
  <si>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</si>
  <si>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</si>
  <si>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</si>
  <si>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</si>
  <si>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</si>
  <si>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</si>
  <si>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</si>
  <si>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</si>
  <si>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</si>
  <si>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</si>
  <si>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</si>
  <si>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</si>
  <si>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</si>
  <si>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</si>
  <si>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</si>
  <si>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</si>
  <si>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</si>
  <si>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</si>
  <si>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</si>
  <si>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</si>
  <si>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The following were changed to this spreadsheet on 4/19/11</t>
  </si>
  <si>
    <t>1. Summ tab changed proposed year expenditure column to 'Budget Authority for Expenditures'</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</si>
  <si>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</si>
  <si>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</si>
  <si>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</si>
  <si>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</si>
  <si>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</si>
  <si>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</si>
  <si>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</si>
  <si>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</si>
  <si>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</si>
  <si>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</si>
  <si>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</si>
  <si>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</si>
  <si>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</si>
  <si>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</si>
  <si>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</si>
  <si>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</si>
  <si>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</si>
  <si>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</si>
  <si>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</si>
  <si>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</si>
  <si>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</si>
  <si>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</si>
  <si>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</si>
  <si>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</si>
  <si>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</si>
  <si>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</si>
  <si>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</si>
  <si>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</si>
  <si>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</si>
  <si>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</si>
  <si>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</si>
  <si>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</si>
  <si>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</si>
  <si>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</si>
  <si>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</si>
  <si>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</si>
  <si>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</si>
  <si>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</si>
  <si>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</si>
  <si>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</si>
  <si>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</si>
  <si>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</si>
  <si>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</si>
  <si>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</si>
  <si>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</si>
  <si>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</si>
  <si>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</si>
  <si>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</si>
  <si>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</si>
  <si>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</si>
  <si>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</si>
  <si>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  _______________________</t>
  </si>
  <si>
    <t>Email:</t>
  </si>
  <si>
    <t>Library</t>
  </si>
  <si>
    <t>12-1220</t>
  </si>
  <si>
    <t xml:space="preserve">Prior Year </t>
  </si>
  <si>
    <t xml:space="preserve">Current Year </t>
  </si>
  <si>
    <t xml:space="preserve">Proposed Budget </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</si>
  <si>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</si>
  <si>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</si>
  <si>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</si>
  <si>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Official Name:</t>
  </si>
  <si>
    <t>Type of</t>
  </si>
  <si>
    <t xml:space="preserve">  Debt</t>
  </si>
  <si>
    <t>Items</t>
  </si>
  <si>
    <t xml:space="preserve"> Purchased</t>
  </si>
  <si>
    <t>Expenditures Must Be Changed by:</t>
  </si>
  <si>
    <t>Mill Rate Comparison</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</si>
  <si>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</si>
  <si>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</si>
  <si>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</si>
  <si>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</si>
  <si>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</si>
  <si>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</si>
  <si>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</si>
  <si>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</si>
  <si>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</si>
  <si>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</si>
  <si>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</si>
  <si>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</si>
  <si>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</si>
  <si>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</si>
  <si>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</si>
  <si>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</si>
  <si>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</si>
  <si>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</si>
  <si>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</si>
  <si>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</si>
  <si>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</si>
  <si>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</si>
  <si>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</si>
  <si>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</si>
  <si>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</si>
  <si>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</si>
  <si>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</si>
  <si>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</si>
  <si>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</si>
  <si>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</si>
  <si>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</si>
  <si>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</si>
  <si>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</si>
  <si>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</si>
  <si>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</si>
  <si>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</si>
  <si>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</si>
  <si>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</si>
  <si>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</si>
  <si>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</si>
  <si>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</si>
  <si>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link page number with detail page number to show 7 without a library fund or 8 with a library fund</t>
  </si>
  <si>
    <t xml:space="preserve">Budgeted Funds </t>
  </si>
  <si>
    <t xml:space="preserve">This spreadsheet was designed for a City having up to four counties providing budget information.  Additionally, the spreadsheet has General, Debt Service, Library, 4 tax levy fund pages, Special Highway, five no tax levy fund pages, one full page no tax levy fund page, and a non-budgeted fund page holding up to five funds.  </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</si>
  <si>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</si>
  <si>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</si>
  <si>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5. The majority of information on the Computation to Determine Limit Page (computation) comes from data on the Input Page (inputOth) and Debt Service Page (DebtSvs-Library). If there is incorrect information on the Computation Page, please correct the source of the information from either the Input Page or Debt Service Page. If you can not correct the error, please call us for assistance.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</si>
  <si>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</si>
  <si>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</si>
  <si>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</si>
  <si>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</si>
  <si>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</si>
  <si>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</si>
  <si>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</si>
  <si>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</si>
  <si>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</si>
  <si>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</si>
  <si>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</si>
  <si>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</si>
  <si>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</si>
  <si>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</si>
  <si>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</si>
  <si>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</si>
  <si>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</si>
  <si>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</si>
  <si>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</si>
  <si>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</si>
  <si>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</si>
  <si>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</si>
  <si>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</si>
  <si>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</si>
  <si>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</si>
  <si>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</si>
  <si>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</si>
  <si>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</si>
  <si>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</si>
  <si>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</si>
  <si>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</si>
  <si>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</si>
  <si>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</si>
  <si>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</si>
  <si>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</si>
  <si>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</si>
  <si>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</si>
  <si>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 xml:space="preserve">Allocation of Motor (MVT), Recreational (RVT), 16/20M  Vehicle Tax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</si>
  <si>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</si>
  <si>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</si>
  <si>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#4d to show Certificate page new schedule for Library Grant</t>
  </si>
  <si>
    <t xml:space="preserve">peter.haxton@library.ks.gov </t>
  </si>
  <si>
    <t>The following were changed to this spreadsheet on 2/22/12</t>
  </si>
  <si>
    <t>1. Library Grant tab, updated State Library e-mail contact address</t>
  </si>
  <si>
    <t>City of Vining</t>
  </si>
  <si>
    <t>County of Clay</t>
  </si>
  <si>
    <t>County of Washington</t>
  </si>
  <si>
    <t>Jacqueline Koch</t>
  </si>
  <si>
    <t>Parks &amp; Recreation</t>
  </si>
  <si>
    <t>Capital Outlay</t>
  </si>
  <si>
    <t>Insurance Dividend</t>
  </si>
  <si>
    <t>Utilities</t>
  </si>
  <si>
    <t>Postage &amp; Publication</t>
  </si>
  <si>
    <t>Mowing</t>
  </si>
  <si>
    <t>Insurance</t>
  </si>
  <si>
    <t>Other Operating</t>
  </si>
  <si>
    <t>Donations</t>
  </si>
  <si>
    <t>Equipment</t>
  </si>
  <si>
    <t>Fire Protection</t>
  </si>
  <si>
    <t>Transfers to Capital Outlay</t>
  </si>
  <si>
    <t>License Fees</t>
  </si>
  <si>
    <t>Payroll Taxes</t>
  </si>
  <si>
    <t>Park Improvement (Park Fund)</t>
  </si>
  <si>
    <t>Road Expense</t>
  </si>
  <si>
    <t>12-1,118</t>
  </si>
  <si>
    <t>None</t>
  </si>
  <si>
    <t>Local Alcholic Tax</t>
  </si>
  <si>
    <t>Operating Expenses</t>
  </si>
  <si>
    <t>Trans frm General</t>
  </si>
  <si>
    <t>Street Repairs</t>
  </si>
  <si>
    <t>July 31, 2012</t>
  </si>
  <si>
    <t>8:00 P.M.</t>
  </si>
  <si>
    <t>Vining City Hall</t>
  </si>
  <si>
    <t>Vining, KS</t>
  </si>
  <si>
    <t>109 Scribner St</t>
  </si>
  <si>
    <t xml:space="preserve">Must be at least 10 days between date published </t>
  </si>
  <si>
    <t>published in your newspaper is July 21, 2012</t>
  </si>
  <si>
    <t xml:space="preserve">and hearing held.  Latest date for notice to be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</si>
</sst>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409]dddd\,\ mmmm\ dd\,\ yyyy"/>
    <numFmt numFmtId="192" formatCode="&quot;$&quot;#,##0"/>
    <numFmt numFmtId="193" formatCode="&quot;$&quot;#,##0.00"/>
    <numFmt numFmtId="194" formatCode="\1\1\-\1\2\2\2"/>
    <numFmt numFmtId="195" formatCode="m/d/yy;@"/>
    <numFmt numFmtId="196" formatCode="#,###"/>
    <numFmt numFmtId="197" formatCode="#,##0.000_);[Red]\(#,##0.000\)"/>
    <numFmt numFmtId="198" formatCode="0.0%"/>
  </numFmts>
  <fonts count="91">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sz val="14"/>
      <name val="Times New Roman"/>
      <family val="1"/>
    </font>
    <font>
      <sz val="12"/>
      <color indexed="8"/>
      <name val="Times New Roman"/>
      <family val="1"/>
    </font>
    <font>
      <b/>
      <sz val="11"/>
      <name val="Times New Roman"/>
      <family val="1"/>
    </font>
    <font>
      <b/>
      <sz val="12"/>
      <color indexed="8"/>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sz val="10"/>
      <name val="Courier"/>
      <family val="3"/>
    </font>
    <font>
      <b/>
      <sz val="8"/>
      <color indexed="10"/>
      <name val="Times New Roman"/>
      <family val="1"/>
    </font>
    <font>
      <u val="single"/>
      <sz val="12"/>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0"/>
      <color rgb="FFFF0000"/>
      <name val="Times New Roman"/>
      <family val="1"/>
    </font>
    <font>
      <sz val="12"/>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00FFFF"/>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color indexed="63"/>
      </left>
      <right>
        <color indexed="63"/>
      </right>
      <top>
        <color indexed="63"/>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double"/>
      <bottom style="thin"/>
    </border>
    <border>
      <left style="thin"/>
      <right style="thin"/>
      <top>
        <color indexed="63"/>
      </top>
      <bottom style="double"/>
    </border>
    <border>
      <left style="thin"/>
      <right style="thin"/>
      <top style="medium"/>
      <bottom style="thin"/>
    </border>
    <border>
      <left style="thin"/>
      <right style="thin"/>
      <top style="medium"/>
      <bottom style="double"/>
    </border>
  </borders>
  <cellStyleXfs count="3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11">
    <xf numFmtId="0" fontId="0" fillId="0" borderId="0" xfId="0" applyAlignment="1">
      <alignment/>
    </xf>
    <xf numFmtId="0" fontId="6" fillId="0" borderId="0" xfId="0" applyFont="1" applyAlignment="1">
      <alignment/>
    </xf>
    <xf numFmtId="0" fontId="13" fillId="0" borderId="0" xfId="0" applyFont="1" applyAlignment="1">
      <alignment vertical="justify" wrapText="1"/>
    </xf>
    <xf numFmtId="0" fontId="0" fillId="0" borderId="0" xfId="0" applyAlignment="1">
      <alignment vertical="justify" wrapText="1"/>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33" borderId="0" xfId="0" applyFont="1" applyFill="1" applyAlignment="1">
      <alignment vertical="center"/>
    </xf>
    <xf numFmtId="0" fontId="6" fillId="0" borderId="0" xfId="0" applyFont="1" applyFill="1" applyAlignment="1">
      <alignment vertical="center"/>
    </xf>
    <xf numFmtId="0" fontId="6" fillId="34" borderId="0" xfId="0" applyFont="1" applyFill="1" applyAlignment="1">
      <alignment vertical="center" wrapText="1"/>
    </xf>
    <xf numFmtId="0" fontId="6" fillId="35" borderId="0" xfId="0" applyFont="1" applyFill="1" applyAlignment="1">
      <alignment vertical="center" wrapText="1"/>
    </xf>
    <xf numFmtId="0" fontId="6" fillId="3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center" vertical="center"/>
      <protection/>
    </xf>
    <xf numFmtId="0" fontId="6" fillId="0" borderId="0" xfId="0" applyFont="1" applyAlignment="1" applyProtection="1">
      <alignment vertical="center"/>
      <protection locked="0"/>
    </xf>
    <xf numFmtId="0" fontId="6" fillId="34" borderId="0" xfId="0" applyFont="1" applyFill="1" applyAlignment="1" applyProtection="1">
      <alignment vertical="center"/>
      <protection locked="0"/>
    </xf>
    <xf numFmtId="0" fontId="0" fillId="34" borderId="0" xfId="0" applyFill="1" applyAlignment="1">
      <alignment horizontal="center" vertical="center"/>
    </xf>
    <xf numFmtId="37" fontId="5" fillId="34" borderId="0" xfId="0" applyNumberFormat="1" applyFont="1" applyFill="1" applyAlignment="1" applyProtection="1">
      <alignment horizontal="left" vertical="center"/>
      <protection/>
    </xf>
    <xf numFmtId="0" fontId="6" fillId="34" borderId="0" xfId="0" applyFont="1" applyFill="1" applyAlignment="1" applyProtection="1">
      <alignment vertical="center"/>
      <protection/>
    </xf>
    <xf numFmtId="37" fontId="6"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xf>
    <xf numFmtId="37" fontId="6" fillId="33" borderId="11" xfId="0" applyNumberFormat="1" applyFont="1" applyFill="1" applyBorder="1" applyAlignment="1" applyProtection="1">
      <alignment horizontal="left" vertical="center"/>
      <protection locked="0"/>
    </xf>
    <xf numFmtId="0" fontId="6" fillId="33" borderId="11"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7" fontId="6" fillId="34" borderId="0" xfId="0" applyNumberFormat="1" applyFont="1" applyFill="1" applyAlignment="1" applyProtection="1">
      <alignment horizontal="left" vertical="center"/>
      <protection/>
    </xf>
    <xf numFmtId="0" fontId="5" fillId="33" borderId="12" xfId="0" applyFont="1" applyFill="1" applyBorder="1" applyAlignment="1" applyProtection="1">
      <alignment horizontal="center" vertical="center"/>
      <protection locked="0"/>
    </xf>
    <xf numFmtId="0" fontId="6" fillId="34" borderId="0" xfId="0"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alignment horizontal="centerContinuous" vertical="center"/>
      <protection/>
    </xf>
    <xf numFmtId="37" fontId="15" fillId="34" borderId="0" xfId="0" applyNumberFormat="1" applyFont="1" applyFill="1" applyAlignment="1" applyProtection="1">
      <alignment horizontal="center" vertical="center"/>
      <protection/>
    </xf>
    <xf numFmtId="0" fontId="5" fillId="37" borderId="0" xfId="0" applyFont="1" applyFill="1" applyAlignment="1" applyProtection="1">
      <alignment vertical="center"/>
      <protection/>
    </xf>
    <xf numFmtId="0" fontId="6" fillId="37" borderId="0" xfId="0" applyFont="1" applyFill="1" applyAlignment="1" applyProtection="1">
      <alignment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4" borderId="0" xfId="0" applyFont="1" applyFill="1" applyAlignment="1" applyProtection="1">
      <alignment horizontal="center" vertical="center"/>
      <protection/>
    </xf>
    <xf numFmtId="0" fontId="5" fillId="34" borderId="0" xfId="0" applyFont="1" applyFill="1" applyAlignment="1" applyProtection="1">
      <alignment vertical="center"/>
      <protection/>
    </xf>
    <xf numFmtId="0" fontId="7" fillId="37" borderId="13" xfId="0" applyFont="1" applyFill="1" applyBorder="1" applyAlignment="1" applyProtection="1">
      <alignment horizontal="center" vertical="center"/>
      <protection/>
    </xf>
    <xf numFmtId="37" fontId="6" fillId="34" borderId="0" xfId="0" applyNumberFormat="1" applyFont="1" applyFill="1" applyAlignment="1" applyProtection="1">
      <alignment horizontal="center" vertical="center"/>
      <protection/>
    </xf>
    <xf numFmtId="37" fontId="6" fillId="37" borderId="14" xfId="0" applyNumberFormat="1" applyFont="1" applyFill="1" applyBorder="1" applyAlignment="1" applyProtection="1">
      <alignment horizontal="center" vertical="center" wrapText="1"/>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3" borderId="12" xfId="0"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37"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9" borderId="12" xfId="0" applyNumberFormat="1" applyFont="1" applyFill="1" applyBorder="1" applyAlignment="1" applyProtection="1">
      <alignment vertical="center"/>
      <protection/>
    </xf>
    <xf numFmtId="164" fontId="6" fillId="34" borderId="12" xfId="0" applyNumberFormat="1" applyFont="1" applyFill="1" applyBorder="1" applyAlignment="1" applyProtection="1">
      <alignment vertical="center"/>
      <protection/>
    </xf>
    <xf numFmtId="3" fontId="6" fillId="33" borderId="12" xfId="0" applyNumberFormat="1" applyFont="1" applyFill="1" applyBorder="1" applyAlignment="1" applyProtection="1">
      <alignment vertical="center"/>
      <protection locked="0"/>
    </xf>
    <xf numFmtId="164" fontId="6" fillId="33" borderId="12" xfId="0" applyNumberFormat="1" applyFont="1" applyFill="1" applyBorder="1" applyAlignment="1" applyProtection="1">
      <alignment vertical="center"/>
      <protection locked="0"/>
    </xf>
    <xf numFmtId="164" fontId="6" fillId="34" borderId="0"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4" borderId="0" xfId="0" applyNumberFormat="1"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37" fontId="5" fillId="34" borderId="0" xfId="0" applyNumberFormat="1" applyFont="1" applyFill="1" applyBorder="1" applyAlignment="1" applyProtection="1">
      <alignment horizontal="left" vertical="center"/>
      <protection/>
    </xf>
    <xf numFmtId="37" fontId="6" fillId="37" borderId="0" xfId="0" applyNumberFormat="1" applyFont="1" applyFill="1" applyAlignment="1" applyProtection="1">
      <alignment horizontal="center" vertical="center"/>
      <protection/>
    </xf>
    <xf numFmtId="0" fontId="6" fillId="37" borderId="10" xfId="0" applyFont="1" applyFill="1" applyBorder="1" applyAlignment="1">
      <alignment horizontal="center" vertical="center"/>
    </xf>
    <xf numFmtId="37" fontId="6" fillId="34" borderId="12" xfId="0" applyNumberFormat="1" applyFont="1" applyFill="1" applyBorder="1" applyAlignment="1" applyProtection="1">
      <alignment vertical="center"/>
      <protection/>
    </xf>
    <xf numFmtId="169" fontId="6" fillId="33" borderId="12" xfId="0" applyNumberFormat="1" applyFont="1" applyFill="1" applyBorder="1" applyAlignment="1" applyProtection="1">
      <alignment vertical="center"/>
      <protection locked="0"/>
    </xf>
    <xf numFmtId="0" fontId="6" fillId="34" borderId="16" xfId="0" applyFont="1" applyFill="1" applyBorder="1" applyAlignment="1" applyProtection="1">
      <alignment vertical="center"/>
      <protection/>
    </xf>
    <xf numFmtId="169" fontId="6" fillId="39" borderId="12" xfId="0" applyNumberFormat="1" applyFont="1" applyFill="1" applyBorder="1" applyAlignment="1" applyProtection="1">
      <alignment vertical="center"/>
      <protection/>
    </xf>
    <xf numFmtId="37" fontId="6" fillId="37" borderId="10" xfId="0" applyNumberFormat="1" applyFont="1" applyFill="1" applyBorder="1" applyAlignment="1" applyProtection="1">
      <alignment horizontal="left" vertical="center"/>
      <protection/>
    </xf>
    <xf numFmtId="0" fontId="6" fillId="37" borderId="10" xfId="0" applyFont="1" applyFill="1" applyBorder="1" applyAlignment="1" applyProtection="1">
      <alignment vertical="center"/>
      <protection/>
    </xf>
    <xf numFmtId="0" fontId="6" fillId="37" borderId="11" xfId="0" applyFont="1" applyFill="1" applyBorder="1" applyAlignment="1" applyProtection="1">
      <alignment vertical="center"/>
      <protection/>
    </xf>
    <xf numFmtId="0" fontId="6" fillId="34" borderId="11" xfId="0" applyFont="1" applyFill="1" applyBorder="1" applyAlignment="1" applyProtection="1">
      <alignment vertical="center"/>
      <protection/>
    </xf>
    <xf numFmtId="0" fontId="6" fillId="34" borderId="17" xfId="0" applyFont="1" applyFill="1" applyBorder="1" applyAlignment="1" applyProtection="1">
      <alignment vertical="center"/>
      <protection/>
    </xf>
    <xf numFmtId="0" fontId="6" fillId="37"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locked="0"/>
    </xf>
    <xf numFmtId="0" fontId="6" fillId="37" borderId="10" xfId="0" applyFont="1" applyFill="1" applyBorder="1" applyAlignment="1" applyProtection="1">
      <alignment vertical="center"/>
      <protection locked="0"/>
    </xf>
    <xf numFmtId="0" fontId="6" fillId="34" borderId="16" xfId="0" applyFont="1" applyFill="1" applyBorder="1" applyAlignment="1" applyProtection="1">
      <alignment vertical="center"/>
      <protection locked="0"/>
    </xf>
    <xf numFmtId="0" fontId="6" fillId="37" borderId="11" xfId="0" applyFont="1" applyFill="1" applyBorder="1" applyAlignment="1" applyProtection="1">
      <alignment vertical="center"/>
      <protection locked="0"/>
    </xf>
    <xf numFmtId="0" fontId="6" fillId="34" borderId="17" xfId="0" applyFont="1" applyFill="1" applyBorder="1" applyAlignment="1" applyProtection="1">
      <alignment vertical="center"/>
      <protection locked="0"/>
    </xf>
    <xf numFmtId="0" fontId="0" fillId="0" borderId="0" xfId="0" applyAlignment="1">
      <alignment vertical="center"/>
    </xf>
    <xf numFmtId="37" fontId="6" fillId="34" borderId="0" xfId="0" applyNumberFormat="1" applyFont="1" applyFill="1" applyAlignment="1">
      <alignment vertical="center"/>
    </xf>
    <xf numFmtId="0" fontId="0" fillId="34" borderId="0" xfId="0" applyFill="1" applyAlignment="1">
      <alignment vertical="center"/>
    </xf>
    <xf numFmtId="37" fontId="6" fillId="34" borderId="16" xfId="0" applyNumberFormat="1" applyFont="1" applyFill="1" applyBorder="1" applyAlignment="1" applyProtection="1">
      <alignment horizontal="left" vertical="center"/>
      <protection/>
    </xf>
    <xf numFmtId="37" fontId="6" fillId="34" borderId="11" xfId="0" applyNumberFormat="1" applyFont="1" applyFill="1" applyBorder="1" applyAlignment="1" applyProtection="1">
      <alignment horizontal="left" vertical="center"/>
      <protection/>
    </xf>
    <xf numFmtId="3" fontId="6" fillId="33" borderId="1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6" fillId="34" borderId="12" xfId="0" applyNumberFormat="1" applyFont="1" applyFill="1" applyBorder="1" applyAlignment="1" applyProtection="1">
      <alignment horizontal="center" vertical="center" wrapText="1"/>
      <protection/>
    </xf>
    <xf numFmtId="37" fontId="6" fillId="33" borderId="12" xfId="0" applyNumberFormat="1" applyFont="1" applyFill="1" applyBorder="1" applyAlignment="1" applyProtection="1">
      <alignment horizontal="right" vertical="center" wrapText="1"/>
      <protection locked="0"/>
    </xf>
    <xf numFmtId="37" fontId="6" fillId="39" borderId="12" xfId="0" applyNumberFormat="1" applyFont="1" applyFill="1" applyBorder="1" applyAlignment="1" applyProtection="1">
      <alignment horizontal="right" vertical="center" wrapText="1"/>
      <protection/>
    </xf>
    <xf numFmtId="0" fontId="5" fillId="34" borderId="18" xfId="0" applyFont="1" applyFill="1" applyBorder="1" applyAlignment="1" applyProtection="1">
      <alignment horizontal="center" vertical="center"/>
      <protection/>
    </xf>
    <xf numFmtId="169" fontId="6" fillId="33" borderId="10" xfId="0" applyNumberFormat="1" applyFont="1" applyFill="1" applyBorder="1" applyAlignment="1" applyProtection="1">
      <alignment vertical="center"/>
      <protection locked="0"/>
    </xf>
    <xf numFmtId="169" fontId="6" fillId="33" borderId="11" xfId="0" applyNumberFormat="1" applyFont="1" applyFill="1" applyBorder="1" applyAlignment="1" applyProtection="1">
      <alignment vertical="center"/>
      <protection locked="0"/>
    </xf>
    <xf numFmtId="0" fontId="6" fillId="34" borderId="19" xfId="0" applyFont="1" applyFill="1" applyBorder="1" applyAlignment="1" applyProtection="1">
      <alignment vertical="center"/>
      <protection/>
    </xf>
    <xf numFmtId="169" fontId="6"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3" fontId="0" fillId="34" borderId="0" xfId="0" applyNumberFormat="1" applyFill="1" applyBorder="1" applyAlignment="1" applyProtection="1">
      <alignment vertical="center"/>
      <protection locked="0"/>
    </xf>
    <xf numFmtId="0" fontId="14" fillId="34" borderId="0" xfId="0" applyFont="1" applyFill="1" applyBorder="1" applyAlignment="1" applyProtection="1">
      <alignment horizontal="center" vertical="center"/>
      <protection/>
    </xf>
    <xf numFmtId="37" fontId="14" fillId="37" borderId="0" xfId="0" applyNumberFormat="1" applyFont="1" applyFill="1" applyAlignment="1" applyProtection="1">
      <alignment horizontal="left" vertical="center"/>
      <protection/>
    </xf>
    <xf numFmtId="3" fontId="6" fillId="37" borderId="0" xfId="0" applyNumberFormat="1" applyFont="1" applyFill="1" applyAlignment="1" applyProtection="1">
      <alignment vertical="center"/>
      <protection/>
    </xf>
    <xf numFmtId="3" fontId="6" fillId="35" borderId="0" xfId="0" applyNumberFormat="1" applyFont="1" applyFill="1" applyAlignment="1" applyProtection="1">
      <alignment vertical="center"/>
      <protection/>
    </xf>
    <xf numFmtId="37" fontId="5" fillId="34" borderId="20"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lignment horizontal="left" vertical="center"/>
    </xf>
    <xf numFmtId="37" fontId="6" fillId="34" borderId="22" xfId="0" applyNumberFormat="1" applyFont="1" applyFill="1" applyBorder="1" applyAlignment="1" applyProtection="1">
      <alignment horizontal="left" vertical="center"/>
      <protection/>
    </xf>
    <xf numFmtId="3" fontId="6" fillId="33" borderId="17" xfId="0" applyNumberFormat="1" applyFont="1" applyFill="1" applyBorder="1" applyAlignment="1" applyProtection="1">
      <alignment vertical="center"/>
      <protection locked="0"/>
    </xf>
    <xf numFmtId="3" fontId="6" fillId="39" borderId="17" xfId="0" applyNumberFormat="1" applyFont="1" applyFill="1" applyBorder="1" applyAlignment="1" applyProtection="1">
      <alignment vertical="center"/>
      <protection/>
    </xf>
    <xf numFmtId="3" fontId="6" fillId="34" borderId="17"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6" fillId="34" borderId="0" xfId="0" applyFont="1" applyFill="1" applyAlignment="1">
      <alignment horizontal="center" vertical="center"/>
    </xf>
    <xf numFmtId="37" fontId="6" fillId="36" borderId="0" xfId="0" applyNumberFormat="1" applyFont="1" applyFill="1" applyBorder="1" applyAlignment="1" applyProtection="1">
      <alignment horizontal="left" vertical="center"/>
      <protection/>
    </xf>
    <xf numFmtId="0" fontId="6" fillId="36" borderId="0" xfId="0" applyFont="1" applyFill="1" applyBorder="1" applyAlignment="1" applyProtection="1">
      <alignment vertical="center"/>
      <protection/>
    </xf>
    <xf numFmtId="188" fontId="6" fillId="36" borderId="0" xfId="0" applyNumberFormat="1" applyFont="1" applyFill="1" applyBorder="1" applyAlignment="1" applyProtection="1">
      <alignment vertical="center"/>
      <protection locked="0"/>
    </xf>
    <xf numFmtId="0" fontId="0" fillId="36" borderId="0" xfId="0" applyFill="1" applyAlignment="1">
      <alignment vertical="center"/>
    </xf>
    <xf numFmtId="0" fontId="5"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0" fillId="38" borderId="0" xfId="0" applyFill="1" applyAlignment="1">
      <alignment vertical="center"/>
    </xf>
    <xf numFmtId="0" fontId="6"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6"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6" fillId="35" borderId="13" xfId="0" applyFont="1" applyFill="1" applyBorder="1" applyAlignment="1">
      <alignment horizontal="center" vertical="center"/>
    </xf>
    <xf numFmtId="0" fontId="6" fillId="35" borderId="14" xfId="0" applyFont="1" applyFill="1" applyBorder="1" applyAlignment="1">
      <alignment horizontal="center" vertical="center"/>
    </xf>
    <xf numFmtId="0" fontId="18" fillId="34" borderId="0" xfId="0" applyFont="1" applyFill="1" applyAlignment="1">
      <alignment vertical="center"/>
    </xf>
    <xf numFmtId="0" fontId="20" fillId="34" borderId="0" xfId="0" applyFont="1" applyFill="1" applyAlignment="1">
      <alignment vertical="center"/>
    </xf>
    <xf numFmtId="37" fontId="6" fillId="34" borderId="12" xfId="0" applyNumberFormat="1" applyFont="1" applyFill="1" applyBorder="1" applyAlignment="1">
      <alignment vertical="center"/>
    </xf>
    <xf numFmtId="0" fontId="4" fillId="34" borderId="0" xfId="0" applyFont="1" applyFill="1" applyAlignment="1" applyProtection="1">
      <alignment vertical="center"/>
      <protection locked="0"/>
    </xf>
    <xf numFmtId="1" fontId="6" fillId="3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3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4" borderId="10" xfId="0" applyFont="1" applyFill="1" applyBorder="1" applyAlignment="1" applyProtection="1">
      <alignment vertical="center"/>
      <protection/>
    </xf>
    <xf numFmtId="0" fontId="6" fillId="34" borderId="23" xfId="0" applyFont="1" applyFill="1" applyBorder="1" applyAlignment="1" applyProtection="1">
      <alignment vertical="center"/>
      <protection/>
    </xf>
    <xf numFmtId="1" fontId="6" fillId="34" borderId="22" xfId="0" applyNumberFormat="1" applyFont="1" applyFill="1" applyBorder="1" applyAlignment="1" applyProtection="1">
      <alignment horizontal="right" vertical="center"/>
      <protection/>
    </xf>
    <xf numFmtId="0" fontId="6" fillId="34" borderId="11" xfId="0" applyFont="1" applyFill="1" applyBorder="1" applyAlignment="1" applyProtection="1">
      <alignment horizontal="left" vertical="center"/>
      <protection/>
    </xf>
    <xf numFmtId="0" fontId="6" fillId="34" borderId="17" xfId="0" applyFont="1" applyFill="1" applyBorder="1" applyAlignment="1" applyProtection="1">
      <alignment horizontal="centerContinuous" vertical="center"/>
      <protection/>
    </xf>
    <xf numFmtId="37" fontId="6" fillId="34" borderId="10" xfId="0" applyNumberFormat="1" applyFont="1" applyFill="1" applyBorder="1" applyAlignment="1" applyProtection="1">
      <alignment horizontal="fill" vertical="center"/>
      <protection/>
    </xf>
    <xf numFmtId="37" fontId="6" fillId="34" borderId="13"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37" fontId="6" fillId="34"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0" fontId="6" fillId="34" borderId="24"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34" borderId="14" xfId="0" applyNumberFormat="1" applyFont="1" applyFill="1" applyBorder="1" applyAlignment="1" applyProtection="1">
      <alignment horizontal="left" vertical="center"/>
      <protection/>
    </xf>
    <xf numFmtId="37" fontId="14" fillId="34" borderId="14" xfId="0" applyNumberFormat="1" applyFont="1" applyFill="1" applyBorder="1" applyAlignment="1" applyProtection="1">
      <alignment horizontal="center" vertical="center"/>
      <protection/>
    </xf>
    <xf numFmtId="0" fontId="6" fillId="34" borderId="12" xfId="0" applyFont="1" applyFill="1" applyBorder="1" applyAlignment="1" applyProtection="1">
      <alignment horizontal="center" vertical="center"/>
      <protection/>
    </xf>
    <xf numFmtId="37" fontId="6" fillId="39" borderId="12"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6" fillId="34" borderId="13" xfId="0" applyFont="1" applyFill="1" applyBorder="1" applyAlignment="1" applyProtection="1">
      <alignment vertical="center"/>
      <protection/>
    </xf>
    <xf numFmtId="37" fontId="5" fillId="34" borderId="25" xfId="0" applyNumberFormat="1" applyFont="1" applyFill="1" applyBorder="1" applyAlignment="1" applyProtection="1">
      <alignment horizontal="left" vertical="center"/>
      <protection/>
    </xf>
    <xf numFmtId="37" fontId="6" fillId="34" borderId="17" xfId="0" applyNumberFormat="1" applyFont="1" applyFill="1" applyBorder="1" applyAlignment="1" applyProtection="1">
      <alignment horizontal="fill" vertical="center"/>
      <protection/>
    </xf>
    <xf numFmtId="0" fontId="6" fillId="34" borderId="15" xfId="0" applyFont="1" applyFill="1" applyBorder="1" applyAlignment="1">
      <alignment horizontal="center" vertical="center"/>
    </xf>
    <xf numFmtId="37" fontId="6" fillId="40" borderId="14" xfId="0" applyNumberFormat="1" applyFont="1" applyFill="1" applyBorder="1" applyAlignment="1" applyProtection="1">
      <alignment horizontal="left" vertical="center"/>
      <protection/>
    </xf>
    <xf numFmtId="0" fontId="6" fillId="40" borderId="14" xfId="0" applyFont="1" applyFill="1" applyBorder="1" applyAlignment="1" applyProtection="1">
      <alignment vertical="center"/>
      <protection/>
    </xf>
    <xf numFmtId="37" fontId="7" fillId="34" borderId="24" xfId="0" applyNumberFormat="1" applyFont="1" applyFill="1" applyBorder="1" applyAlignment="1" applyProtection="1">
      <alignment horizontal="left" vertical="center"/>
      <protection/>
    </xf>
    <xf numFmtId="37" fontId="6" fillId="34" borderId="14" xfId="0" applyNumberFormat="1"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6" fillId="34" borderId="0" xfId="0" applyNumberFormat="1" applyFont="1" applyFill="1" applyBorder="1" applyAlignment="1" applyProtection="1">
      <alignment horizontal="left" vertical="center"/>
      <protection/>
    </xf>
    <xf numFmtId="37" fontId="6" fillId="34" borderId="0" xfId="0" applyNumberFormat="1" applyFont="1" applyFill="1" applyAlignment="1" applyProtection="1">
      <alignment horizontal="centerContinuous" vertical="center"/>
      <protection locked="0"/>
    </xf>
    <xf numFmtId="0" fontId="6" fillId="34" borderId="0" xfId="0" applyFont="1" applyFill="1" applyAlignment="1" applyProtection="1">
      <alignment horizontal="centerContinuous" vertical="center"/>
      <protection locked="0"/>
    </xf>
    <xf numFmtId="0" fontId="6" fillId="3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horizontal="righ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locked="0"/>
    </xf>
    <xf numFmtId="3" fontId="6" fillId="34" borderId="0" xfId="0" applyNumberFormat="1" applyFont="1" applyFill="1" applyBorder="1" applyAlignment="1" applyProtection="1">
      <alignment vertical="center"/>
      <protection/>
    </xf>
    <xf numFmtId="0" fontId="6" fillId="34" borderId="0" xfId="0" applyFont="1" applyFill="1" applyAlignment="1" applyProtection="1" quotePrefix="1">
      <alignment vertical="center"/>
      <protection/>
    </xf>
    <xf numFmtId="0" fontId="6" fillId="34" borderId="0" xfId="0" applyFont="1" applyFill="1" applyAlignment="1" applyProtection="1">
      <alignment horizontal="right" vertical="center"/>
      <protection/>
    </xf>
    <xf numFmtId="3" fontId="6" fillId="34" borderId="19"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locked="0"/>
    </xf>
    <xf numFmtId="0" fontId="8" fillId="0" borderId="0" xfId="0" applyFont="1" applyAlignment="1">
      <alignment vertical="center"/>
    </xf>
    <xf numFmtId="37" fontId="6" fillId="34" borderId="0" xfId="0" applyNumberFormat="1" applyFont="1" applyFill="1" applyAlignment="1" applyProtection="1">
      <alignment horizontal="right" vertical="center"/>
      <protection/>
    </xf>
    <xf numFmtId="0" fontId="6" fillId="34" borderId="13" xfId="0" applyFont="1" applyFill="1" applyBorder="1" applyAlignment="1" applyProtection="1">
      <alignment horizontal="center" vertical="center"/>
      <protection/>
    </xf>
    <xf numFmtId="0" fontId="6" fillId="34" borderId="24" xfId="0" applyNumberFormat="1" applyFont="1" applyFill="1" applyBorder="1" applyAlignment="1" applyProtection="1">
      <alignment horizontal="center" vertical="center"/>
      <protection/>
    </xf>
    <xf numFmtId="1" fontId="6" fillId="34" borderId="24"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3" fontId="6" fillId="39" borderId="27" xfId="0" applyNumberFormat="1" applyFont="1" applyFill="1" applyBorder="1" applyAlignment="1" applyProtection="1">
      <alignment horizontal="center" vertical="center"/>
      <protection/>
    </xf>
    <xf numFmtId="3" fontId="6" fillId="39" borderId="28" xfId="0" applyNumberFormat="1" applyFont="1" applyFill="1" applyBorder="1" applyAlignment="1" applyProtection="1">
      <alignment horizontal="center" vertical="center"/>
      <protection/>
    </xf>
    <xf numFmtId="166" fontId="6" fillId="34" borderId="0" xfId="0" applyNumberFormat="1" applyFont="1" applyFill="1" applyAlignment="1" applyProtection="1">
      <alignment vertical="center"/>
      <protection/>
    </xf>
    <xf numFmtId="171" fontId="6" fillId="39" borderId="10" xfId="0" applyNumberFormat="1" applyFont="1" applyFill="1" applyBorder="1" applyAlignment="1" applyProtection="1">
      <alignment vertical="center"/>
      <protection/>
    </xf>
    <xf numFmtId="0" fontId="6" fillId="34" borderId="0" xfId="0" applyFont="1" applyFill="1" applyBorder="1" applyAlignment="1" applyProtection="1">
      <alignment vertical="center"/>
      <protection locked="0"/>
    </xf>
    <xf numFmtId="0" fontId="6" fillId="0" borderId="0" xfId="0" applyFont="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6" fillId="34" borderId="14" xfId="0" applyNumberFormat="1"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xf>
    <xf numFmtId="3" fontId="6" fillId="39" borderId="12"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34" borderId="0" xfId="373" applyFont="1" applyFill="1" applyAlignment="1" applyProtection="1">
      <alignment horizontal="centerContinuous" vertical="center"/>
      <protection/>
    </xf>
    <xf numFmtId="0" fontId="6" fillId="34" borderId="10" xfId="0" applyFont="1" applyFill="1" applyBorder="1" applyAlignment="1" applyProtection="1">
      <alignment horizontal="fill" vertical="center"/>
      <protection/>
    </xf>
    <xf numFmtId="0" fontId="6" fillId="34" borderId="20" xfId="0"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24" xfId="0" applyFont="1" applyFill="1" applyBorder="1" applyAlignment="1" applyProtection="1">
      <alignment horizontal="center" vertical="center"/>
      <protection/>
    </xf>
    <xf numFmtId="0" fontId="6" fillId="34" borderId="25" xfId="0" applyFont="1" applyFill="1" applyBorder="1" applyAlignment="1" applyProtection="1">
      <alignment horizontal="center" vertical="center"/>
      <protection/>
    </xf>
    <xf numFmtId="0" fontId="6" fillId="34" borderId="12" xfId="0" applyFont="1" applyFill="1" applyBorder="1" applyAlignment="1" applyProtection="1">
      <alignment horizontal="left" vertical="center"/>
      <protection/>
    </xf>
    <xf numFmtId="0" fontId="6" fillId="34" borderId="14" xfId="0" applyFont="1" applyFill="1" applyBorder="1" applyAlignment="1" applyProtection="1">
      <alignment horizontal="center" vertical="center"/>
      <protection/>
    </xf>
    <xf numFmtId="2" fontId="6" fillId="34" borderId="12" xfId="0" applyNumberFormat="1" applyFont="1" applyFill="1" applyBorder="1" applyAlignment="1" applyProtection="1">
      <alignment vertical="center"/>
      <protection/>
    </xf>
    <xf numFmtId="0" fontId="6" fillId="33" borderId="12" xfId="0" applyFont="1" applyFill="1" applyBorder="1" applyAlignment="1" applyProtection="1">
      <alignment horizontal="center" vertical="center"/>
      <protection locked="0"/>
    </xf>
    <xf numFmtId="2" fontId="6" fillId="33" borderId="12" xfId="0" applyNumberFormat="1" applyFont="1" applyFill="1" applyBorder="1" applyAlignment="1" applyProtection="1">
      <alignment horizontal="center" vertical="center"/>
      <protection locked="0"/>
    </xf>
    <xf numFmtId="3" fontId="6" fillId="33" borderId="12" xfId="0" applyNumberFormat="1" applyFont="1" applyFill="1" applyBorder="1" applyAlignment="1" applyProtection="1">
      <alignment horizontal="center" vertical="center"/>
      <protection locked="0"/>
    </xf>
    <xf numFmtId="37" fontId="6" fillId="33" borderId="12" xfId="0" applyNumberFormat="1" applyFont="1" applyFill="1" applyBorder="1" applyAlignment="1" applyProtection="1">
      <alignment horizontal="center" vertical="center"/>
      <protection locked="0"/>
    </xf>
    <xf numFmtId="175" fontId="6" fillId="33" borderId="12" xfId="0" applyNumberFormat="1" applyFont="1" applyFill="1" applyBorder="1" applyAlignment="1" applyProtection="1">
      <alignment horizontal="center" vertical="center"/>
      <protection locked="0"/>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74" fontId="6" fillId="34" borderId="12" xfId="0" applyNumberFormat="1" applyFont="1" applyFill="1" applyBorder="1" applyAlignment="1" applyProtection="1">
      <alignment horizontal="center" vertical="center"/>
      <protection/>
    </xf>
    <xf numFmtId="2" fontId="6" fillId="34" borderId="12" xfId="0" applyNumberFormat="1" applyFont="1" applyFill="1" applyBorder="1" applyAlignment="1" applyProtection="1">
      <alignment horizontal="center" vertical="center"/>
      <protection/>
    </xf>
    <xf numFmtId="175" fontId="6" fillId="34"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 fontId="5" fillId="39" borderId="12" xfId="0" applyNumberFormat="1" applyFont="1" applyFill="1" applyBorder="1" applyAlignment="1" applyProtection="1">
      <alignment horizontal="center" vertical="center"/>
      <protection/>
    </xf>
    <xf numFmtId="1" fontId="6" fillId="34" borderId="12"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5" xfId="0" applyFont="1" applyBorder="1" applyAlignment="1" applyProtection="1">
      <alignment vertical="center"/>
      <protection locked="0"/>
    </xf>
    <xf numFmtId="0" fontId="9" fillId="34" borderId="14" xfId="0" applyFont="1" applyFill="1" applyBorder="1" applyAlignment="1" applyProtection="1">
      <alignment horizontal="center" vertical="center"/>
      <protection/>
    </xf>
    <xf numFmtId="14" fontId="6" fillId="33" borderId="12" xfId="0" applyNumberFormat="1" applyFont="1" applyFill="1" applyBorder="1" applyAlignment="1" applyProtection="1">
      <alignment horizontal="center" vertical="center"/>
      <protection locked="0"/>
    </xf>
    <xf numFmtId="1" fontId="6" fillId="33" borderId="12" xfId="0" applyNumberFormat="1" applyFont="1" applyFill="1" applyBorder="1" applyAlignment="1" applyProtection="1">
      <alignment horizontal="center" vertical="center"/>
      <protection locked="0"/>
    </xf>
    <xf numFmtId="3" fontId="5" fillId="39" borderId="27" xfId="0" applyNumberFormat="1" applyFont="1" applyFill="1" applyBorder="1" applyAlignment="1" applyProtection="1">
      <alignment horizontal="center" vertical="center"/>
      <protection/>
    </xf>
    <xf numFmtId="3" fontId="5" fillId="39" borderId="29" xfId="0" applyNumberFormat="1" applyFont="1" applyFill="1" applyBorder="1" applyAlignment="1" applyProtection="1">
      <alignment horizontal="center" vertical="center"/>
      <protection/>
    </xf>
    <xf numFmtId="0" fontId="6" fillId="36" borderId="0" xfId="372" applyFont="1" applyFill="1" applyAlignment="1" applyProtection="1">
      <alignment vertical="center"/>
      <protection/>
    </xf>
    <xf numFmtId="0" fontId="6" fillId="36" borderId="0" xfId="0" applyFont="1" applyFill="1" applyAlignment="1" applyProtection="1">
      <alignment vertical="center"/>
      <protection/>
    </xf>
    <xf numFmtId="37" fontId="6" fillId="34" borderId="0" xfId="0" applyNumberFormat="1" applyFont="1" applyFill="1" applyAlignment="1" applyProtection="1">
      <alignment horizontal="fill" vertical="center"/>
      <protection/>
    </xf>
    <xf numFmtId="3" fontId="6" fillId="34" borderId="12" xfId="42" applyNumberFormat="1" applyFont="1" applyFill="1" applyBorder="1" applyAlignment="1" applyProtection="1">
      <alignment horizontal="right" vertical="center"/>
      <protection/>
    </xf>
    <xf numFmtId="37" fontId="6" fillId="34" borderId="25" xfId="0" applyNumberFormat="1" applyFont="1" applyFill="1" applyBorder="1" applyAlignment="1" applyProtection="1">
      <alignment horizontal="left" vertical="center"/>
      <protection/>
    </xf>
    <xf numFmtId="3" fontId="6" fillId="34" borderId="12" xfId="0" applyNumberFormat="1" applyFont="1" applyFill="1" applyBorder="1" applyAlignment="1" applyProtection="1">
      <alignment horizontal="fill" vertical="center"/>
      <protection/>
    </xf>
    <xf numFmtId="3" fontId="6" fillId="33" borderId="12" xfId="0" applyNumberFormat="1" applyFont="1" applyFill="1" applyBorder="1" applyAlignment="1" applyProtection="1">
      <alignment horizontal="right" vertical="center"/>
      <protection locked="0"/>
    </xf>
    <xf numFmtId="3" fontId="6" fillId="34" borderId="12" xfId="0" applyNumberFormat="1" applyFont="1" applyFill="1" applyBorder="1" applyAlignment="1" applyProtection="1">
      <alignment horizontal="right" vertical="center"/>
      <protection/>
    </xf>
    <xf numFmtId="0" fontId="6" fillId="34" borderId="22" xfId="0" applyNumberFormat="1" applyFont="1" applyFill="1" applyBorder="1" applyAlignment="1" applyProtection="1">
      <alignment horizontal="left" vertical="center"/>
      <protection/>
    </xf>
    <xf numFmtId="0" fontId="6" fillId="33" borderId="22" xfId="0" applyNumberFormat="1" applyFont="1" applyFill="1" applyBorder="1" applyAlignment="1" applyProtection="1">
      <alignment horizontal="left" vertical="center"/>
      <protection locked="0"/>
    </xf>
    <xf numFmtId="3" fontId="6" fillId="33" borderId="12" xfId="0" applyNumberFormat="1" applyFont="1" applyFill="1" applyBorder="1" applyAlignment="1" applyProtection="1">
      <alignment horizontal="right" vertical="center"/>
      <protection locked="0"/>
    </xf>
    <xf numFmtId="0" fontId="6" fillId="33" borderId="20" xfId="0" applyNumberFormat="1" applyFont="1" applyFill="1" applyBorder="1" applyAlignment="1" applyProtection="1">
      <alignment horizontal="left" vertical="center"/>
      <protection locked="0"/>
    </xf>
    <xf numFmtId="3" fontId="6" fillId="33" borderId="14" xfId="0" applyNumberFormat="1" applyFont="1" applyFill="1" applyBorder="1" applyAlignment="1" applyProtection="1">
      <alignment horizontal="right" vertical="center"/>
      <protection locked="0"/>
    </xf>
    <xf numFmtId="3" fontId="18" fillId="41" borderId="12" xfId="0" applyNumberFormat="1"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left" vertical="center"/>
      <protection/>
    </xf>
    <xf numFmtId="3" fontId="5" fillId="39" borderId="14" xfId="0" applyNumberFormat="1" applyFont="1" applyFill="1" applyBorder="1" applyAlignment="1" applyProtection="1">
      <alignment horizontal="right" vertical="center"/>
      <protection/>
    </xf>
    <xf numFmtId="3" fontId="5" fillId="39" borderId="12" xfId="0" applyNumberFormat="1" applyFont="1" applyFill="1" applyBorder="1" applyAlignment="1" applyProtection="1">
      <alignment horizontal="right" vertical="center"/>
      <protection/>
    </xf>
    <xf numFmtId="0" fontId="6" fillId="33" borderId="22" xfId="0" applyFont="1" applyFill="1" applyBorder="1" applyAlignment="1" applyProtection="1">
      <alignment vertical="center"/>
      <protection locked="0"/>
    </xf>
    <xf numFmtId="3" fontId="6" fillId="39" borderId="12" xfId="0" applyNumberFormat="1" applyFont="1" applyFill="1" applyBorder="1" applyAlignment="1" applyProtection="1">
      <alignment horizontal="right" vertical="center"/>
      <protection/>
    </xf>
    <xf numFmtId="0" fontId="18" fillId="0" borderId="0" xfId="0" applyFont="1" applyAlignment="1" applyProtection="1">
      <alignment vertical="center"/>
      <protection/>
    </xf>
    <xf numFmtId="0" fontId="15" fillId="34" borderId="0" xfId="0" applyFont="1" applyFill="1" applyAlignment="1" applyProtection="1">
      <alignment horizontal="center" vertical="center"/>
      <protection/>
    </xf>
    <xf numFmtId="2" fontId="6" fillId="34" borderId="0" xfId="0" applyNumberFormat="1" applyFont="1" applyFill="1" applyAlignment="1" applyProtection="1">
      <alignment horizontal="right" vertical="center"/>
      <protection locked="0"/>
    </xf>
    <xf numFmtId="0" fontId="6" fillId="34" borderId="0" xfId="0" applyFont="1" applyFill="1" applyAlignment="1">
      <alignment horizontal="right" vertical="center"/>
    </xf>
    <xf numFmtId="0" fontId="6" fillId="34" borderId="0" xfId="0" applyFont="1" applyFill="1" applyAlignment="1">
      <alignment vertical="center"/>
    </xf>
    <xf numFmtId="0" fontId="6" fillId="33" borderId="0" xfId="0" applyFont="1" applyFill="1" applyAlignment="1" applyProtection="1">
      <alignment horizontal="left" vertical="center"/>
      <protection locked="0"/>
    </xf>
    <xf numFmtId="0" fontId="6" fillId="34" borderId="0" xfId="0"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fill" vertical="center"/>
      <protection/>
    </xf>
    <xf numFmtId="0" fontId="6" fillId="34" borderId="14" xfId="0" applyNumberFormat="1" applyFont="1" applyFill="1" applyBorder="1" applyAlignment="1" applyProtection="1">
      <alignment horizontal="center" vertical="center"/>
      <protection/>
    </xf>
    <xf numFmtId="0" fontId="6" fillId="33" borderId="12" xfId="0" applyFont="1" applyFill="1" applyBorder="1" applyAlignment="1" applyProtection="1">
      <alignment horizontal="left" vertical="center"/>
      <protection locked="0"/>
    </xf>
    <xf numFmtId="0" fontId="6" fillId="33" borderId="12" xfId="0" applyFont="1" applyFill="1" applyBorder="1" applyAlignment="1" applyProtection="1">
      <alignment horizontal="left" vertical="center"/>
      <protection locked="0"/>
    </xf>
    <xf numFmtId="37" fontId="6" fillId="33" borderId="12" xfId="0" applyNumberFormat="1" applyFont="1" applyFill="1" applyBorder="1" applyAlignment="1" applyProtection="1">
      <alignment vertical="center"/>
      <protection locked="0"/>
    </xf>
    <xf numFmtId="37" fontId="5" fillId="39" borderId="12" xfId="0" applyNumberFormat="1" applyFont="1" applyFill="1" applyBorder="1" applyAlignment="1" applyProtection="1">
      <alignment vertical="center"/>
      <protection/>
    </xf>
    <xf numFmtId="37" fontId="5" fillId="39" borderId="27" xfId="0" applyNumberFormat="1" applyFont="1" applyFill="1" applyBorder="1" applyAlignment="1" applyProtection="1">
      <alignment vertical="center"/>
      <protection/>
    </xf>
    <xf numFmtId="3" fontId="6" fillId="33" borderId="17" xfId="0" applyNumberFormat="1" applyFont="1" applyFill="1" applyBorder="1" applyAlignment="1" applyProtection="1">
      <alignment vertical="center"/>
      <protection locked="0"/>
    </xf>
    <xf numFmtId="3" fontId="6" fillId="39" borderId="12" xfId="0" applyNumberFormat="1" applyFont="1" applyFill="1" applyBorder="1" applyAlignment="1" applyProtection="1">
      <alignment horizontal="right" vertical="center"/>
      <protection locked="0"/>
    </xf>
    <xf numFmtId="37" fontId="6" fillId="33" borderId="22" xfId="0" applyNumberFormat="1" applyFont="1" applyFill="1" applyBorder="1" applyAlignment="1" applyProtection="1">
      <alignment horizontal="left" vertical="center"/>
      <protection locked="0"/>
    </xf>
    <xf numFmtId="3" fontId="18" fillId="41" borderId="21"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fill" vertical="center"/>
      <protection/>
    </xf>
    <xf numFmtId="166" fontId="6" fillId="34" borderId="10" xfId="0" applyNumberFormat="1"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0" fontId="6" fillId="34" borderId="22" xfId="0" applyFont="1" applyFill="1" applyBorder="1" applyAlignment="1" applyProtection="1">
      <alignment vertical="center"/>
      <protection locked="0"/>
    </xf>
    <xf numFmtId="3" fontId="6" fillId="34" borderId="0" xfId="0" applyNumberFormat="1" applyFont="1" applyFill="1" applyBorder="1" applyAlignment="1" applyProtection="1">
      <alignment horizontal="fill" vertical="center"/>
      <protection/>
    </xf>
    <xf numFmtId="37" fontId="6" fillId="33" borderId="17" xfId="0" applyNumberFormat="1"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37" fontId="6" fillId="33" borderId="12" xfId="0" applyNumberFormat="1" applyFont="1" applyFill="1" applyBorder="1" applyAlignment="1" applyProtection="1">
      <alignment vertical="center"/>
      <protection locked="0"/>
    </xf>
    <xf numFmtId="0" fontId="5" fillId="34" borderId="0" xfId="0" applyFont="1" applyFill="1" applyAlignment="1">
      <alignment horizontal="center" vertical="center"/>
    </xf>
    <xf numFmtId="0" fontId="6" fillId="34" borderId="17" xfId="0" applyFont="1" applyFill="1" applyBorder="1" applyAlignment="1">
      <alignment vertical="center"/>
    </xf>
    <xf numFmtId="0" fontId="17" fillId="34" borderId="13" xfId="0" applyFont="1" applyFill="1" applyBorder="1" applyAlignment="1">
      <alignment vertical="center"/>
    </xf>
    <xf numFmtId="0" fontId="17" fillId="34" borderId="17" xfId="0" applyFont="1" applyFill="1" applyBorder="1" applyAlignment="1">
      <alignment horizontal="center" vertical="center"/>
    </xf>
    <xf numFmtId="0" fontId="17" fillId="34" borderId="21" xfId="0" applyFont="1" applyFill="1" applyBorder="1" applyAlignment="1">
      <alignment vertical="center"/>
    </xf>
    <xf numFmtId="0" fontId="17" fillId="34" borderId="12"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2" xfId="0" applyFont="1" applyFill="1" applyBorder="1" applyAlignment="1">
      <alignment horizontal="center" vertical="center"/>
    </xf>
    <xf numFmtId="0" fontId="17" fillId="34" borderId="25" xfId="0" applyFont="1" applyFill="1" applyBorder="1" applyAlignment="1">
      <alignment vertical="center"/>
    </xf>
    <xf numFmtId="3" fontId="17" fillId="33" borderId="12" xfId="0" applyNumberFormat="1" applyFont="1" applyFill="1" applyBorder="1" applyAlignment="1" applyProtection="1">
      <alignment horizontal="center" vertical="center"/>
      <protection locked="0"/>
    </xf>
    <xf numFmtId="0" fontId="17" fillId="34" borderId="10" xfId="0" applyFont="1" applyFill="1" applyBorder="1" applyAlignment="1">
      <alignment vertical="center"/>
    </xf>
    <xf numFmtId="3" fontId="17" fillId="39" borderId="12" xfId="0" applyNumberFormat="1" applyFont="1" applyFill="1" applyBorder="1" applyAlignment="1">
      <alignment horizontal="center" vertical="center"/>
    </xf>
    <xf numFmtId="0" fontId="17" fillId="34" borderId="0" xfId="0" applyFont="1" applyFill="1" applyAlignment="1">
      <alignment vertical="center"/>
    </xf>
    <xf numFmtId="3" fontId="17" fillId="34" borderId="0" xfId="0" applyNumberFormat="1" applyFont="1" applyFill="1" applyAlignment="1">
      <alignment horizontal="center" vertical="center"/>
    </xf>
    <xf numFmtId="0" fontId="17" fillId="34" borderId="0" xfId="0" applyFont="1" applyFill="1" applyAlignment="1">
      <alignment horizontal="center" vertical="center"/>
    </xf>
    <xf numFmtId="0" fontId="17" fillId="33" borderId="12" xfId="0" applyFont="1" applyFill="1" applyBorder="1" applyAlignment="1" applyProtection="1">
      <alignment vertical="center"/>
      <protection locked="0"/>
    </xf>
    <xf numFmtId="0" fontId="17" fillId="33" borderId="21" xfId="0" applyFont="1" applyFill="1" applyBorder="1" applyAlignment="1" applyProtection="1">
      <alignment vertical="center"/>
      <protection locked="0"/>
    </xf>
    <xf numFmtId="0" fontId="17" fillId="33" borderId="0" xfId="0" applyFont="1" applyFill="1" applyAlignment="1" applyProtection="1">
      <alignment vertical="center"/>
      <protection locked="0"/>
    </xf>
    <xf numFmtId="3" fontId="17" fillId="33" borderId="16" xfId="0" applyNumberFormat="1" applyFont="1" applyFill="1" applyBorder="1" applyAlignment="1" applyProtection="1">
      <alignment horizontal="center" vertical="center"/>
      <protection locked="0"/>
    </xf>
    <xf numFmtId="0" fontId="17" fillId="33" borderId="17" xfId="0" applyFont="1" applyFill="1" applyBorder="1" applyAlignment="1" applyProtection="1">
      <alignment vertical="center"/>
      <protection locked="0"/>
    </xf>
    <xf numFmtId="0" fontId="17" fillId="33" borderId="14" xfId="0" applyFont="1" applyFill="1" applyBorder="1" applyAlignment="1" applyProtection="1">
      <alignment vertical="center"/>
      <protection locked="0"/>
    </xf>
    <xf numFmtId="3" fontId="17" fillId="33" borderId="23" xfId="0" applyNumberFormat="1" applyFont="1" applyFill="1" applyBorder="1" applyAlignment="1" applyProtection="1">
      <alignment horizontal="center" vertical="center"/>
      <protection locked="0"/>
    </xf>
    <xf numFmtId="0" fontId="17" fillId="33" borderId="23" xfId="0" applyFont="1" applyFill="1" applyBorder="1" applyAlignment="1" applyProtection="1">
      <alignment vertical="center"/>
      <protection locked="0"/>
    </xf>
    <xf numFmtId="3" fontId="17" fillId="40" borderId="12" xfId="0" applyNumberFormat="1" applyFont="1" applyFill="1" applyBorder="1" applyAlignment="1">
      <alignment horizontal="center" vertical="center"/>
    </xf>
    <xf numFmtId="3" fontId="6" fillId="34" borderId="0" xfId="0" applyNumberFormat="1" applyFont="1" applyFill="1" applyAlignment="1">
      <alignment vertical="center"/>
    </xf>
    <xf numFmtId="3" fontId="6" fillId="0" borderId="0" xfId="0" applyNumberFormat="1" applyFont="1" applyAlignment="1">
      <alignment vertical="center"/>
    </xf>
    <xf numFmtId="37" fontId="6" fillId="34" borderId="0" xfId="0" applyNumberFormat="1" applyFont="1" applyFill="1" applyAlignment="1" applyProtection="1">
      <alignment horizontal="centerContinuous" vertical="center" wrapText="1"/>
      <protection/>
    </xf>
    <xf numFmtId="0" fontId="6" fillId="34" borderId="0" xfId="0" applyFont="1" applyFill="1" applyAlignment="1" applyProtection="1">
      <alignment horizontal="centerContinuous" vertical="center" wrapText="1"/>
      <protection/>
    </xf>
    <xf numFmtId="1" fontId="6" fillId="34" borderId="22" xfId="0" applyNumberFormat="1" applyFont="1" applyFill="1" applyBorder="1" applyAlignment="1" applyProtection="1">
      <alignment horizontal="centerContinuous" vertical="center"/>
      <protection/>
    </xf>
    <xf numFmtId="37" fontId="6" fillId="34" borderId="22"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37" fontId="9" fillId="34" borderId="13" xfId="0" applyNumberFormat="1" applyFont="1" applyFill="1" applyBorder="1" applyAlignment="1" applyProtection="1">
      <alignment horizontal="center" vertical="center"/>
      <protection/>
    </xf>
    <xf numFmtId="169" fontId="6" fillId="34" borderId="12"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 fontId="6" fillId="34" borderId="0" xfId="0" applyNumberFormat="1" applyFont="1" applyFill="1" applyAlignment="1" applyProtection="1">
      <alignment horizontal="center" vertical="center"/>
      <protection/>
    </xf>
    <xf numFmtId="166" fontId="6" fillId="34" borderId="0" xfId="0" applyNumberFormat="1" applyFont="1" applyFill="1" applyAlignment="1" applyProtection="1">
      <alignment horizontal="center" vertical="center"/>
      <protection/>
    </xf>
    <xf numFmtId="1" fontId="6" fillId="34" borderId="10"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vertical="center"/>
      <protection locked="0"/>
    </xf>
    <xf numFmtId="0" fontId="6" fillId="34" borderId="13" xfId="0" applyFont="1" applyFill="1" applyBorder="1" applyAlignment="1" applyProtection="1">
      <alignment horizontal="center" vertical="center" wrapText="1"/>
      <protection/>
    </xf>
    <xf numFmtId="0" fontId="6" fillId="34" borderId="21" xfId="0" applyFont="1" applyFill="1" applyBorder="1" applyAlignment="1" applyProtection="1">
      <alignment horizontal="center" vertical="center" wrapText="1"/>
      <protection/>
    </xf>
    <xf numFmtId="0" fontId="6" fillId="34" borderId="12" xfId="0" applyFont="1" applyFill="1" applyBorder="1" applyAlignment="1" applyProtection="1">
      <alignment horizontal="center" vertical="center" wrapText="1"/>
      <protection/>
    </xf>
    <xf numFmtId="3" fontId="6" fillId="33" borderId="12" xfId="0" applyNumberFormat="1" applyFont="1" applyFill="1" applyBorder="1" applyAlignment="1" applyProtection="1">
      <alignment horizontal="center" vertical="center"/>
      <protection locked="0"/>
    </xf>
    <xf numFmtId="179" fontId="6" fillId="34" borderId="12" xfId="0" applyNumberFormat="1" applyFont="1" applyFill="1" applyBorder="1" applyAlignment="1" applyProtection="1">
      <alignment horizontal="center" vertical="center"/>
      <protection/>
    </xf>
    <xf numFmtId="3" fontId="6" fillId="34" borderId="27" xfId="0" applyNumberFormat="1" applyFont="1" applyFill="1" applyBorder="1" applyAlignment="1" applyProtection="1">
      <alignment horizontal="center" vertical="center"/>
      <protection/>
    </xf>
    <xf numFmtId="179" fontId="6" fillId="34" borderId="27" xfId="0" applyNumberFormat="1" applyFont="1" applyFill="1" applyBorder="1" applyAlignment="1" applyProtection="1">
      <alignment horizontal="center" vertical="center"/>
      <protection/>
    </xf>
    <xf numFmtId="179" fontId="6" fillId="34" borderId="10" xfId="0" applyNumberFormat="1" applyFont="1" applyFill="1" applyBorder="1" applyAlignment="1" applyProtection="1">
      <alignment horizontal="center" vertical="center"/>
      <protection/>
    </xf>
    <xf numFmtId="179"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0" fontId="7" fillId="0" borderId="0" xfId="0" applyFont="1" applyAlignment="1">
      <alignment vertical="center"/>
    </xf>
    <xf numFmtId="0" fontId="0" fillId="0" borderId="0" xfId="0" applyNumberFormat="1" applyFont="1" applyFill="1" applyBorder="1" applyAlignment="1" applyProtection="1">
      <alignment vertical="center"/>
      <protection/>
    </xf>
    <xf numFmtId="3" fontId="28" fillId="40" borderId="0" xfId="0" applyNumberFormat="1" applyFont="1" applyFill="1" applyAlignment="1">
      <alignment horizontal="center" vertical="center"/>
    </xf>
    <xf numFmtId="0" fontId="6" fillId="0" borderId="0" xfId="63" applyFont="1" applyAlignment="1">
      <alignment vertical="center"/>
      <protection/>
    </xf>
    <xf numFmtId="0" fontId="6" fillId="0" borderId="0" xfId="63" applyFont="1" applyAlignment="1">
      <alignment vertical="center" wrapText="1"/>
      <protection/>
    </xf>
    <xf numFmtId="0" fontId="6" fillId="0" borderId="0" xfId="360" applyFont="1" applyAlignment="1">
      <alignment vertical="center"/>
      <protection/>
    </xf>
    <xf numFmtId="0" fontId="6" fillId="33" borderId="10"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29" fillId="0" borderId="0" xfId="363">
      <alignment/>
      <protection/>
    </xf>
    <xf numFmtId="0" fontId="6" fillId="0" borderId="0" xfId="363" applyFont="1" applyAlignment="1">
      <alignment horizontal="left" vertical="center"/>
      <protection/>
    </xf>
    <xf numFmtId="189" fontId="17" fillId="0" borderId="0" xfId="363" applyNumberFormat="1" applyFont="1" applyAlignment="1">
      <alignment horizontal="left" vertical="center"/>
      <protection/>
    </xf>
    <xf numFmtId="49" fontId="6" fillId="0" borderId="0" xfId="363" applyNumberFormat="1" applyFont="1" applyAlignment="1">
      <alignment horizontal="left" vertical="center"/>
      <protection/>
    </xf>
    <xf numFmtId="0" fontId="17" fillId="0" borderId="0" xfId="363" applyFont="1" applyAlignment="1">
      <alignment horizontal="left" vertical="center"/>
      <protection/>
    </xf>
    <xf numFmtId="190" fontId="17" fillId="0" borderId="0" xfId="363" applyNumberFormat="1" applyFont="1" applyAlignment="1">
      <alignment horizontal="lef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79" applyFont="1">
      <alignment/>
      <protection/>
    </xf>
    <xf numFmtId="0" fontId="0" fillId="0" borderId="0" xfId="179"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11" applyFont="1" applyAlignment="1">
      <alignment vertical="center"/>
      <protection/>
    </xf>
    <xf numFmtId="0" fontId="7" fillId="0" borderId="0" xfId="115" applyFont="1" applyAlignment="1">
      <alignment vertical="center"/>
      <protection/>
    </xf>
    <xf numFmtId="0" fontId="6" fillId="0" borderId="0" xfId="178" applyFont="1" applyAlignment="1">
      <alignment vertical="center" wrapText="1"/>
      <protection/>
    </xf>
    <xf numFmtId="0" fontId="6" fillId="34" borderId="0" xfId="0" applyFont="1" applyFill="1" applyAlignment="1">
      <alignment/>
    </xf>
    <xf numFmtId="0" fontId="7" fillId="0" borderId="0" xfId="114" applyFont="1" applyAlignment="1">
      <alignment vertical="center"/>
      <protection/>
    </xf>
    <xf numFmtId="0" fontId="79"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3" fontId="6" fillId="33" borderId="22" xfId="0" applyNumberFormat="1" applyFont="1" applyFill="1" applyBorder="1" applyAlignment="1" applyProtection="1">
      <alignment horizontal="right" vertical="center"/>
      <protection locked="0"/>
    </xf>
    <xf numFmtId="3" fontId="6" fillId="34" borderId="22" xfId="42" applyNumberFormat="1" applyFont="1" applyFill="1" applyBorder="1" applyAlignment="1" applyProtection="1">
      <alignment horizontal="right" vertical="center"/>
      <protection/>
    </xf>
    <xf numFmtId="3" fontId="6" fillId="34" borderId="22" xfId="0" applyNumberFormat="1" applyFont="1" applyFill="1" applyBorder="1" applyAlignment="1" applyProtection="1">
      <alignment horizontal="right" vertical="center"/>
      <protection/>
    </xf>
    <xf numFmtId="3" fontId="18" fillId="41" borderId="22" xfId="0" applyNumberFormat="1" applyFont="1" applyFill="1" applyBorder="1" applyAlignment="1" applyProtection="1">
      <alignment horizontal="center" vertical="center"/>
      <protection/>
    </xf>
    <xf numFmtId="3" fontId="5" fillId="39" borderId="25" xfId="0" applyNumberFormat="1" applyFont="1" applyFill="1" applyBorder="1" applyAlignment="1" applyProtection="1">
      <alignment horizontal="right" vertical="center"/>
      <protection/>
    </xf>
    <xf numFmtId="3" fontId="5" fillId="39" borderId="22" xfId="0" applyNumberFormat="1" applyFont="1" applyFill="1" applyBorder="1" applyAlignment="1" applyProtection="1">
      <alignment horizontal="right" vertical="center"/>
      <protection/>
    </xf>
    <xf numFmtId="3" fontId="6" fillId="39" borderId="22" xfId="0" applyNumberFormat="1" applyFont="1" applyFill="1" applyBorder="1" applyAlignment="1" applyProtection="1">
      <alignment horizontal="right" vertical="center"/>
      <protection/>
    </xf>
    <xf numFmtId="3" fontId="6" fillId="33" borderId="22" xfId="0" applyNumberFormat="1" applyFont="1" applyFill="1" applyBorder="1" applyAlignment="1" applyProtection="1">
      <alignment vertical="center"/>
      <protection locked="0"/>
    </xf>
    <xf numFmtId="3" fontId="6" fillId="34" borderId="22" xfId="0" applyNumberFormat="1" applyFont="1" applyFill="1" applyBorder="1" applyAlignment="1" applyProtection="1">
      <alignment vertical="center"/>
      <protection/>
    </xf>
    <xf numFmtId="3" fontId="5" fillId="34" borderId="22" xfId="0" applyNumberFormat="1" applyFont="1" applyFill="1" applyBorder="1" applyAlignment="1" applyProtection="1">
      <alignment vertical="center"/>
      <protection/>
    </xf>
    <xf numFmtId="3" fontId="5" fillId="39" borderId="22" xfId="0" applyNumberFormat="1" applyFont="1" applyFill="1" applyBorder="1" applyAlignment="1" applyProtection="1">
      <alignment vertical="center"/>
      <protection/>
    </xf>
    <xf numFmtId="3" fontId="6" fillId="39" borderId="22" xfId="0" applyNumberFormat="1" applyFont="1" applyFill="1" applyBorder="1" applyAlignment="1" applyProtection="1">
      <alignment vertical="center"/>
      <protection/>
    </xf>
    <xf numFmtId="3" fontId="17" fillId="39" borderId="14" xfId="0" applyNumberFormat="1" applyFont="1" applyFill="1" applyBorder="1" applyAlignment="1">
      <alignment horizontal="center" vertical="center"/>
    </xf>
    <xf numFmtId="3" fontId="6" fillId="33" borderId="13" xfId="0" applyNumberFormat="1" applyFont="1" applyFill="1" applyBorder="1" applyAlignment="1" applyProtection="1">
      <alignment horizontal="center" vertical="center"/>
      <protection locked="0"/>
    </xf>
    <xf numFmtId="49" fontId="6" fillId="34" borderId="0" xfId="0" applyNumberFormat="1" applyFont="1" applyFill="1" applyAlignment="1" applyProtection="1">
      <alignment vertical="center"/>
      <protection/>
    </xf>
    <xf numFmtId="37" fontId="6" fillId="40" borderId="22" xfId="0" applyNumberFormat="1" applyFont="1" applyFill="1" applyBorder="1" applyAlignment="1" applyProtection="1">
      <alignment vertical="center"/>
      <protection/>
    </xf>
    <xf numFmtId="0" fontId="15" fillId="34" borderId="12" xfId="0" applyFont="1" applyFill="1" applyBorder="1" applyAlignment="1">
      <alignment horizontal="center" vertical="center"/>
    </xf>
    <xf numFmtId="0" fontId="31" fillId="42" borderId="0" xfId="0" applyFont="1" applyFill="1" applyAlignment="1">
      <alignment/>
    </xf>
    <xf numFmtId="0" fontId="31" fillId="0" borderId="0" xfId="0" applyFont="1" applyAlignment="1">
      <alignment/>
    </xf>
    <xf numFmtId="0" fontId="31" fillId="43" borderId="0" xfId="0" applyFont="1" applyFill="1" applyAlignment="1">
      <alignment/>
    </xf>
    <xf numFmtId="0" fontId="80" fillId="42" borderId="0" xfId="0" applyFont="1" applyFill="1" applyAlignment="1">
      <alignment horizontal="center" wrapText="1"/>
    </xf>
    <xf numFmtId="0" fontId="80" fillId="43" borderId="0" xfId="0" applyFont="1" applyFill="1" applyAlignment="1">
      <alignment/>
    </xf>
    <xf numFmtId="0" fontId="31" fillId="43" borderId="0" xfId="0" applyFont="1" applyFill="1" applyAlignment="1">
      <alignment horizontal="center"/>
    </xf>
    <xf numFmtId="0" fontId="80" fillId="43" borderId="30" xfId="0" applyFont="1" applyFill="1" applyBorder="1" applyAlignment="1">
      <alignment/>
    </xf>
    <xf numFmtId="0" fontId="31" fillId="43" borderId="31" xfId="0" applyFont="1" applyFill="1" applyBorder="1" applyAlignment="1">
      <alignment/>
    </xf>
    <xf numFmtId="0" fontId="31" fillId="43" borderId="32" xfId="0" applyFont="1" applyFill="1" applyBorder="1" applyAlignment="1">
      <alignment/>
    </xf>
    <xf numFmtId="192" fontId="31" fillId="43" borderId="33" xfId="0" applyNumberFormat="1" applyFont="1" applyFill="1" applyBorder="1" applyAlignment="1">
      <alignment/>
    </xf>
    <xf numFmtId="0" fontId="31" fillId="43" borderId="0" xfId="0" applyFont="1" applyFill="1" applyBorder="1" applyAlignment="1">
      <alignment/>
    </xf>
    <xf numFmtId="192" fontId="31" fillId="43" borderId="10" xfId="0" applyNumberFormat="1" applyFont="1" applyFill="1" applyBorder="1" applyAlignment="1">
      <alignment horizontal="center"/>
    </xf>
    <xf numFmtId="0" fontId="31" fillId="43" borderId="34" xfId="0" applyFont="1" applyFill="1" applyBorder="1" applyAlignment="1">
      <alignment/>
    </xf>
    <xf numFmtId="0" fontId="31" fillId="43" borderId="35" xfId="0" applyFont="1" applyFill="1" applyBorder="1" applyAlignment="1">
      <alignment/>
    </xf>
    <xf numFmtId="0" fontId="31" fillId="43" borderId="36" xfId="0" applyFont="1" applyFill="1" applyBorder="1" applyAlignment="1">
      <alignment/>
    </xf>
    <xf numFmtId="0" fontId="31" fillId="43" borderId="37" xfId="0" applyFont="1" applyFill="1" applyBorder="1" applyAlignment="1">
      <alignment/>
    </xf>
    <xf numFmtId="192" fontId="31" fillId="43" borderId="0" xfId="0" applyNumberFormat="1" applyFont="1" applyFill="1" applyAlignment="1">
      <alignment/>
    </xf>
    <xf numFmtId="0" fontId="31" fillId="43" borderId="30" xfId="0" applyFont="1" applyFill="1" applyBorder="1" applyAlignment="1">
      <alignment/>
    </xf>
    <xf numFmtId="0" fontId="31" fillId="43" borderId="38" xfId="0" applyFont="1" applyFill="1" applyBorder="1" applyAlignment="1">
      <alignment/>
    </xf>
    <xf numFmtId="192" fontId="31" fillId="44" borderId="33" xfId="0" applyNumberFormat="1" applyFont="1" applyFill="1" applyBorder="1" applyAlignment="1" applyProtection="1">
      <alignment horizontal="center"/>
      <protection locked="0"/>
    </xf>
    <xf numFmtId="179" fontId="31" fillId="43" borderId="0" xfId="0" applyNumberFormat="1" applyFont="1" applyFill="1" applyBorder="1" applyAlignment="1">
      <alignment horizontal="center"/>
    </xf>
    <xf numFmtId="0" fontId="81" fillId="0" borderId="0" xfId="0" applyFont="1" applyBorder="1" applyAlignment="1">
      <alignment/>
    </xf>
    <xf numFmtId="0" fontId="31" fillId="0" borderId="0" xfId="0" applyFont="1" applyBorder="1" applyAlignment="1">
      <alignment/>
    </xf>
    <xf numFmtId="0" fontId="80" fillId="0" borderId="0" xfId="0" applyFont="1" applyBorder="1" applyAlignment="1">
      <alignment horizontal="centerContinuous"/>
    </xf>
    <xf numFmtId="0" fontId="31" fillId="0" borderId="0" xfId="0" applyFont="1" applyBorder="1" applyAlignment="1">
      <alignment horizontal="centerContinuous"/>
    </xf>
    <xf numFmtId="0" fontId="31" fillId="42" borderId="0" xfId="0" applyFont="1" applyFill="1" applyBorder="1" applyAlignment="1">
      <alignment/>
    </xf>
    <xf numFmtId="0" fontId="31" fillId="43" borderId="39" xfId="0" applyFont="1" applyFill="1" applyBorder="1" applyAlignment="1">
      <alignment/>
    </xf>
    <xf numFmtId="0" fontId="31" fillId="43" borderId="19" xfId="0" applyFont="1" applyFill="1" applyBorder="1" applyAlignment="1">
      <alignment/>
    </xf>
    <xf numFmtId="0" fontId="31" fillId="43" borderId="40" xfId="0" applyFont="1" applyFill="1" applyBorder="1" applyAlignment="1">
      <alignment/>
    </xf>
    <xf numFmtId="5" fontId="31" fillId="43" borderId="36" xfId="0" applyNumberFormat="1" applyFont="1" applyFill="1" applyBorder="1" applyAlignment="1">
      <alignment horizontal="center"/>
    </xf>
    <xf numFmtId="0" fontId="31" fillId="43" borderId="36" xfId="0" applyFont="1" applyFill="1" applyBorder="1" applyAlignment="1">
      <alignment horizontal="center"/>
    </xf>
    <xf numFmtId="179" fontId="31" fillId="43" borderId="36" xfId="0" applyNumberFormat="1" applyFont="1" applyFill="1" applyBorder="1" applyAlignment="1">
      <alignment horizontal="center"/>
    </xf>
    <xf numFmtId="193" fontId="31" fillId="43" borderId="36" xfId="0" applyNumberFormat="1" applyFont="1" applyFill="1" applyBorder="1" applyAlignment="1">
      <alignment horizontal="center"/>
    </xf>
    <xf numFmtId="0" fontId="31" fillId="43" borderId="0" xfId="0" applyFont="1" applyFill="1" applyAlignment="1">
      <alignment horizontal="center" wrapText="1"/>
    </xf>
    <xf numFmtId="0" fontId="80" fillId="43" borderId="30" xfId="0" applyFont="1" applyFill="1" applyBorder="1" applyAlignment="1">
      <alignment/>
    </xf>
    <xf numFmtId="0" fontId="31" fillId="43" borderId="31" xfId="0" applyFont="1" applyFill="1" applyBorder="1" applyAlignment="1">
      <alignment/>
    </xf>
    <xf numFmtId="0" fontId="31" fillId="43" borderId="32" xfId="0" applyFont="1" applyFill="1" applyBorder="1" applyAlignment="1">
      <alignment/>
    </xf>
    <xf numFmtId="0" fontId="31" fillId="43" borderId="38" xfId="0" applyFont="1" applyFill="1" applyBorder="1" applyAlignment="1">
      <alignment/>
    </xf>
    <xf numFmtId="0" fontId="31" fillId="43" borderId="34" xfId="0" applyFont="1" applyFill="1" applyBorder="1" applyAlignment="1">
      <alignment/>
    </xf>
    <xf numFmtId="0" fontId="31" fillId="43" borderId="39" xfId="0" applyFont="1" applyFill="1" applyBorder="1" applyAlignment="1">
      <alignment/>
    </xf>
    <xf numFmtId="0" fontId="31" fillId="43" borderId="19" xfId="0" applyFont="1" applyFill="1" applyBorder="1" applyAlignment="1">
      <alignment/>
    </xf>
    <xf numFmtId="0" fontId="31" fillId="43" borderId="40" xfId="0" applyFont="1" applyFill="1" applyBorder="1" applyAlignment="1">
      <alignment/>
    </xf>
    <xf numFmtId="169" fontId="31" fillId="43" borderId="0" xfId="0" applyNumberFormat="1" applyFont="1" applyFill="1" applyBorder="1" applyAlignment="1">
      <alignment horizontal="center"/>
    </xf>
    <xf numFmtId="0" fontId="31" fillId="43" borderId="35" xfId="0" applyFont="1" applyFill="1" applyBorder="1" applyAlignment="1">
      <alignment/>
    </xf>
    <xf numFmtId="5" fontId="31" fillId="43" borderId="0" xfId="0" applyNumberFormat="1" applyFont="1" applyFill="1" applyBorder="1" applyAlignment="1">
      <alignment horizontal="center"/>
    </xf>
    <xf numFmtId="0" fontId="31" fillId="42" borderId="0" xfId="0" applyFont="1" applyFill="1" applyAlignment="1">
      <alignment/>
    </xf>
    <xf numFmtId="179" fontId="31" fillId="44" borderId="10" xfId="0" applyNumberFormat="1" applyFont="1" applyFill="1" applyBorder="1" applyAlignment="1" applyProtection="1">
      <alignment horizontal="center"/>
      <protection locked="0"/>
    </xf>
    <xf numFmtId="193" fontId="31" fillId="43" borderId="0" xfId="0" applyNumberFormat="1" applyFont="1" applyFill="1" applyBorder="1" applyAlignment="1">
      <alignment/>
    </xf>
    <xf numFmtId="0" fontId="31" fillId="45" borderId="0" xfId="0" applyFont="1" applyFill="1" applyAlignment="1">
      <alignment/>
    </xf>
    <xf numFmtId="0" fontId="33" fillId="0" borderId="0" xfId="0" applyFont="1" applyAlignment="1">
      <alignment horizontal="center"/>
    </xf>
    <xf numFmtId="0" fontId="6" fillId="0" borderId="0" xfId="0" applyFont="1" applyAlignment="1">
      <alignment wrapText="1"/>
    </xf>
    <xf numFmtId="0" fontId="34" fillId="0" borderId="0" xfId="58" applyFont="1" applyAlignment="1" applyProtection="1">
      <alignment/>
      <protection/>
    </xf>
    <xf numFmtId="3" fontId="6" fillId="34" borderId="41" xfId="0" applyNumberFormat="1" applyFont="1" applyFill="1" applyBorder="1" applyAlignment="1" applyProtection="1">
      <alignment horizontal="center" vertical="center"/>
      <protection/>
    </xf>
    <xf numFmtId="0" fontId="6" fillId="34" borderId="41" xfId="0" applyFont="1" applyFill="1" applyBorder="1" applyAlignment="1" applyProtection="1">
      <alignment horizontal="center" vertical="center"/>
      <protection/>
    </xf>
    <xf numFmtId="0" fontId="6" fillId="34" borderId="0" xfId="82" applyFont="1" applyFill="1" applyAlignment="1" applyProtection="1">
      <alignment horizontal="right" vertical="center"/>
      <protection/>
    </xf>
    <xf numFmtId="179" fontId="6" fillId="44" borderId="23" xfId="79" applyNumberFormat="1" applyFont="1" applyFill="1" applyBorder="1" applyAlignment="1" applyProtection="1">
      <alignment horizontal="center"/>
      <protection locked="0"/>
    </xf>
    <xf numFmtId="192" fontId="6" fillId="43" borderId="16" xfId="79" applyNumberFormat="1" applyFont="1" applyFill="1" applyBorder="1" applyAlignment="1" applyProtection="1">
      <alignment horizontal="center"/>
      <protection/>
    </xf>
    <xf numFmtId="0" fontId="6" fillId="0" borderId="0" xfId="79" applyFont="1" applyProtection="1">
      <alignment/>
      <protection/>
    </xf>
    <xf numFmtId="0" fontId="6" fillId="46" borderId="10" xfId="79" applyFont="1" applyFill="1" applyBorder="1" applyProtection="1">
      <alignment/>
      <protection/>
    </xf>
    <xf numFmtId="0" fontId="6" fillId="46" borderId="25" xfId="79" applyFont="1" applyFill="1" applyBorder="1" applyProtection="1">
      <alignment/>
      <protection/>
    </xf>
    <xf numFmtId="0" fontId="6" fillId="46" borderId="0" xfId="79" applyFont="1" applyFill="1" applyBorder="1" applyProtection="1">
      <alignment/>
      <protection/>
    </xf>
    <xf numFmtId="0" fontId="6" fillId="46" borderId="15" xfId="79" applyFont="1" applyFill="1" applyBorder="1" applyProtection="1">
      <alignment/>
      <protection/>
    </xf>
    <xf numFmtId="169" fontId="6" fillId="43" borderId="23" xfId="79" applyNumberFormat="1" applyFont="1" applyFill="1" applyBorder="1" applyAlignment="1" applyProtection="1">
      <alignment horizontal="center"/>
      <protection/>
    </xf>
    <xf numFmtId="0" fontId="6" fillId="43" borderId="23" xfId="79" applyFont="1" applyFill="1" applyBorder="1" applyProtection="1">
      <alignment/>
      <protection/>
    </xf>
    <xf numFmtId="0" fontId="6" fillId="43" borderId="15" xfId="79" applyFont="1" applyFill="1" applyBorder="1" applyProtection="1">
      <alignment/>
      <protection/>
    </xf>
    <xf numFmtId="0" fontId="6" fillId="0" borderId="0" xfId="79" applyFont="1" applyFill="1" applyBorder="1" applyProtection="1">
      <alignment/>
      <protection/>
    </xf>
    <xf numFmtId="192" fontId="6" fillId="46" borderId="16" xfId="79" applyNumberFormat="1" applyFont="1" applyFill="1" applyBorder="1" applyAlignment="1" applyProtection="1">
      <alignment horizontal="center"/>
      <protection/>
    </xf>
    <xf numFmtId="0" fontId="6" fillId="43" borderId="10" xfId="79" applyFont="1" applyFill="1" applyBorder="1" applyProtection="1">
      <alignment/>
      <protection/>
    </xf>
    <xf numFmtId="0" fontId="6" fillId="43" borderId="25" xfId="79" applyFont="1" applyFill="1" applyBorder="1" applyProtection="1">
      <alignment/>
      <protection/>
    </xf>
    <xf numFmtId="192" fontId="6" fillId="43" borderId="23" xfId="79" applyNumberFormat="1" applyFont="1" applyFill="1" applyBorder="1" applyAlignment="1" applyProtection="1">
      <alignment horizontal="center"/>
      <protection/>
    </xf>
    <xf numFmtId="0" fontId="6" fillId="43" borderId="0" xfId="79" applyFont="1" applyFill="1" applyBorder="1" applyProtection="1">
      <alignment/>
      <protection/>
    </xf>
    <xf numFmtId="0" fontId="4" fillId="43" borderId="15" xfId="79" applyFont="1" applyFill="1" applyBorder="1" applyProtection="1">
      <alignment/>
      <protection/>
    </xf>
    <xf numFmtId="0" fontId="82" fillId="34" borderId="0" xfId="0" applyFont="1" applyFill="1" applyAlignment="1" applyProtection="1">
      <alignment horizontal="center" vertical="center"/>
      <protection/>
    </xf>
    <xf numFmtId="0" fontId="6" fillId="0" borderId="0" xfId="82" applyFont="1" applyAlignment="1">
      <alignment vertical="center"/>
      <protection/>
    </xf>
    <xf numFmtId="0" fontId="6" fillId="0" borderId="0" xfId="82" applyFont="1" applyAlignment="1">
      <alignment vertical="center" wrapText="1"/>
      <protection/>
    </xf>
    <xf numFmtId="0" fontId="6" fillId="0" borderId="0" xfId="346" applyFont="1" applyAlignment="1">
      <alignment vertical="center" wrapText="1"/>
      <protection/>
    </xf>
    <xf numFmtId="0" fontId="6" fillId="0" borderId="0" xfId="353" applyNumberFormat="1" applyFont="1" applyAlignment="1">
      <alignment vertical="center" wrapText="1"/>
      <protection/>
    </xf>
    <xf numFmtId="0" fontId="6" fillId="0" borderId="0" xfId="253" applyFont="1" applyAlignment="1">
      <alignment vertical="center" wrapText="1"/>
      <protection/>
    </xf>
    <xf numFmtId="0" fontId="6" fillId="43" borderId="0" xfId="0" applyFont="1" applyFill="1" applyBorder="1" applyAlignment="1" applyProtection="1">
      <alignment vertical="center"/>
      <protection/>
    </xf>
    <xf numFmtId="192" fontId="4" fillId="44" borderId="12" xfId="0" applyNumberFormat="1" applyFont="1" applyFill="1" applyBorder="1" applyAlignment="1" applyProtection="1">
      <alignment horizontal="center" vertical="center"/>
      <protection locked="0"/>
    </xf>
    <xf numFmtId="0" fontId="6" fillId="43" borderId="15" xfId="0" applyFont="1" applyFill="1" applyBorder="1" applyAlignment="1" applyProtection="1">
      <alignment vertical="center"/>
      <protection/>
    </xf>
    <xf numFmtId="0" fontId="6" fillId="43" borderId="23" xfId="0" applyFont="1" applyFill="1" applyBorder="1" applyAlignment="1" applyProtection="1">
      <alignment vertical="center"/>
      <protection/>
    </xf>
    <xf numFmtId="192" fontId="4" fillId="43" borderId="15" xfId="0" applyNumberFormat="1" applyFont="1" applyFill="1" applyBorder="1" applyAlignment="1" applyProtection="1">
      <alignment horizontal="center" vertical="center"/>
      <protection/>
    </xf>
    <xf numFmtId="0" fontId="4" fillId="43" borderId="0" xfId="0" applyFont="1" applyFill="1" applyBorder="1" applyAlignment="1" applyProtection="1">
      <alignment horizontal="left" vertical="center"/>
      <protection/>
    </xf>
    <xf numFmtId="0" fontId="4" fillId="43" borderId="23" xfId="0" applyFont="1" applyFill="1" applyBorder="1" applyAlignment="1" applyProtection="1">
      <alignment vertical="center"/>
      <protection/>
    </xf>
    <xf numFmtId="0" fontId="4" fillId="43" borderId="0" xfId="0" applyFont="1" applyFill="1" applyBorder="1" applyAlignment="1" applyProtection="1">
      <alignment vertical="center"/>
      <protection/>
    </xf>
    <xf numFmtId="192" fontId="4" fillId="43" borderId="25" xfId="0" applyNumberFormat="1" applyFont="1" applyFill="1" applyBorder="1" applyAlignment="1" applyProtection="1">
      <alignment horizontal="center" vertical="center"/>
      <protection/>
    </xf>
    <xf numFmtId="192" fontId="4" fillId="43" borderId="15" xfId="0" applyNumberFormat="1" applyFont="1" applyFill="1" applyBorder="1" applyAlignment="1" applyProtection="1">
      <alignment vertical="center"/>
      <protection/>
    </xf>
    <xf numFmtId="0" fontId="36" fillId="46" borderId="10" xfId="0" applyFont="1" applyFill="1" applyBorder="1" applyAlignment="1" applyProtection="1">
      <alignment vertical="center"/>
      <protection/>
    </xf>
    <xf numFmtId="0" fontId="4" fillId="46" borderId="16" xfId="0" applyFont="1" applyFill="1" applyBorder="1" applyAlignment="1" applyProtection="1">
      <alignment vertical="center"/>
      <protection/>
    </xf>
    <xf numFmtId="0" fontId="6" fillId="46" borderId="16" xfId="0" applyFont="1" applyFill="1" applyBorder="1" applyAlignment="1" applyProtection="1">
      <alignment vertical="center"/>
      <protection/>
    </xf>
    <xf numFmtId="0" fontId="4" fillId="43" borderId="15" xfId="0" applyFont="1" applyFill="1" applyBorder="1" applyAlignment="1" applyProtection="1">
      <alignment horizontal="left" vertical="center"/>
      <protection/>
    </xf>
    <xf numFmtId="192" fontId="36" fillId="46" borderId="25" xfId="0" applyNumberFormat="1"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4" fillId="43" borderId="15" xfId="0" applyFont="1" applyFill="1" applyBorder="1" applyAlignment="1" applyProtection="1">
      <alignment vertical="center"/>
      <protection/>
    </xf>
    <xf numFmtId="192" fontId="4" fillId="43" borderId="23" xfId="0" applyNumberFormat="1" applyFont="1" applyFill="1" applyBorder="1" applyAlignment="1" applyProtection="1">
      <alignment horizontal="center" vertical="center"/>
      <protection/>
    </xf>
    <xf numFmtId="0" fontId="6"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192" fontId="17" fillId="43" borderId="15" xfId="0" applyNumberFormat="1" applyFont="1" applyFill="1" applyBorder="1" applyAlignment="1" applyProtection="1">
      <alignment horizontal="center" vertical="center"/>
      <protection/>
    </xf>
    <xf numFmtId="0" fontId="17" fillId="43" borderId="0" xfId="0" applyFont="1" applyFill="1" applyBorder="1" applyAlignment="1" applyProtection="1">
      <alignment vertical="center"/>
      <protection/>
    </xf>
    <xf numFmtId="192" fontId="17" fillId="43" borderId="25" xfId="0" applyNumberFormat="1" applyFont="1" applyFill="1" applyBorder="1" applyAlignment="1" applyProtection="1">
      <alignment horizontal="center" vertical="center"/>
      <protection/>
    </xf>
    <xf numFmtId="192" fontId="17" fillId="43" borderId="15" xfId="0" applyNumberFormat="1" applyFont="1" applyFill="1" applyBorder="1" applyAlignment="1" applyProtection="1">
      <alignment vertical="center"/>
      <protection/>
    </xf>
    <xf numFmtId="192" fontId="17" fillId="46" borderId="25" xfId="0" applyNumberFormat="1" applyFont="1" applyFill="1" applyBorder="1" applyAlignment="1" applyProtection="1">
      <alignment horizontal="center" vertical="center"/>
      <protection/>
    </xf>
    <xf numFmtId="0" fontId="17" fillId="46" borderId="10" xfId="0" applyFont="1" applyFill="1" applyBorder="1" applyAlignment="1" applyProtection="1">
      <alignment vertical="center"/>
      <protection/>
    </xf>
    <xf numFmtId="0" fontId="6" fillId="34" borderId="19" xfId="0" applyFont="1" applyFill="1" applyBorder="1" applyAlignment="1" applyProtection="1">
      <alignment horizontal="right" vertical="center"/>
      <protection/>
    </xf>
    <xf numFmtId="3" fontId="18" fillId="41" borderId="13" xfId="0" applyNumberFormat="1" applyFont="1" applyFill="1" applyBorder="1" applyAlignment="1" applyProtection="1">
      <alignment horizontal="center" vertical="center"/>
      <protection/>
    </xf>
    <xf numFmtId="3" fontId="6" fillId="34" borderId="42" xfId="0" applyNumberFormat="1" applyFont="1" applyFill="1" applyBorder="1" applyAlignment="1" applyProtection="1">
      <alignment horizontal="center" vertical="center"/>
      <protection/>
    </xf>
    <xf numFmtId="3" fontId="6" fillId="39" borderId="43" xfId="0" applyNumberFormat="1" applyFont="1" applyFill="1" applyBorder="1" applyAlignment="1" applyProtection="1">
      <alignment horizontal="center" vertical="center"/>
      <protection/>
    </xf>
    <xf numFmtId="3" fontId="6" fillId="34" borderId="2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37" fontId="14" fillId="34" borderId="0" xfId="0" applyNumberFormat="1" applyFont="1" applyFill="1" applyAlignment="1" applyProtection="1">
      <alignment vertical="center"/>
      <protection/>
    </xf>
    <xf numFmtId="0" fontId="0" fillId="40" borderId="10" xfId="0" applyFill="1" applyBorder="1" applyAlignment="1">
      <alignment vertical="center"/>
    </xf>
    <xf numFmtId="0" fontId="18" fillId="40" borderId="14" xfId="0" applyFont="1" applyFill="1" applyBorder="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6" fillId="33" borderId="12" xfId="42" applyNumberFormat="1" applyFont="1" applyFill="1" applyBorder="1" applyAlignment="1" applyProtection="1">
      <alignment horizontal="center" vertical="center"/>
      <protection locked="0"/>
    </xf>
    <xf numFmtId="3" fontId="6" fillId="33" borderId="14" xfId="42" applyNumberFormat="1" applyFont="1" applyFill="1" applyBorder="1" applyAlignment="1" applyProtection="1">
      <alignment horizontal="center" vertical="center"/>
      <protection locked="0"/>
    </xf>
    <xf numFmtId="37" fontId="5" fillId="34" borderId="13"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horizontal="center" vertical="center"/>
      <protection/>
    </xf>
    <xf numFmtId="169" fontId="6" fillId="34" borderId="0" xfId="0" applyNumberFormat="1" applyFont="1" applyFill="1" applyBorder="1" applyAlignment="1" applyProtection="1">
      <alignment horizontal="center" vertical="center"/>
      <protection/>
    </xf>
    <xf numFmtId="0" fontId="83" fillId="0" borderId="0" xfId="0" applyFont="1" applyBorder="1" applyAlignment="1" applyProtection="1">
      <alignment vertical="center"/>
      <protection locked="0"/>
    </xf>
    <xf numFmtId="3" fontId="6" fillId="39" borderId="44" xfId="0" applyNumberFormat="1" applyFont="1" applyFill="1" applyBorder="1" applyAlignment="1" applyProtection="1">
      <alignment horizontal="center" vertical="center"/>
      <protection/>
    </xf>
    <xf numFmtId="169" fontId="6" fillId="39" borderId="44" xfId="0" applyNumberFormat="1" applyFont="1" applyFill="1" applyBorder="1" applyAlignment="1" applyProtection="1">
      <alignment horizontal="center" vertical="center"/>
      <protection/>
    </xf>
    <xf numFmtId="1" fontId="9" fillId="34" borderId="20" xfId="0" applyNumberFormat="1" applyFont="1" applyFill="1" applyBorder="1" applyAlignment="1" applyProtection="1">
      <alignment horizontal="center" vertical="center"/>
      <protection/>
    </xf>
    <xf numFmtId="37" fontId="9" fillId="34" borderId="20" xfId="0" applyNumberFormat="1" applyFont="1" applyFill="1" applyBorder="1" applyAlignment="1" applyProtection="1">
      <alignment horizontal="center" vertical="center"/>
      <protection/>
    </xf>
    <xf numFmtId="0" fontId="80" fillId="43" borderId="38" xfId="0" applyFont="1" applyFill="1" applyBorder="1" applyAlignment="1">
      <alignment horizontal="centerContinuous" vertical="center"/>
    </xf>
    <xf numFmtId="192" fontId="80" fillId="43" borderId="0" xfId="0" applyNumberFormat="1" applyFont="1" applyFill="1" applyBorder="1" applyAlignment="1">
      <alignment horizontal="centerContinuous" vertical="center"/>
    </xf>
    <xf numFmtId="0" fontId="80" fillId="43" borderId="0" xfId="0" applyFont="1" applyFill="1" applyBorder="1" applyAlignment="1">
      <alignment horizontal="centerContinuous" vertical="center"/>
    </xf>
    <xf numFmtId="179" fontId="80" fillId="43" borderId="0" xfId="0" applyNumberFormat="1" applyFont="1" applyFill="1" applyBorder="1" applyAlignment="1" applyProtection="1">
      <alignment horizontal="centerContinuous" vertical="center"/>
      <protection locked="0"/>
    </xf>
    <xf numFmtId="193" fontId="80" fillId="43" borderId="0" xfId="0" applyNumberFormat="1" applyFont="1" applyFill="1" applyBorder="1" applyAlignment="1">
      <alignment horizontal="centerContinuous" vertical="center"/>
    </xf>
    <xf numFmtId="0" fontId="80" fillId="43" borderId="34" xfId="0" applyFont="1" applyFill="1" applyBorder="1" applyAlignment="1">
      <alignment horizontal="centerContinuous" vertical="center"/>
    </xf>
    <xf numFmtId="0" fontId="80" fillId="43" borderId="38" xfId="0" applyFont="1" applyFill="1" applyBorder="1" applyAlignment="1">
      <alignment horizontal="centerContinuous"/>
    </xf>
    <xf numFmtId="192" fontId="80" fillId="43" borderId="0" xfId="0" applyNumberFormat="1" applyFont="1" applyFill="1" applyBorder="1" applyAlignment="1">
      <alignment horizontal="centerContinuous"/>
    </xf>
    <xf numFmtId="0" fontId="80" fillId="43" borderId="0" xfId="0" applyFont="1" applyFill="1" applyBorder="1" applyAlignment="1">
      <alignment horizontal="centerContinuous"/>
    </xf>
    <xf numFmtId="179" fontId="80" fillId="43" borderId="0" xfId="0" applyNumberFormat="1" applyFont="1" applyFill="1" applyBorder="1" applyAlignment="1" applyProtection="1">
      <alignment horizontal="centerContinuous"/>
      <protection locked="0"/>
    </xf>
    <xf numFmtId="193" fontId="80" fillId="43" borderId="0" xfId="0" applyNumberFormat="1" applyFont="1" applyFill="1" applyBorder="1" applyAlignment="1">
      <alignment horizontal="centerContinuous"/>
    </xf>
    <xf numFmtId="0" fontId="80" fillId="43" borderId="34" xfId="0" applyFont="1" applyFill="1" applyBorder="1" applyAlignment="1">
      <alignment horizontal="centerContinuous"/>
    </xf>
    <xf numFmtId="192" fontId="31" fillId="0" borderId="0" xfId="0" applyNumberFormat="1" applyFont="1" applyAlignment="1">
      <alignment/>
    </xf>
    <xf numFmtId="192" fontId="31" fillId="43" borderId="36" xfId="0" applyNumberFormat="1" applyFont="1" applyFill="1" applyBorder="1" applyAlignment="1">
      <alignment horizontal="center"/>
    </xf>
    <xf numFmtId="179" fontId="31" fillId="43" borderId="36" xfId="0" applyNumberFormat="1" applyFont="1" applyFill="1" applyBorder="1" applyAlignment="1" applyProtection="1">
      <alignment horizontal="center"/>
      <protection locked="0"/>
    </xf>
    <xf numFmtId="193" fontId="31" fillId="43" borderId="36" xfId="0" applyNumberFormat="1" applyFont="1" applyFill="1" applyBorder="1" applyAlignment="1">
      <alignment/>
    </xf>
    <xf numFmtId="179" fontId="31" fillId="43" borderId="0" xfId="0" applyNumberFormat="1" applyFont="1" applyFill="1" applyBorder="1" applyAlignment="1" applyProtection="1">
      <alignment horizontal="center"/>
      <protection locked="0"/>
    </xf>
    <xf numFmtId="192" fontId="31" fillId="43" borderId="31" xfId="0" applyNumberFormat="1" applyFont="1" applyFill="1" applyBorder="1" applyAlignment="1">
      <alignment horizontal="center"/>
    </xf>
    <xf numFmtId="0" fontId="31" fillId="43" borderId="31" xfId="0" applyFont="1" applyFill="1" applyBorder="1" applyAlignment="1">
      <alignment horizontal="center"/>
    </xf>
    <xf numFmtId="179" fontId="31" fillId="43" borderId="31" xfId="0" applyNumberFormat="1" applyFont="1" applyFill="1" applyBorder="1" applyAlignment="1" applyProtection="1">
      <alignment horizontal="center"/>
      <protection locked="0"/>
    </xf>
    <xf numFmtId="193" fontId="31" fillId="43" borderId="31" xfId="0" applyNumberFormat="1" applyFont="1" applyFill="1" applyBorder="1" applyAlignment="1">
      <alignment/>
    </xf>
    <xf numFmtId="192" fontId="31" fillId="43" borderId="0" xfId="0" applyNumberFormat="1" applyFont="1" applyFill="1" applyBorder="1" applyAlignment="1" applyProtection="1">
      <alignment horizontal="center"/>
      <protection locked="0"/>
    </xf>
    <xf numFmtId="192" fontId="6" fillId="46" borderId="23" xfId="79" applyNumberFormat="1" applyFont="1" applyFill="1" applyBorder="1" applyAlignment="1" applyProtection="1">
      <alignment horizontal="center"/>
      <protection/>
    </xf>
    <xf numFmtId="0" fontId="6" fillId="46" borderId="25" xfId="0" applyFont="1" applyFill="1" applyBorder="1" applyAlignment="1" applyProtection="1">
      <alignment vertical="center"/>
      <protection/>
    </xf>
    <xf numFmtId="192" fontId="6" fillId="46" borderId="16"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1" fontId="6" fillId="34" borderId="25" xfId="0" applyNumberFormat="1" applyFont="1" applyFill="1" applyBorder="1" applyAlignment="1" applyProtection="1">
      <alignment horizontal="center" vertical="center"/>
      <protection/>
    </xf>
    <xf numFmtId="0" fontId="6" fillId="34" borderId="0" xfId="0" applyNumberFormat="1" applyFont="1" applyFill="1" applyBorder="1" applyAlignment="1" applyProtection="1">
      <alignment horizontal="right" vertical="center"/>
      <protection/>
    </xf>
    <xf numFmtId="3" fontId="6" fillId="40" borderId="27" xfId="0" applyNumberFormat="1"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43" borderId="0" xfId="71" applyFont="1" applyFill="1">
      <alignment/>
      <protection/>
    </xf>
    <xf numFmtId="0" fontId="0" fillId="0" borderId="0" xfId="71">
      <alignment/>
      <protection/>
    </xf>
    <xf numFmtId="0" fontId="6" fillId="43" borderId="0" xfId="71" applyFont="1" applyFill="1" applyAlignment="1">
      <alignment vertical="center"/>
      <protection/>
    </xf>
    <xf numFmtId="37" fontId="6" fillId="43" borderId="0" xfId="71" applyNumberFormat="1" applyFont="1" applyFill="1" applyAlignment="1">
      <alignment vertical="center"/>
      <protection/>
    </xf>
    <xf numFmtId="0" fontId="6" fillId="43" borderId="10" xfId="71" applyFont="1" applyFill="1" applyBorder="1" applyAlignment="1">
      <alignment vertical="center"/>
      <protection/>
    </xf>
    <xf numFmtId="0" fontId="6" fillId="43" borderId="0" xfId="71" applyFont="1" applyFill="1" applyAlignment="1">
      <alignment horizontal="center" vertical="center"/>
      <protection/>
    </xf>
    <xf numFmtId="0" fontId="7" fillId="43" borderId="0" xfId="71" applyFont="1" applyFill="1" applyAlignment="1">
      <alignment horizontal="center" vertical="center"/>
      <protection/>
    </xf>
    <xf numFmtId="192" fontId="6" fillId="43" borderId="0" xfId="71" applyNumberFormat="1" applyFont="1" applyFill="1" applyAlignment="1">
      <alignment vertical="center"/>
      <protection/>
    </xf>
    <xf numFmtId="192" fontId="6" fillId="43" borderId="19" xfId="71" applyNumberFormat="1" applyFont="1" applyFill="1" applyBorder="1" applyAlignment="1">
      <alignment vertical="center"/>
      <protection/>
    </xf>
    <xf numFmtId="6" fontId="6" fillId="43" borderId="0" xfId="71" applyNumberFormat="1" applyFont="1" applyFill="1" applyBorder="1" applyAlignment="1">
      <alignment vertical="center"/>
      <protection/>
    </xf>
    <xf numFmtId="192" fontId="6" fillId="43" borderId="0" xfId="71" applyNumberFormat="1" applyFont="1" applyFill="1" applyBorder="1" applyAlignment="1">
      <alignment vertical="center"/>
      <protection/>
    </xf>
    <xf numFmtId="0" fontId="84" fillId="46" borderId="0" xfId="71" applyFont="1" applyFill="1" applyAlignment="1">
      <alignment vertical="center"/>
      <protection/>
    </xf>
    <xf numFmtId="0" fontId="84" fillId="43" borderId="0" xfId="71" applyFont="1" applyFill="1" applyAlignment="1">
      <alignment horizontal="center" vertical="center"/>
      <protection/>
    </xf>
    <xf numFmtId="179" fontId="6" fillId="43" borderId="0" xfId="71" applyNumberFormat="1" applyFont="1" applyFill="1" applyAlignment="1">
      <alignment horizontal="center" vertical="center"/>
      <protection/>
    </xf>
    <xf numFmtId="197" fontId="84" fillId="43" borderId="0" xfId="71" applyNumberFormat="1" applyFont="1" applyFill="1" applyAlignment="1">
      <alignment horizontal="center" vertical="center"/>
      <protection/>
    </xf>
    <xf numFmtId="0" fontId="84" fillId="46" borderId="0" xfId="71" applyFont="1" applyFill="1" applyAlignment="1">
      <alignment horizontal="center" vertical="center"/>
      <protection/>
    </xf>
    <xf numFmtId="0" fontId="85" fillId="46" borderId="0" xfId="71" applyFont="1" applyFill="1" applyAlignment="1">
      <alignment horizontal="center" vertical="center"/>
      <protection/>
    </xf>
    <xf numFmtId="0" fontId="6" fillId="43" borderId="0" xfId="71" applyFont="1" applyFill="1" applyAlignment="1">
      <alignment horizontal="right" vertical="center"/>
      <protection/>
    </xf>
    <xf numFmtId="0" fontId="6" fillId="43" borderId="0" xfId="71" applyFont="1" applyFill="1" applyAlignment="1">
      <alignment horizontal="left" vertical="center"/>
      <protection/>
    </xf>
    <xf numFmtId="0" fontId="6" fillId="43" borderId="0" xfId="66" applyFont="1" applyFill="1">
      <alignment/>
      <protection/>
    </xf>
    <xf numFmtId="0" fontId="0" fillId="43" borderId="0" xfId="71" applyFill="1">
      <alignment/>
      <protection/>
    </xf>
    <xf numFmtId="0" fontId="5" fillId="43" borderId="0" xfId="66" applyFont="1" applyFill="1">
      <alignment/>
      <protection/>
    </xf>
    <xf numFmtId="0" fontId="0" fillId="43" borderId="0" xfId="66" applyFill="1">
      <alignment/>
      <protection/>
    </xf>
    <xf numFmtId="0" fontId="11" fillId="0" borderId="0" xfId="58" applyAlignment="1" applyProtection="1">
      <alignment/>
      <protection/>
    </xf>
    <xf numFmtId="196" fontId="6" fillId="34" borderId="12" xfId="0" applyNumberFormat="1" applyFont="1" applyFill="1" applyBorder="1" applyAlignment="1" applyProtection="1">
      <alignment horizontal="right" vertical="center"/>
      <protection/>
    </xf>
    <xf numFmtId="169" fontId="6" fillId="34" borderId="12" xfId="0" applyNumberFormat="1" applyFont="1" applyFill="1" applyBorder="1" applyAlignment="1" applyProtection="1">
      <alignment horizontal="right" vertical="center"/>
      <protection/>
    </xf>
    <xf numFmtId="0" fontId="6" fillId="34" borderId="12" xfId="0" applyFont="1" applyFill="1" applyBorder="1" applyAlignment="1" applyProtection="1">
      <alignment horizontal="right" vertical="center"/>
      <protection/>
    </xf>
    <xf numFmtId="3" fontId="6" fillId="34" borderId="41" xfId="0" applyNumberFormat="1" applyFont="1" applyFill="1" applyBorder="1" applyAlignment="1" applyProtection="1">
      <alignment horizontal="right" vertical="center"/>
      <protection/>
    </xf>
    <xf numFmtId="0" fontId="6" fillId="43" borderId="41" xfId="0" applyFont="1" applyFill="1" applyBorder="1" applyAlignment="1" applyProtection="1">
      <alignment horizontal="right" vertical="center"/>
      <protection/>
    </xf>
    <xf numFmtId="3" fontId="6" fillId="39" borderId="45" xfId="0" applyNumberFormat="1" applyFont="1" applyFill="1" applyBorder="1" applyAlignment="1" applyProtection="1">
      <alignment horizontal="right" vertical="center"/>
      <protection/>
    </xf>
    <xf numFmtId="179" fontId="6" fillId="39" borderId="45" xfId="0" applyNumberFormat="1" applyFont="1" applyFill="1" applyBorder="1" applyAlignment="1" applyProtection="1">
      <alignment horizontal="right" vertical="center"/>
      <protection/>
    </xf>
    <xf numFmtId="49" fontId="6" fillId="33" borderId="12" xfId="0" applyNumberFormat="1" applyFont="1" applyFill="1" applyBorder="1" applyAlignment="1" applyProtection="1">
      <alignment horizontal="center" vertical="center"/>
      <protection locked="0"/>
    </xf>
    <xf numFmtId="49" fontId="6" fillId="33" borderId="12" xfId="0" applyNumberFormat="1" applyFont="1" applyFill="1" applyBorder="1" applyAlignment="1" applyProtection="1">
      <alignment horizontal="center" vertical="center"/>
      <protection locked="0"/>
    </xf>
    <xf numFmtId="1" fontId="6" fillId="34" borderId="13"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0" fontId="6" fillId="43" borderId="0" xfId="0" applyFont="1" applyFill="1" applyAlignment="1" applyProtection="1">
      <alignment vertical="center"/>
      <protection locked="0"/>
    </xf>
    <xf numFmtId="198" fontId="6" fillId="33" borderId="12" xfId="0" applyNumberFormat="1" applyFont="1" applyFill="1" applyBorder="1" applyAlignment="1" applyProtection="1">
      <alignment vertical="center"/>
      <protection locked="0"/>
    </xf>
    <xf numFmtId="198" fontId="6" fillId="33" borderId="12" xfId="0" applyNumberFormat="1" applyFont="1" applyFill="1" applyBorder="1" applyAlignment="1" applyProtection="1">
      <alignment vertical="center"/>
      <protection locked="0"/>
    </xf>
    <xf numFmtId="3" fontId="6" fillId="34" borderId="22" xfId="0" applyNumberFormat="1"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31" fillId="43" borderId="19" xfId="0" applyFont="1" applyFill="1" applyBorder="1" applyAlignment="1">
      <alignment horizontal="center"/>
    </xf>
    <xf numFmtId="192" fontId="31" fillId="43" borderId="0" xfId="0" applyNumberFormat="1" applyFont="1" applyFill="1" applyBorder="1" applyAlignment="1">
      <alignment horizontal="center"/>
    </xf>
    <xf numFmtId="193" fontId="31" fillId="43" borderId="0" xfId="0" applyNumberFormat="1" applyFont="1" applyFill="1" applyBorder="1" applyAlignment="1">
      <alignment horizontal="center"/>
    </xf>
    <xf numFmtId="0" fontId="80" fillId="43" borderId="0" xfId="0" applyFont="1" applyFill="1" applyAlignment="1">
      <alignment horizontal="center" wrapText="1"/>
    </xf>
    <xf numFmtId="0" fontId="31" fillId="43" borderId="0" xfId="0" applyFont="1" applyFill="1" applyBorder="1" applyAlignment="1">
      <alignment horizontal="center"/>
    </xf>
    <xf numFmtId="192" fontId="31" fillId="44" borderId="10" xfId="0" applyNumberFormat="1" applyFont="1" applyFill="1" applyBorder="1" applyAlignment="1" applyProtection="1">
      <alignment horizontal="center"/>
      <protection locked="0"/>
    </xf>
    <xf numFmtId="192" fontId="31" fillId="43" borderId="0" xfId="0" applyNumberFormat="1" applyFont="1" applyFill="1" applyAlignment="1">
      <alignment horizontal="center"/>
    </xf>
    <xf numFmtId="0" fontId="80" fillId="43" borderId="0" xfId="0" applyFont="1" applyFill="1" applyAlignment="1">
      <alignment horizontal="center"/>
    </xf>
    <xf numFmtId="0" fontId="31" fillId="43" borderId="0" xfId="0" applyFont="1" applyFill="1" applyBorder="1" applyAlignment="1">
      <alignment/>
    </xf>
    <xf numFmtId="0" fontId="31" fillId="43" borderId="37" xfId="0" applyFont="1" applyFill="1" applyBorder="1" applyAlignment="1">
      <alignment/>
    </xf>
    <xf numFmtId="0" fontId="86" fillId="0" borderId="0" xfId="0" applyFont="1" applyAlignment="1">
      <alignment/>
    </xf>
    <xf numFmtId="49" fontId="6" fillId="33" borderId="0" xfId="363" applyNumberFormat="1" applyFont="1" applyFill="1" applyAlignment="1" applyProtection="1">
      <alignment horizontal="left" vertical="center"/>
      <protection locked="0"/>
    </xf>
    <xf numFmtId="49" fontId="6" fillId="0" borderId="0" xfId="363" applyNumberFormat="1" applyFont="1" applyFill="1" applyAlignment="1" applyProtection="1">
      <alignment horizontal="left" vertical="center"/>
      <protection locked="0"/>
    </xf>
    <xf numFmtId="0" fontId="6" fillId="33" borderId="0" xfId="363" applyFont="1" applyFill="1" applyAlignment="1" applyProtection="1">
      <alignment horizontal="left" vertical="center"/>
      <protection locked="0"/>
    </xf>
    <xf numFmtId="0" fontId="29" fillId="33" borderId="0" xfId="363" applyFill="1" applyAlignment="1" applyProtection="1">
      <alignment horizontal="left" vertical="center"/>
      <protection locked="0"/>
    </xf>
    <xf numFmtId="0" fontId="87" fillId="0" borderId="0" xfId="363" applyFont="1">
      <alignment/>
      <protection/>
    </xf>
    <xf numFmtId="189" fontId="88" fillId="0" borderId="0" xfId="363" applyNumberFormat="1" applyFont="1" applyAlignment="1">
      <alignment horizontal="left" vertical="center"/>
      <protection/>
    </xf>
    <xf numFmtId="0" fontId="88" fillId="0" borderId="0" xfId="363" applyNumberFormat="1" applyFont="1" applyAlignment="1">
      <alignment horizontal="left" vertical="center"/>
      <protection/>
    </xf>
    <xf numFmtId="1" fontId="88" fillId="0" borderId="0" xfId="363" applyNumberFormat="1" applyFont="1" applyAlignment="1">
      <alignment horizontal="left" vertical="center"/>
      <protection/>
    </xf>
    <xf numFmtId="0" fontId="89" fillId="0" borderId="0" xfId="363" applyFont="1" applyAlignment="1">
      <alignment horizontal="left" vertical="center"/>
      <protection/>
    </xf>
    <xf numFmtId="179" fontId="36" fillId="43" borderId="17" xfId="0" applyNumberFormat="1" applyFont="1" applyFill="1" applyBorder="1" applyAlignment="1" applyProtection="1">
      <alignment horizontal="center" vertical="center"/>
      <protection/>
    </xf>
    <xf numFmtId="0" fontId="36" fillId="46" borderId="15" xfId="0" applyFont="1" applyFill="1" applyBorder="1" applyAlignment="1" applyProtection="1">
      <alignment vertical="center"/>
      <protection/>
    </xf>
    <xf numFmtId="0" fontId="4" fillId="46" borderId="0" xfId="0" applyFont="1" applyFill="1" applyBorder="1" applyAlignment="1" applyProtection="1">
      <alignment vertical="center"/>
      <protection/>
    </xf>
    <xf numFmtId="192" fontId="36" fillId="46" borderId="17"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horizontal="left" vertical="center"/>
      <protection/>
    </xf>
    <xf numFmtId="0" fontId="37" fillId="43" borderId="10" xfId="0" applyFont="1" applyFill="1" applyBorder="1" applyAlignment="1">
      <alignment horizontal="left" vertical="center"/>
    </xf>
    <xf numFmtId="192" fontId="36" fillId="46" borderId="16" xfId="0" applyNumberFormat="1" applyFont="1" applyFill="1" applyBorder="1" applyAlignment="1" applyProtection="1">
      <alignment horizontal="center" vertical="center"/>
      <protection locked="0"/>
    </xf>
    <xf numFmtId="0" fontId="6" fillId="0" borderId="0" xfId="0" applyFont="1" applyAlignment="1" applyProtection="1">
      <alignment/>
      <protection locked="0"/>
    </xf>
    <xf numFmtId="0" fontId="4" fillId="34" borderId="23" xfId="58" applyNumberFormat="1" applyFont="1" applyFill="1" applyBorder="1" applyAlignment="1" applyProtection="1">
      <alignment horizontal="center" vertical="center"/>
      <protection/>
    </xf>
    <xf numFmtId="0" fontId="83" fillId="0" borderId="0" xfId="0" applyFont="1" applyAlignment="1" applyProtection="1">
      <alignment/>
      <protection locked="0"/>
    </xf>
    <xf numFmtId="192" fontId="4" fillId="46" borderId="25" xfId="0" applyNumberFormat="1" applyFont="1" applyFill="1" applyBorder="1" applyAlignment="1" applyProtection="1">
      <alignment horizontal="center" vertical="center"/>
      <protection/>
    </xf>
    <xf numFmtId="0" fontId="6" fillId="46" borderId="16" xfId="0" applyFont="1" applyFill="1" applyBorder="1" applyAlignment="1" applyProtection="1">
      <alignment/>
      <protection locked="0"/>
    </xf>
    <xf numFmtId="179" fontId="4" fillId="43" borderId="15" xfId="0" applyNumberFormat="1" applyFont="1" applyFill="1" applyBorder="1" applyAlignment="1" applyProtection="1">
      <alignment horizontal="center" vertical="center"/>
      <protection/>
    </xf>
    <xf numFmtId="0" fontId="35" fillId="43" borderId="0" xfId="0" applyFont="1" applyFill="1" applyBorder="1" applyAlignment="1" applyProtection="1">
      <alignment horizontal="center" vertical="center"/>
      <protection/>
    </xf>
    <xf numFmtId="0" fontId="0" fillId="43" borderId="23" xfId="0" applyFill="1" applyBorder="1" applyAlignment="1" applyProtection="1">
      <alignment vertical="center"/>
      <protection/>
    </xf>
    <xf numFmtId="179" fontId="4" fillId="46" borderId="25" xfId="0" applyNumberFormat="1" applyFont="1" applyFill="1" applyBorder="1" applyAlignment="1" applyProtection="1">
      <alignment horizontal="center" vertical="center"/>
      <protection/>
    </xf>
    <xf numFmtId="179" fontId="4" fillId="43" borderId="22" xfId="0" applyNumberFormat="1" applyFont="1" applyFill="1" applyBorder="1" applyAlignment="1" applyProtection="1">
      <alignment horizontal="center" vertical="center"/>
      <protection/>
    </xf>
    <xf numFmtId="179" fontId="4" fillId="46" borderId="22" xfId="0" applyNumberFormat="1" applyFont="1" applyFill="1" applyBorder="1" applyAlignment="1" applyProtection="1">
      <alignment horizontal="center" vertical="center"/>
      <protection/>
    </xf>
    <xf numFmtId="0" fontId="4" fillId="43" borderId="10" xfId="0" applyFont="1" applyFill="1" applyBorder="1" applyAlignment="1" applyProtection="1">
      <alignment horizontal="left" vertical="center"/>
      <protection/>
    </xf>
    <xf numFmtId="0" fontId="35" fillId="43" borderId="10" xfId="0" applyFont="1" applyFill="1" applyBorder="1" applyAlignment="1" applyProtection="1">
      <alignment horizontal="center" vertical="center"/>
      <protection/>
    </xf>
    <xf numFmtId="0" fontId="0" fillId="43" borderId="16" xfId="0" applyFill="1" applyBorder="1" applyAlignment="1" applyProtection="1">
      <alignment vertical="center"/>
      <protection/>
    </xf>
    <xf numFmtId="0" fontId="36" fillId="43" borderId="17" xfId="0" applyFont="1" applyFill="1" applyBorder="1" applyAlignment="1" applyProtection="1">
      <alignment horizontal="center" vertical="center"/>
      <protection/>
    </xf>
    <xf numFmtId="0" fontId="38" fillId="0" borderId="0" xfId="0" applyFont="1" applyAlignment="1" applyProtection="1">
      <alignment vertical="center"/>
      <protection/>
    </xf>
    <xf numFmtId="0" fontId="0" fillId="0" borderId="0" xfId="0" applyFill="1" applyBorder="1" applyAlignment="1">
      <alignment vertical="center"/>
    </xf>
    <xf numFmtId="0" fontId="6"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xf>
    <xf numFmtId="0" fontId="36" fillId="0" borderId="0" xfId="0" applyFont="1" applyFill="1" applyBorder="1" applyAlignment="1" applyProtection="1">
      <alignment horizontal="center" vertical="center"/>
      <protection/>
    </xf>
    <xf numFmtId="0" fontId="36" fillId="0" borderId="0" xfId="0" applyFont="1" applyFill="1" applyBorder="1" applyAlignment="1" applyProtection="1">
      <alignment vertical="center"/>
      <protection/>
    </xf>
    <xf numFmtId="192" fontId="36" fillId="0" borderId="0" xfId="0" applyNumberFormat="1" applyFont="1" applyFill="1" applyBorder="1" applyAlignment="1" applyProtection="1">
      <alignment horizontal="center" vertical="center"/>
      <protection/>
    </xf>
    <xf numFmtId="198" fontId="6" fillId="34" borderId="0" xfId="0" applyNumberFormat="1" applyFont="1" applyFill="1" applyAlignment="1">
      <alignment horizontal="center" vertical="center"/>
    </xf>
    <xf numFmtId="0" fontId="6" fillId="0" borderId="0" xfId="115" applyFont="1" applyAlignment="1">
      <alignment vertical="center"/>
      <protection/>
    </xf>
    <xf numFmtId="0" fontId="6" fillId="0" borderId="0" xfId="369" applyFont="1" applyAlignment="1">
      <alignment vertical="center" wrapText="1"/>
      <protection/>
    </xf>
    <xf numFmtId="0" fontId="6" fillId="0" borderId="0" xfId="65" applyFont="1" applyAlignment="1">
      <alignment vertical="center" wrapText="1"/>
      <protection/>
    </xf>
    <xf numFmtId="0" fontId="6" fillId="0" borderId="0" xfId="75" applyFont="1" applyAlignment="1">
      <alignment vertical="center" wrapText="1"/>
      <protection/>
    </xf>
    <xf numFmtId="0" fontId="6" fillId="0" borderId="0" xfId="105" applyFont="1" applyAlignment="1">
      <alignment vertical="center" wrapText="1"/>
      <protection/>
    </xf>
    <xf numFmtId="0" fontId="6" fillId="0" borderId="0" xfId="111" applyFont="1" applyAlignment="1">
      <alignment vertical="center" wrapText="1"/>
      <protection/>
    </xf>
    <xf numFmtId="0" fontId="24" fillId="0" borderId="0" xfId="0" applyFont="1" applyAlignment="1">
      <alignment wrapText="1"/>
    </xf>
    <xf numFmtId="0" fontId="90" fillId="0" borderId="0" xfId="0" applyFont="1" applyAlignment="1">
      <alignment wrapText="1"/>
    </xf>
    <xf numFmtId="0" fontId="5" fillId="0" borderId="0" xfId="0" applyFont="1" applyAlignment="1">
      <alignment wrapText="1"/>
    </xf>
    <xf numFmtId="0" fontId="40" fillId="0" borderId="0" xfId="0" applyFont="1" applyAlignment="1" applyProtection="1">
      <alignment vertical="center"/>
      <protection/>
    </xf>
    <xf numFmtId="0" fontId="6" fillId="0" borderId="0" xfId="64" applyFont="1" applyAlignment="1">
      <alignment vertical="center" wrapText="1"/>
      <protection/>
    </xf>
    <xf numFmtId="0" fontId="11" fillId="32" borderId="0" xfId="58" applyFill="1" applyAlignment="1" applyProtection="1">
      <alignment/>
      <protection/>
    </xf>
    <xf numFmtId="0" fontId="62" fillId="32" borderId="0" xfId="333" applyFill="1">
      <alignment/>
      <protection/>
    </xf>
    <xf numFmtId="0" fontId="6" fillId="0" borderId="0" xfId="142" applyFont="1" applyAlignment="1">
      <alignment vertical="center"/>
      <protection/>
    </xf>
    <xf numFmtId="0" fontId="0" fillId="0" borderId="0" xfId="0" applyAlignment="1" applyProtection="1">
      <alignment/>
      <protection locked="0"/>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34" borderId="0" xfId="0" applyFont="1" applyFill="1" applyBorder="1" applyAlignment="1">
      <alignment vertical="center"/>
    </xf>
    <xf numFmtId="0" fontId="20" fillId="0" borderId="0" xfId="0" applyFont="1" applyAlignment="1">
      <alignment vertical="center"/>
    </xf>
    <xf numFmtId="37" fontId="6" fillId="34" borderId="13"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37" fontId="5" fillId="34" borderId="15" xfId="0" applyNumberFormat="1" applyFont="1" applyFill="1" applyBorder="1" applyAlignment="1" applyProtection="1">
      <alignment horizontal="center" vertical="center"/>
      <protection/>
    </xf>
    <xf numFmtId="0" fontId="0" fillId="0" borderId="23" xfId="0" applyBorder="1" applyAlignment="1">
      <alignment horizontal="center" vertical="center"/>
    </xf>
    <xf numFmtId="0" fontId="6" fillId="36" borderId="0" xfId="0" applyFont="1" applyFill="1" applyBorder="1" applyAlignment="1">
      <alignment vertical="center" wrapText="1"/>
    </xf>
    <xf numFmtId="37" fontId="5" fillId="34" borderId="36" xfId="0" applyNumberFormat="1" applyFont="1" applyFill="1" applyBorder="1" applyAlignment="1" applyProtection="1">
      <alignment horizontal="center" vertical="center"/>
      <protection/>
    </xf>
    <xf numFmtId="0" fontId="1" fillId="0" borderId="36" xfId="0" applyFont="1" applyBorder="1" applyAlignment="1">
      <alignment horizontal="center" vertical="center"/>
    </xf>
    <xf numFmtId="0" fontId="5" fillId="34" borderId="36" xfId="0" applyFont="1" applyFill="1" applyBorder="1" applyAlignment="1" applyProtection="1">
      <alignment horizontal="center" vertical="center"/>
      <protection/>
    </xf>
    <xf numFmtId="0" fontId="0" fillId="0" borderId="36" xfId="0" applyFont="1" applyBorder="1" applyAlignment="1">
      <alignment vertical="center"/>
    </xf>
    <xf numFmtId="3" fontId="6" fillId="34" borderId="13" xfId="0" applyNumberFormat="1" applyFont="1" applyFill="1" applyBorder="1" applyAlignment="1" applyProtection="1">
      <alignment horizontal="center" vertical="center" wrapText="1"/>
      <protection/>
    </xf>
    <xf numFmtId="37" fontId="5" fillId="34" borderId="18" xfId="0" applyNumberFormat="1" applyFont="1" applyFill="1" applyBorder="1" applyAlignment="1" applyProtection="1">
      <alignment horizontal="center" vertical="center"/>
      <protection/>
    </xf>
    <xf numFmtId="0" fontId="0" fillId="0" borderId="18" xfId="0" applyFont="1" applyBorder="1" applyAlignment="1">
      <alignment horizontal="center" vertical="center"/>
    </xf>
    <xf numFmtId="0" fontId="5" fillId="35" borderId="0" xfId="0" applyFont="1" applyFill="1" applyBorder="1" applyAlignment="1">
      <alignment horizontal="center" vertical="center"/>
    </xf>
    <xf numFmtId="0" fontId="1" fillId="35" borderId="0" xfId="0" applyFont="1" applyFill="1" applyBorder="1" applyAlignment="1">
      <alignment horizontal="center" vertical="center"/>
    </xf>
    <xf numFmtId="37" fontId="5" fillId="34" borderId="10" xfId="0" applyNumberFormat="1" applyFont="1" applyFill="1" applyBorder="1" applyAlignment="1" applyProtection="1">
      <alignment horizontal="center" vertical="center"/>
      <protection/>
    </xf>
    <xf numFmtId="0" fontId="1" fillId="34" borderId="10" xfId="0" applyFont="1" applyFill="1" applyBorder="1" applyAlignment="1">
      <alignment horizontal="center" vertical="center"/>
    </xf>
    <xf numFmtId="37" fontId="5" fillId="38" borderId="10"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37" fontId="6" fillId="34" borderId="24" xfId="0" applyNumberFormat="1" applyFont="1" applyFill="1" applyBorder="1" applyAlignment="1" applyProtection="1">
      <alignment horizontal="center" vertical="center" wrapText="1"/>
      <protection/>
    </xf>
    <xf numFmtId="0" fontId="6" fillId="34" borderId="24" xfId="0" applyFont="1" applyFill="1" applyBorder="1" applyAlignment="1" applyProtection="1">
      <alignment horizontal="center" vertical="center" wrapText="1"/>
      <protection/>
    </xf>
    <xf numFmtId="0" fontId="6" fillId="34" borderId="14" xfId="0" applyFont="1" applyFill="1" applyBorder="1" applyAlignment="1" applyProtection="1">
      <alignment horizontal="center" vertical="center" wrapText="1"/>
      <protection/>
    </xf>
    <xf numFmtId="0" fontId="17" fillId="34" borderId="24" xfId="0" applyFont="1" applyFill="1" applyBorder="1" applyAlignment="1" applyProtection="1">
      <alignment horizontal="center" vertical="center" wrapText="1"/>
      <protection/>
    </xf>
    <xf numFmtId="0" fontId="17" fillId="34" borderId="14" xfId="0" applyFont="1" applyFill="1" applyBorder="1" applyAlignment="1" applyProtection="1">
      <alignment horizontal="center" vertical="center" wrapText="1"/>
      <protection/>
    </xf>
    <xf numFmtId="3" fontId="6" fillId="34" borderId="24" xfId="0" applyNumberFormat="1" applyFont="1" applyFill="1" applyBorder="1" applyAlignment="1" applyProtection="1">
      <alignment vertical="center" wrapText="1"/>
      <protection locked="0"/>
    </xf>
    <xf numFmtId="3" fontId="6" fillId="34" borderId="14" xfId="0" applyNumberFormat="1" applyFont="1" applyFill="1" applyBorder="1" applyAlignment="1" applyProtection="1">
      <alignment vertical="center" wrapText="1"/>
      <protection locked="0"/>
    </xf>
    <xf numFmtId="0" fontId="17" fillId="34" borderId="24" xfId="0" applyFont="1" applyFill="1" applyBorder="1" applyAlignment="1">
      <alignment horizontal="center" vertical="center" wrapText="1"/>
    </xf>
    <xf numFmtId="0" fontId="17" fillId="34" borderId="14" xfId="0" applyFont="1" applyFill="1" applyBorder="1" applyAlignment="1">
      <alignment horizontal="center" vertical="center" wrapText="1"/>
    </xf>
    <xf numFmtId="0" fontId="6" fillId="0" borderId="0" xfId="363" applyFont="1" applyAlignment="1">
      <alignment horizontal="left" vertical="center" wrapText="1"/>
      <protection/>
    </xf>
    <xf numFmtId="0" fontId="29" fillId="0" borderId="0" xfId="363" applyAlignment="1">
      <alignment horizontal="left" vertical="center" wrapText="1"/>
      <protection/>
    </xf>
    <xf numFmtId="0" fontId="14" fillId="0" borderId="0" xfId="363" applyFont="1" applyAlignment="1">
      <alignment horizontal="left" vertical="center"/>
      <protection/>
    </xf>
    <xf numFmtId="0" fontId="6" fillId="42" borderId="20" xfId="0" applyFont="1" applyFill="1" applyBorder="1" applyAlignment="1" applyProtection="1">
      <alignment horizontal="center" vertical="center" wrapText="1"/>
      <protection/>
    </xf>
    <xf numFmtId="0" fontId="6" fillId="42" borderId="21" xfId="0" applyFont="1" applyFill="1" applyBorder="1" applyAlignment="1" applyProtection="1">
      <alignment horizontal="center" vertical="center" wrapText="1"/>
      <protection/>
    </xf>
    <xf numFmtId="0" fontId="0" fillId="42" borderId="25" xfId="0" applyFill="1" applyBorder="1" applyAlignment="1">
      <alignment horizontal="center" vertical="center" wrapText="1"/>
    </xf>
    <xf numFmtId="0" fontId="0" fillId="42" borderId="16" xfId="0" applyFill="1" applyBorder="1" applyAlignment="1">
      <alignment horizontal="center" vertical="center" wrapText="1"/>
    </xf>
    <xf numFmtId="0" fontId="6" fillId="43" borderId="0" xfId="0" applyFont="1" applyFill="1" applyBorder="1" applyAlignment="1">
      <alignment horizontal="center" vertical="center"/>
    </xf>
    <xf numFmtId="37" fontId="6" fillId="34" borderId="0" xfId="0" applyNumberFormat="1" applyFont="1" applyFill="1" applyAlignment="1" applyProtection="1">
      <alignment horizontal="center" vertical="center"/>
      <protection/>
    </xf>
    <xf numFmtId="1" fontId="6" fillId="34" borderId="13" xfId="0" applyNumberFormat="1"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9" fillId="42" borderId="22" xfId="0" applyFont="1" applyFill="1" applyBorder="1" applyAlignment="1" applyProtection="1">
      <alignment vertical="center"/>
      <protection/>
    </xf>
    <xf numFmtId="0" fontId="9" fillId="42" borderId="17" xfId="0" applyFont="1" applyFill="1" applyBorder="1" applyAlignment="1" applyProtection="1">
      <alignment vertical="center"/>
      <protection/>
    </xf>
    <xf numFmtId="3" fontId="6" fillId="33" borderId="22" xfId="42" applyNumberFormat="1" applyFont="1" applyFill="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3" fontId="6" fillId="47" borderId="22" xfId="0" applyNumberFormat="1" applyFont="1" applyFill="1" applyBorder="1" applyAlignment="1" applyProtection="1">
      <alignment horizontal="center" vertical="center"/>
      <protection/>
    </xf>
    <xf numFmtId="3" fontId="6" fillId="47" borderId="17" xfId="0" applyNumberFormat="1" applyFont="1" applyFill="1" applyBorder="1" applyAlignment="1" applyProtection="1">
      <alignment horizontal="center" vertical="center"/>
      <protection/>
    </xf>
    <xf numFmtId="0" fontId="6" fillId="34" borderId="0" xfId="0" applyFont="1" applyFill="1" applyAlignment="1">
      <alignment horizontal="center"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21" xfId="0" applyBorder="1" applyAlignment="1">
      <alignment horizontal="center" vertical="center"/>
    </xf>
    <xf numFmtId="0" fontId="6" fillId="34" borderId="25"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6" fillId="34" borderId="25"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5" fillId="43" borderId="0" xfId="71" applyFont="1" applyFill="1" applyAlignment="1">
      <alignment horizontal="center" vertical="center"/>
      <protection/>
    </xf>
    <xf numFmtId="0" fontId="14" fillId="43" borderId="0" xfId="71" applyFont="1" applyFill="1" applyAlignment="1">
      <alignment horizontal="center" vertical="center"/>
      <protection/>
    </xf>
    <xf numFmtId="0" fontId="6" fillId="43" borderId="0" xfId="71" applyFont="1" applyFill="1" applyAlignment="1">
      <alignment vertical="center" wrapText="1"/>
      <protection/>
    </xf>
    <xf numFmtId="0" fontId="14" fillId="43" borderId="0" xfId="367" applyFont="1" applyFill="1" applyAlignment="1">
      <alignment horizontal="center"/>
      <protection/>
    </xf>
    <xf numFmtId="0" fontId="0" fillId="43" borderId="0" xfId="71" applyFill="1" applyAlignment="1">
      <alignment horizontal="center"/>
      <protection/>
    </xf>
    <xf numFmtId="0" fontId="35" fillId="43"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21" xfId="0" applyBorder="1" applyAlignment="1">
      <alignment vertical="center"/>
    </xf>
    <xf numFmtId="179" fontId="35" fillId="43" borderId="20" xfId="0" applyNumberFormat="1" applyFont="1" applyFill="1" applyBorder="1" applyAlignment="1" applyProtection="1">
      <alignment horizontal="center"/>
      <protection/>
    </xf>
    <xf numFmtId="0" fontId="16" fillId="0" borderId="19" xfId="0" applyFont="1" applyBorder="1" applyAlignment="1">
      <alignment/>
    </xf>
    <xf numFmtId="0" fontId="16" fillId="0" borderId="21" xfId="0" applyFont="1" applyBorder="1" applyAlignment="1">
      <alignment/>
    </xf>
    <xf numFmtId="0" fontId="6" fillId="0" borderId="0" xfId="0" applyNumberFormat="1" applyFont="1" applyFill="1" applyBorder="1" applyAlignment="1" applyProtection="1">
      <alignment horizontal="right" vertical="center"/>
      <protection/>
    </xf>
    <xf numFmtId="0" fontId="0" fillId="0" borderId="0" xfId="0" applyFill="1" applyBorder="1" applyAlignment="1">
      <alignment horizontal="right" vertical="center"/>
    </xf>
    <xf numFmtId="0" fontId="6"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3" fontId="6" fillId="34" borderId="19" xfId="82" applyNumberFormat="1" applyFont="1" applyFill="1" applyBorder="1" applyAlignment="1" applyProtection="1">
      <alignment horizontal="right" vertical="center"/>
      <protection/>
    </xf>
    <xf numFmtId="0" fontId="0" fillId="0" borderId="21" xfId="82" applyBorder="1" applyAlignment="1">
      <alignment horizontal="right" vertical="center"/>
      <protection/>
    </xf>
    <xf numFmtId="0" fontId="6" fillId="34" borderId="0" xfId="82" applyFont="1" applyFill="1" applyAlignment="1" applyProtection="1">
      <alignment horizontal="right" vertical="center"/>
      <protection/>
    </xf>
    <xf numFmtId="0" fontId="6" fillId="0" borderId="23" xfId="82" applyFont="1" applyBorder="1" applyAlignment="1">
      <alignment horizontal="right" vertical="center"/>
      <protection/>
    </xf>
    <xf numFmtId="0" fontId="0" fillId="0" borderId="19" xfId="0" applyBorder="1" applyAlignment="1">
      <alignment horizontal="center" vertical="center"/>
    </xf>
    <xf numFmtId="0" fontId="0" fillId="0" borderId="21" xfId="0" applyBorder="1" applyAlignment="1">
      <alignment/>
    </xf>
    <xf numFmtId="0" fontId="37" fillId="0" borderId="19" xfId="0" applyFont="1" applyBorder="1" applyAlignment="1">
      <alignment horizontal="center" vertical="center"/>
    </xf>
    <xf numFmtId="0" fontId="5" fillId="34" borderId="22" xfId="0" applyFont="1" applyFill="1" applyBorder="1" applyAlignment="1">
      <alignment vertical="center"/>
    </xf>
    <xf numFmtId="0" fontId="5" fillId="34" borderId="17" xfId="0" applyFont="1" applyFill="1" applyBorder="1" applyAlignment="1">
      <alignment vertical="center"/>
    </xf>
    <xf numFmtId="37" fontId="5" fillId="34" borderId="10" xfId="0" applyNumberFormat="1"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4" fillId="43" borderId="20" xfId="79" applyFont="1" applyFill="1" applyBorder="1" applyAlignment="1" applyProtection="1">
      <alignment horizontal="center"/>
      <protection/>
    </xf>
    <xf numFmtId="0" fontId="14" fillId="43" borderId="19" xfId="79" applyFont="1" applyFill="1" applyBorder="1" applyAlignment="1" applyProtection="1">
      <alignment horizontal="center"/>
      <protection/>
    </xf>
    <xf numFmtId="0" fontId="14" fillId="43" borderId="21" xfId="79" applyFont="1" applyFill="1" applyBorder="1" applyAlignment="1" applyProtection="1">
      <alignment horizontal="center"/>
      <protection/>
    </xf>
    <xf numFmtId="0" fontId="0" fillId="0" borderId="19" xfId="79" applyBorder="1" applyAlignment="1" applyProtection="1">
      <alignment horizontal="center"/>
      <protection/>
    </xf>
    <xf numFmtId="0" fontId="0" fillId="0" borderId="21" xfId="79" applyBorder="1" applyAlignment="1" applyProtection="1">
      <alignment horizontal="center"/>
      <protection/>
    </xf>
    <xf numFmtId="37" fontId="6" fillId="34" borderId="0"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9" xfId="0" applyBorder="1" applyAlignment="1">
      <alignment horizontal="center"/>
    </xf>
    <xf numFmtId="0" fontId="0" fillId="0" borderId="21" xfId="0" applyBorder="1" applyAlignment="1">
      <alignment horizontal="center"/>
    </xf>
    <xf numFmtId="37" fontId="6" fillId="34" borderId="19" xfId="0" applyNumberFormat="1" applyFont="1" applyFill="1" applyBorder="1" applyAlignment="1" applyProtection="1">
      <alignment horizontal="center" vertical="center"/>
      <protection/>
    </xf>
    <xf numFmtId="37" fontId="6" fillId="43"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pplyProtection="1">
      <alignment vertical="center"/>
      <protection/>
    </xf>
    <xf numFmtId="0" fontId="0" fillId="0" borderId="0" xfId="0" applyAlignment="1">
      <alignment vertical="center"/>
    </xf>
    <xf numFmtId="0" fontId="6" fillId="34" borderId="0" xfId="0" applyFont="1" applyFill="1" applyAlignment="1" applyProtection="1">
      <alignment horizontal="right" vertical="center"/>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31" fillId="43" borderId="19" xfId="0" applyFont="1" applyFill="1" applyBorder="1" applyAlignment="1">
      <alignment horizontal="center"/>
    </xf>
    <xf numFmtId="0" fontId="31" fillId="43" borderId="38" xfId="0" applyFont="1" applyFill="1" applyBorder="1" applyAlignment="1">
      <alignment vertical="top" wrapText="1"/>
    </xf>
    <xf numFmtId="0" fontId="31" fillId="0" borderId="0" xfId="0" applyFont="1" applyAlignment="1">
      <alignment vertical="top" wrapText="1"/>
    </xf>
    <xf numFmtId="0" fontId="31" fillId="0" borderId="34" xfId="0" applyFont="1" applyBorder="1" applyAlignment="1">
      <alignment vertical="top" wrapText="1"/>
    </xf>
    <xf numFmtId="192" fontId="31" fillId="43" borderId="0" xfId="0" applyNumberFormat="1" applyFont="1" applyFill="1" applyBorder="1" applyAlignment="1">
      <alignment horizontal="center"/>
    </xf>
    <xf numFmtId="193" fontId="31" fillId="43" borderId="0" xfId="0" applyNumberFormat="1" applyFont="1" applyFill="1" applyBorder="1" applyAlignment="1">
      <alignment horizontal="center"/>
    </xf>
    <xf numFmtId="0" fontId="31" fillId="0" borderId="34" xfId="0" applyFont="1" applyBorder="1" applyAlignment="1">
      <alignment horizontal="center"/>
    </xf>
    <xf numFmtId="169" fontId="31" fillId="44" borderId="10" xfId="0" applyNumberFormat="1" applyFont="1" applyFill="1" applyBorder="1" applyAlignment="1" applyProtection="1">
      <alignment horizontal="center"/>
      <protection locked="0"/>
    </xf>
    <xf numFmtId="193" fontId="31" fillId="0" borderId="34" xfId="0" applyNumberFormat="1" applyFont="1" applyBorder="1" applyAlignment="1">
      <alignment horizontal="center"/>
    </xf>
    <xf numFmtId="0" fontId="80" fillId="43" borderId="31" xfId="0" applyFont="1" applyFill="1" applyBorder="1" applyAlignment="1">
      <alignment horizontal="center" vertical="center"/>
    </xf>
    <xf numFmtId="0" fontId="80" fillId="43" borderId="0" xfId="0" applyFont="1" applyFill="1" applyAlignment="1">
      <alignment horizontal="center" wrapText="1"/>
    </xf>
    <xf numFmtId="0" fontId="31" fillId="43" borderId="0" xfId="0" applyFont="1" applyFill="1" applyBorder="1" applyAlignment="1">
      <alignment horizontal="center"/>
    </xf>
    <xf numFmtId="0" fontId="31" fillId="43" borderId="0" xfId="0" applyFont="1" applyFill="1" applyAlignment="1">
      <alignment wrapText="1"/>
    </xf>
    <xf numFmtId="0" fontId="80" fillId="43" borderId="0" xfId="0" applyFont="1" applyFill="1" applyBorder="1" applyAlignment="1">
      <alignment horizontal="center" wrapText="1"/>
    </xf>
    <xf numFmtId="0" fontId="31" fillId="0" borderId="0" xfId="0" applyFont="1" applyAlignment="1">
      <alignment horizontal="center" wrapText="1"/>
    </xf>
    <xf numFmtId="0" fontId="80" fillId="0" borderId="0" xfId="0" applyFont="1" applyAlignment="1">
      <alignment horizontal="center" wrapText="1"/>
    </xf>
    <xf numFmtId="192" fontId="31" fillId="44" borderId="10" xfId="0" applyNumberFormat="1" applyFont="1" applyFill="1" applyBorder="1" applyAlignment="1" applyProtection="1">
      <alignment horizontal="center"/>
      <protection locked="0"/>
    </xf>
    <xf numFmtId="5" fontId="31" fillId="43" borderId="10" xfId="0" applyNumberFormat="1" applyFont="1" applyFill="1" applyBorder="1" applyAlignment="1">
      <alignment horizontal="center"/>
    </xf>
    <xf numFmtId="0" fontId="31" fillId="0" borderId="0" xfId="0" applyFont="1" applyAlignment="1">
      <alignment wrapText="1"/>
    </xf>
    <xf numFmtId="192" fontId="31" fillId="43" borderId="0" xfId="0" applyNumberFormat="1" applyFont="1" applyFill="1" applyAlignment="1">
      <alignment horizontal="center"/>
    </xf>
    <xf numFmtId="192" fontId="31" fillId="44" borderId="33" xfId="0" applyNumberFormat="1" applyFont="1" applyFill="1" applyBorder="1" applyAlignment="1" applyProtection="1">
      <alignment horizontal="center"/>
      <protection locked="0"/>
    </xf>
    <xf numFmtId="0" fontId="80" fillId="43" borderId="0" xfId="0" applyFont="1" applyFill="1" applyAlignment="1">
      <alignment horizontal="center"/>
    </xf>
    <xf numFmtId="0" fontId="80" fillId="43" borderId="0" xfId="0" applyFont="1" applyFill="1" applyAlignment="1">
      <alignment horizontal="center" vertical="center"/>
    </xf>
    <xf numFmtId="0" fontId="80" fillId="0" borderId="0" xfId="0" applyFont="1" applyAlignment="1">
      <alignment horizontal="center" vertical="center"/>
    </xf>
    <xf numFmtId="192" fontId="31" fillId="43" borderId="0" xfId="0" applyNumberFormat="1" applyFont="1" applyFill="1" applyAlignment="1">
      <alignment/>
    </xf>
    <xf numFmtId="0" fontId="31" fillId="43" borderId="0" xfId="0" applyFont="1" applyFill="1" applyBorder="1" applyAlignment="1">
      <alignment/>
    </xf>
    <xf numFmtId="0" fontId="31" fillId="0" borderId="0" xfId="0" applyFont="1" applyBorder="1" applyAlignment="1">
      <alignment/>
    </xf>
    <xf numFmtId="0" fontId="31" fillId="43" borderId="36" xfId="0" applyFont="1" applyFill="1" applyBorder="1" applyAlignment="1">
      <alignment/>
    </xf>
    <xf numFmtId="0" fontId="31" fillId="43" borderId="37" xfId="0" applyFont="1" applyFill="1" applyBorder="1" applyAlignment="1">
      <alignment/>
    </xf>
    <xf numFmtId="0" fontId="31" fillId="43" borderId="0" xfId="0" applyFont="1" applyFill="1" applyBorder="1" applyAlignment="1">
      <alignment wrapText="1"/>
    </xf>
    <xf numFmtId="0" fontId="31" fillId="0" borderId="31" xfId="0" applyFont="1" applyBorder="1" applyAlignment="1">
      <alignment horizontal="center" vertical="center"/>
    </xf>
  </cellXfs>
  <cellStyles count="3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7 2" xfId="59"/>
    <cellStyle name="Input" xfId="60"/>
    <cellStyle name="Linked Cell" xfId="61"/>
    <cellStyle name="Neutral" xfId="62"/>
    <cellStyle name="Normal 10" xfId="63"/>
    <cellStyle name="Normal 10 2" xfId="64"/>
    <cellStyle name="Normal 10 2 2" xfId="65"/>
    <cellStyle name="Normal 10 2 2 2" xfId="66"/>
    <cellStyle name="Normal 10 3" xfId="67"/>
    <cellStyle name="Normal 10 3 2" xfId="68"/>
    <cellStyle name="Normal 10 4" xfId="69"/>
    <cellStyle name="Normal 10 4 2" xfId="70"/>
    <cellStyle name="Normal 10 5" xfId="71"/>
    <cellStyle name="Normal 10 6" xfId="72"/>
    <cellStyle name="Normal 10 6 2" xfId="73"/>
    <cellStyle name="Normal 11" xfId="74"/>
    <cellStyle name="Normal 11 2" xfId="75"/>
    <cellStyle name="Normal 11 3" xfId="76"/>
    <cellStyle name="Normal 11 4" xfId="77"/>
    <cellStyle name="Normal 12" xfId="78"/>
    <cellStyle name="Normal 12 10" xfId="79"/>
    <cellStyle name="Normal 12 11" xfId="80"/>
    <cellStyle name="Normal 12 12" xfId="81"/>
    <cellStyle name="Normal 12 2" xfId="82"/>
    <cellStyle name="Normal 12 2 2" xfId="83"/>
    <cellStyle name="Normal 12 3" xfId="84"/>
    <cellStyle name="Normal 12 4" xfId="85"/>
    <cellStyle name="Normal 12 5" xfId="86"/>
    <cellStyle name="Normal 12 6" xfId="87"/>
    <cellStyle name="Normal 12 7" xfId="88"/>
    <cellStyle name="Normal 12 8" xfId="89"/>
    <cellStyle name="Normal 12 9" xfId="90"/>
    <cellStyle name="Normal 13" xfId="91"/>
    <cellStyle name="Normal 13 10" xfId="92"/>
    <cellStyle name="Normal 13 11" xfId="93"/>
    <cellStyle name="Normal 13 12" xfId="94"/>
    <cellStyle name="Normal 13 2" xfId="95"/>
    <cellStyle name="Normal 13 2 2" xfId="96"/>
    <cellStyle name="Normal 13 3" xfId="97"/>
    <cellStyle name="Normal 13 4" xfId="98"/>
    <cellStyle name="Normal 13 5" xfId="99"/>
    <cellStyle name="Normal 13 6" xfId="100"/>
    <cellStyle name="Normal 13 7" xfId="101"/>
    <cellStyle name="Normal 13 8" xfId="102"/>
    <cellStyle name="Normal 13 9" xfId="103"/>
    <cellStyle name="Normal 14" xfId="104"/>
    <cellStyle name="Normal 14 2" xfId="105"/>
    <cellStyle name="Normal 14 3" xfId="106"/>
    <cellStyle name="Normal 14 4" xfId="107"/>
    <cellStyle name="Normal 14 5" xfId="108"/>
    <cellStyle name="Normal 14 6" xfId="109"/>
    <cellStyle name="Normal 15" xfId="110"/>
    <cellStyle name="Normal 15 2" xfId="111"/>
    <cellStyle name="Normal 15 3" xfId="112"/>
    <cellStyle name="Normal 15 4" xfId="113"/>
    <cellStyle name="Normal 16" xfId="114"/>
    <cellStyle name="Normal 16 2" xfId="115"/>
    <cellStyle name="Normal 16 3" xfId="116"/>
    <cellStyle name="Normal 16 4" xfId="117"/>
    <cellStyle name="Normal 17" xfId="118"/>
    <cellStyle name="Normal 17 2" xfId="119"/>
    <cellStyle name="Normal 17 3" xfId="120"/>
    <cellStyle name="Normal 17 4" xfId="121"/>
    <cellStyle name="Normal 18" xfId="122"/>
    <cellStyle name="Normal 18 2" xfId="123"/>
    <cellStyle name="Normal 18 2 2" xfId="124"/>
    <cellStyle name="Normal 18 2 3" xfId="125"/>
    <cellStyle name="Normal 18 3" xfId="126"/>
    <cellStyle name="Normal 18 4" xfId="127"/>
    <cellStyle name="Normal 18 5" xfId="128"/>
    <cellStyle name="Normal 18 6" xfId="129"/>
    <cellStyle name="Normal 18 7" xfId="130"/>
    <cellStyle name="Normal 19" xfId="131"/>
    <cellStyle name="Normal 19 2" xfId="132"/>
    <cellStyle name="Normal 19 2 2" xfId="133"/>
    <cellStyle name="Normal 19 2 3" xfId="134"/>
    <cellStyle name="Normal 19 3" xfId="135"/>
    <cellStyle name="Normal 19 4" xfId="136"/>
    <cellStyle name="Normal 19 5" xfId="137"/>
    <cellStyle name="Normal 19 6" xfId="138"/>
    <cellStyle name="Normal 2" xfId="139"/>
    <cellStyle name="Normal 2 10" xfId="140"/>
    <cellStyle name="Normal 2 10 10" xfId="141"/>
    <cellStyle name="Normal 2 10 2" xfId="142"/>
    <cellStyle name="Normal 2 10 2 2" xfId="143"/>
    <cellStyle name="Normal 2 10 3" xfId="144"/>
    <cellStyle name="Normal 2 10 3 2" xfId="145"/>
    <cellStyle name="Normal 2 10 4" xfId="146"/>
    <cellStyle name="Normal 2 10 4 2" xfId="147"/>
    <cellStyle name="Normal 2 10 5" xfId="148"/>
    <cellStyle name="Normal 2 10 5 2" xfId="149"/>
    <cellStyle name="Normal 2 10 6" xfId="150"/>
    <cellStyle name="Normal 2 10 6 2" xfId="151"/>
    <cellStyle name="Normal 2 10 7" xfId="152"/>
    <cellStyle name="Normal 2 10 7 2" xfId="153"/>
    <cellStyle name="Normal 2 10 8" xfId="154"/>
    <cellStyle name="Normal 2 10 8 2" xfId="155"/>
    <cellStyle name="Normal 2 10 9" xfId="156"/>
    <cellStyle name="Normal 2 11" xfId="157"/>
    <cellStyle name="Normal 2 11 10" xfId="158"/>
    <cellStyle name="Normal 2 11 2" xfId="159"/>
    <cellStyle name="Normal 2 11 2 2" xfId="160"/>
    <cellStyle name="Normal 2 11 3" xfId="161"/>
    <cellStyle name="Normal 2 11 3 2" xfId="162"/>
    <cellStyle name="Normal 2 11 4" xfId="163"/>
    <cellStyle name="Normal 2 11 4 2" xfId="164"/>
    <cellStyle name="Normal 2 11 5" xfId="165"/>
    <cellStyle name="Normal 2 11 5 2" xfId="166"/>
    <cellStyle name="Normal 2 11 6" xfId="167"/>
    <cellStyle name="Normal 2 11 6 2" xfId="168"/>
    <cellStyle name="Normal 2 11 7" xfId="169"/>
    <cellStyle name="Normal 2 11 7 2" xfId="170"/>
    <cellStyle name="Normal 2 11 8" xfId="171"/>
    <cellStyle name="Normal 2 11 8 2" xfId="172"/>
    <cellStyle name="Normal 2 11 9" xfId="173"/>
    <cellStyle name="Normal 2 12" xfId="174"/>
    <cellStyle name="Normal 2 13" xfId="175"/>
    <cellStyle name="Normal 2 14" xfId="176"/>
    <cellStyle name="Normal 2 15" xfId="177"/>
    <cellStyle name="Normal 2 2" xfId="178"/>
    <cellStyle name="Normal 2 2 10" xfId="179"/>
    <cellStyle name="Normal 2 2 10 2" xfId="180"/>
    <cellStyle name="Normal 2 2 11" xfId="181"/>
    <cellStyle name="Normal 2 2 11 2" xfId="182"/>
    <cellStyle name="Normal 2 2 12" xfId="183"/>
    <cellStyle name="Normal 2 2 12 2" xfId="184"/>
    <cellStyle name="Normal 2 2 13" xfId="185"/>
    <cellStyle name="Normal 2 2 13 2" xfId="186"/>
    <cellStyle name="Normal 2 2 14" xfId="187"/>
    <cellStyle name="Normal 2 2 14 2" xfId="188"/>
    <cellStyle name="Normal 2 2 15" xfId="189"/>
    <cellStyle name="Normal 2 2 15 2" xfId="190"/>
    <cellStyle name="Normal 2 2 16" xfId="191"/>
    <cellStyle name="Normal 2 2 17" xfId="192"/>
    <cellStyle name="Normal 2 2 18" xfId="193"/>
    <cellStyle name="Normal 2 2 19" xfId="194"/>
    <cellStyle name="Normal 2 2 2" xfId="195"/>
    <cellStyle name="Normal 2 2 2 2" xfId="196"/>
    <cellStyle name="Normal 2 2 2 2 2" xfId="197"/>
    <cellStyle name="Normal 2 2 2 3" xfId="198"/>
    <cellStyle name="Normal 2 2 2 3 2" xfId="199"/>
    <cellStyle name="Normal 2 2 2 4" xfId="200"/>
    <cellStyle name="Normal 2 2 2 4 2" xfId="201"/>
    <cellStyle name="Normal 2 2 2 5" xfId="202"/>
    <cellStyle name="Normal 2 2 2 5 2" xfId="203"/>
    <cellStyle name="Normal 2 2 2 6" xfId="204"/>
    <cellStyle name="Normal 2 2 2 6 2" xfId="205"/>
    <cellStyle name="Normal 2 2 2 7" xfId="206"/>
    <cellStyle name="Normal 2 2 2 8" xfId="207"/>
    <cellStyle name="Normal 2 2 20" xfId="208"/>
    <cellStyle name="Normal 2 2 21" xfId="209"/>
    <cellStyle name="Normal 2 2 3" xfId="210"/>
    <cellStyle name="Normal 2 2 3 2" xfId="211"/>
    <cellStyle name="Normal 2 2 4" xfId="212"/>
    <cellStyle name="Normal 2 2 4 2" xfId="213"/>
    <cellStyle name="Normal 2 2 5" xfId="214"/>
    <cellStyle name="Normal 2 2 5 2" xfId="215"/>
    <cellStyle name="Normal 2 2 6" xfId="216"/>
    <cellStyle name="Normal 2 2 6 2" xfId="217"/>
    <cellStyle name="Normal 2 2 7" xfId="218"/>
    <cellStyle name="Normal 2 2 7 2" xfId="219"/>
    <cellStyle name="Normal 2 2 8" xfId="220"/>
    <cellStyle name="Normal 2 2 8 2" xfId="221"/>
    <cellStyle name="Normal 2 2 9" xfId="222"/>
    <cellStyle name="Normal 2 2 9 2" xfId="223"/>
    <cellStyle name="Normal 2 3" xfId="224"/>
    <cellStyle name="Normal 2 3 10" xfId="225"/>
    <cellStyle name="Normal 2 3 11" xfId="226"/>
    <cellStyle name="Normal 2 3 12" xfId="227"/>
    <cellStyle name="Normal 2 3 13" xfId="228"/>
    <cellStyle name="Normal 2 3 14" xfId="229"/>
    <cellStyle name="Normal 2 3 2" xfId="230"/>
    <cellStyle name="Normal 2 3 2 2" xfId="231"/>
    <cellStyle name="Normal 2 3 3" xfId="232"/>
    <cellStyle name="Normal 2 3 3 2" xfId="233"/>
    <cellStyle name="Normal 2 3 4" xfId="234"/>
    <cellStyle name="Normal 2 3 5" xfId="235"/>
    <cellStyle name="Normal 2 3 6" xfId="236"/>
    <cellStyle name="Normal 2 3 7" xfId="237"/>
    <cellStyle name="Normal 2 3 8" xfId="238"/>
    <cellStyle name="Normal 2 3 9" xfId="239"/>
    <cellStyle name="Normal 2 4" xfId="240"/>
    <cellStyle name="Normal 2 4 10" xfId="241"/>
    <cellStyle name="Normal 2 4 11" xfId="242"/>
    <cellStyle name="Normal 2 4 2" xfId="243"/>
    <cellStyle name="Normal 2 4 2 2" xfId="244"/>
    <cellStyle name="Normal 2 4 3" xfId="245"/>
    <cellStyle name="Normal 2 4 3 2" xfId="246"/>
    <cellStyle name="Normal 2 4 4" xfId="247"/>
    <cellStyle name="Normal 2 4 5" xfId="248"/>
    <cellStyle name="Normal 2 4 6" xfId="249"/>
    <cellStyle name="Normal 2 4 7" xfId="250"/>
    <cellStyle name="Normal 2 4 8" xfId="251"/>
    <cellStyle name="Normal 2 4 9" xfId="252"/>
    <cellStyle name="Normal 2 5" xfId="253"/>
    <cellStyle name="Normal 2 5 10" xfId="254"/>
    <cellStyle name="Normal 2 5 11" xfId="255"/>
    <cellStyle name="Normal 2 5 2" xfId="256"/>
    <cellStyle name="Normal 2 5 2 2" xfId="257"/>
    <cellStyle name="Normal 2 5 3" xfId="258"/>
    <cellStyle name="Normal 2 5 3 2" xfId="259"/>
    <cellStyle name="Normal 2 5 4" xfId="260"/>
    <cellStyle name="Normal 2 5 5" xfId="261"/>
    <cellStyle name="Normal 2 5 6" xfId="262"/>
    <cellStyle name="Normal 2 5 7" xfId="263"/>
    <cellStyle name="Normal 2 5 8" xfId="264"/>
    <cellStyle name="Normal 2 5 9" xfId="265"/>
    <cellStyle name="Normal 2 6" xfId="266"/>
    <cellStyle name="Normal 2 6 10" xfId="267"/>
    <cellStyle name="Normal 2 6 11" xfId="268"/>
    <cellStyle name="Normal 2 6 2" xfId="269"/>
    <cellStyle name="Normal 2 6 2 2" xfId="270"/>
    <cellStyle name="Normal 2 6 3" xfId="271"/>
    <cellStyle name="Normal 2 6 3 2" xfId="272"/>
    <cellStyle name="Normal 2 6 4" xfId="273"/>
    <cellStyle name="Normal 2 6 5" xfId="274"/>
    <cellStyle name="Normal 2 6 6" xfId="275"/>
    <cellStyle name="Normal 2 6 7" xfId="276"/>
    <cellStyle name="Normal 2 6 8" xfId="277"/>
    <cellStyle name="Normal 2 6 9" xfId="278"/>
    <cellStyle name="Normal 2 7" xfId="279"/>
    <cellStyle name="Normal 2 7 10" xfId="280"/>
    <cellStyle name="Normal 2 7 2" xfId="281"/>
    <cellStyle name="Normal 2 7 2 2" xfId="282"/>
    <cellStyle name="Normal 2 7 3" xfId="283"/>
    <cellStyle name="Normal 2 7 3 2" xfId="284"/>
    <cellStyle name="Normal 2 7 4" xfId="285"/>
    <cellStyle name="Normal 2 7 4 2" xfId="286"/>
    <cellStyle name="Normal 2 7 5" xfId="287"/>
    <cellStyle name="Normal 2 7 5 2" xfId="288"/>
    <cellStyle name="Normal 2 7 6" xfId="289"/>
    <cellStyle name="Normal 2 7 6 2" xfId="290"/>
    <cellStyle name="Normal 2 7 7" xfId="291"/>
    <cellStyle name="Normal 2 7 7 2" xfId="292"/>
    <cellStyle name="Normal 2 7 8" xfId="293"/>
    <cellStyle name="Normal 2 7 8 2" xfId="294"/>
    <cellStyle name="Normal 2 7 9" xfId="295"/>
    <cellStyle name="Normal 2 8" xfId="296"/>
    <cellStyle name="Normal 2 8 10"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2" xfId="315"/>
    <cellStyle name="Normal 2 9 2 2" xfId="316"/>
    <cellStyle name="Normal 2 9 3" xfId="317"/>
    <cellStyle name="Normal 2 9 3 2" xfId="318"/>
    <cellStyle name="Normal 2 9 4" xfId="319"/>
    <cellStyle name="Normal 2 9 4 2" xfId="320"/>
    <cellStyle name="Normal 2 9 5" xfId="321"/>
    <cellStyle name="Normal 2 9 5 2" xfId="322"/>
    <cellStyle name="Normal 2 9 6" xfId="323"/>
    <cellStyle name="Normal 2 9 6 2" xfId="324"/>
    <cellStyle name="Normal 2 9 7" xfId="325"/>
    <cellStyle name="Normal 2 9 7 2" xfId="326"/>
    <cellStyle name="Normal 2 9 8" xfId="327"/>
    <cellStyle name="Normal 2 9 8 2" xfId="328"/>
    <cellStyle name="Normal 2 9 9" xfId="329"/>
    <cellStyle name="Normal 20" xfId="330"/>
    <cellStyle name="Normal 20 2" xfId="331"/>
    <cellStyle name="Normal 20 3" xfId="332"/>
    <cellStyle name="Normal 21" xfId="333"/>
    <cellStyle name="Normal 22" xfId="334"/>
    <cellStyle name="Normal 22 2" xfId="335"/>
    <cellStyle name="Normal 22 3" xfId="336"/>
    <cellStyle name="Normal 23" xfId="337"/>
    <cellStyle name="Normal 23 2" xfId="338"/>
    <cellStyle name="Normal 23 3" xfId="339"/>
    <cellStyle name="Normal 24" xfId="340"/>
    <cellStyle name="Normal 24 2" xfId="341"/>
    <cellStyle name="Normal 24 3" xfId="342"/>
    <cellStyle name="Normal 25" xfId="343"/>
    <cellStyle name="Normal 25 2" xfId="344"/>
    <cellStyle name="Normal 25 3" xfId="345"/>
    <cellStyle name="Normal 3" xfId="346"/>
    <cellStyle name="Normal 3 2" xfId="347"/>
    <cellStyle name="Normal 3 3" xfId="348"/>
    <cellStyle name="Normal 3 4" xfId="349"/>
    <cellStyle name="Normal 3 5" xfId="350"/>
    <cellStyle name="Normal 3 6" xfId="351"/>
    <cellStyle name="Normal 3 7" xfId="352"/>
    <cellStyle name="Normal 4" xfId="353"/>
    <cellStyle name="Normal 4 2" xfId="354"/>
    <cellStyle name="Normal 5" xfId="355"/>
    <cellStyle name="Normal 5 2" xfId="356"/>
    <cellStyle name="Normal 5 3" xfId="357"/>
    <cellStyle name="Normal 5 4" xfId="358"/>
    <cellStyle name="Normal 5 5" xfId="359"/>
    <cellStyle name="Normal 6" xfId="360"/>
    <cellStyle name="Normal 6 2" xfId="361"/>
    <cellStyle name="Normal 7" xfId="362"/>
    <cellStyle name="Normal 7 2" xfId="363"/>
    <cellStyle name="Normal 7 3" xfId="364"/>
    <cellStyle name="Normal 7 4" xfId="365"/>
    <cellStyle name="Normal 8" xfId="366"/>
    <cellStyle name="Normal 8 2" xfId="367"/>
    <cellStyle name="Normal 9" xfId="368"/>
    <cellStyle name="Normal 9 2" xfId="369"/>
    <cellStyle name="Normal 9 3" xfId="370"/>
    <cellStyle name="Normal 9 4" xfId="371"/>
    <cellStyle name="Normal_debt" xfId="372"/>
    <cellStyle name="Normal_lpform" xfId="373"/>
    <cellStyle name="Note" xfId="374"/>
    <cellStyle name="Output" xfId="375"/>
    <cellStyle name="Percent" xfId="376"/>
    <cellStyle name="Title" xfId="377"/>
    <cellStyle name="Total" xfId="378"/>
    <cellStyle name="Warning Text" xfId="379"/>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5"/>
  <sheetViews>
    <sheetView tabSelected="1" zoomScale="85" zoomScaleNormal="85" zoomScalePageLayoutView="0" workbookViewId="0" topLeftCell="A31">
      <selection activeCell="A53" sqref="A53"/>
    </sheetView>
  </sheetViews>
  <sheetFormatPr defaultColWidth="8.796875" defaultRowHeight="15"/>
  <cols>
    <col min="1" max="1" width="75.796875" style="10" customWidth="1"/>
    <col min="2" max="16384" width="8.8984375" style="10" customWidth="1"/>
  </cols>
  <sheetData>
    <row r="1" ht="15.75">
      <c r="A1" s="9" t="s">
        <v>273</v>
      </c>
    </row>
    <row r="3" ht="34.5" customHeight="1">
      <c r="A3" s="11" t="s">
        <v>208</v>
      </c>
    </row>
    <row r="4" ht="15.75">
      <c r="A4" s="12"/>
    </row>
    <row r="5" ht="85.5" customHeight="1">
      <c r="A5" s="13" t="s">
        <v>274</v>
      </c>
    </row>
    <row r="6" ht="15.75">
      <c r="A6" s="13"/>
    </row>
    <row r="7" ht="68.25" customHeight="1">
      <c r="A7" s="13" t="s">
        <v>909</v>
      </c>
    </row>
    <row r="9" ht="15.75">
      <c r="A9" s="9" t="s">
        <v>284</v>
      </c>
    </row>
    <row r="10" ht="15.75">
      <c r="A10" s="9"/>
    </row>
    <row r="11" ht="15.75">
      <c r="A11" s="12" t="s">
        <v>285</v>
      </c>
    </row>
    <row r="13" ht="38.25" customHeight="1">
      <c r="A13" s="14" t="s">
        <v>347</v>
      </c>
    </row>
    <row r="14" ht="14.25" customHeight="1">
      <c r="A14" s="14"/>
    </row>
    <row r="17" ht="15.75">
      <c r="A17" s="9" t="s">
        <v>13</v>
      </c>
    </row>
    <row r="19" ht="34.5" customHeight="1">
      <c r="A19" s="13" t="s">
        <v>224</v>
      </c>
    </row>
    <row r="20" ht="18" customHeight="1">
      <c r="A20" s="13"/>
    </row>
    <row r="21" ht="23.25" customHeight="1">
      <c r="A21" s="15" t="s">
        <v>225</v>
      </c>
    </row>
    <row r="22" ht="23.25" customHeight="1">
      <c r="A22" s="16"/>
    </row>
    <row r="23" ht="15.75">
      <c r="A23" s="17" t="s">
        <v>227</v>
      </c>
    </row>
    <row r="24" ht="15.75">
      <c r="A24" s="18"/>
    </row>
    <row r="25" ht="85.5" customHeight="1">
      <c r="A25" s="19" t="s">
        <v>249</v>
      </c>
    </row>
    <row r="26" ht="19.5" customHeight="1">
      <c r="A26" s="13"/>
    </row>
    <row r="27" ht="19.5" customHeight="1">
      <c r="A27" s="20" t="s">
        <v>228</v>
      </c>
    </row>
    <row r="29" ht="15.75">
      <c r="A29" s="21" t="s">
        <v>286</v>
      </c>
    </row>
    <row r="31" ht="15.75">
      <c r="A31" s="13" t="s">
        <v>287</v>
      </c>
    </row>
    <row r="33" ht="15.75">
      <c r="A33" s="9" t="s">
        <v>14</v>
      </c>
    </row>
    <row r="35" ht="72.75" customHeight="1">
      <c r="A35" s="13" t="s">
        <v>755</v>
      </c>
    </row>
    <row r="36" ht="38.25" customHeight="1">
      <c r="A36" s="13" t="s">
        <v>250</v>
      </c>
    </row>
    <row r="37" ht="38.25" customHeight="1">
      <c r="A37" s="13" t="s">
        <v>3</v>
      </c>
    </row>
    <row r="38" ht="51" customHeight="1">
      <c r="A38" s="22" t="s">
        <v>4</v>
      </c>
    </row>
    <row r="39" ht="11.25" customHeight="1"/>
    <row r="40" ht="85.5" customHeight="1">
      <c r="A40" s="13" t="s">
        <v>756</v>
      </c>
    </row>
    <row r="41" ht="49.5" customHeight="1">
      <c r="A41" s="13" t="s">
        <v>226</v>
      </c>
    </row>
    <row r="42" ht="105" customHeight="1">
      <c r="A42" s="13" t="s">
        <v>346</v>
      </c>
    </row>
    <row r="43" ht="12.75" customHeight="1"/>
    <row r="44" ht="76.5" customHeight="1">
      <c r="A44" s="657" t="s">
        <v>910</v>
      </c>
    </row>
    <row r="45" ht="72.75" customHeight="1">
      <c r="A45" s="658" t="s">
        <v>634</v>
      </c>
    </row>
    <row r="46" ht="69.75" customHeight="1">
      <c r="A46" s="658" t="s">
        <v>911</v>
      </c>
    </row>
    <row r="47" ht="12.75" customHeight="1"/>
    <row r="48" ht="71.25" customHeight="1">
      <c r="A48" s="13" t="s">
        <v>635</v>
      </c>
    </row>
    <row r="49" ht="42.75" customHeight="1">
      <c r="A49" s="13" t="s">
        <v>636</v>
      </c>
    </row>
    <row r="50" ht="70.5" customHeight="1">
      <c r="A50" s="13" t="s">
        <v>637</v>
      </c>
    </row>
    <row r="51" ht="19.5" customHeight="1">
      <c r="A51" s="13" t="s">
        <v>638</v>
      </c>
    </row>
    <row r="52" ht="105.75" customHeight="1">
      <c r="A52" s="666" t="s">
        <v>951</v>
      </c>
    </row>
    <row r="53" ht="13.5" customHeight="1">
      <c r="A53" s="13"/>
    </row>
    <row r="54" ht="70.5" customHeight="1">
      <c r="A54" s="13" t="s">
        <v>912</v>
      </c>
    </row>
    <row r="55" ht="117.75" customHeight="1">
      <c r="A55" s="13" t="s">
        <v>639</v>
      </c>
    </row>
    <row r="56" ht="35.25" customHeight="1">
      <c r="A56" s="13" t="s">
        <v>640</v>
      </c>
    </row>
    <row r="57" ht="15.75">
      <c r="A57" s="13"/>
    </row>
    <row r="58" ht="84" customHeight="1">
      <c r="A58" s="13" t="s">
        <v>913</v>
      </c>
    </row>
    <row r="60" ht="66" customHeight="1">
      <c r="A60" s="13" t="s">
        <v>641</v>
      </c>
    </row>
    <row r="61" ht="36" customHeight="1">
      <c r="A61" s="13" t="s">
        <v>650</v>
      </c>
    </row>
    <row r="62" ht="95.25" customHeight="1">
      <c r="A62" s="13" t="s">
        <v>651</v>
      </c>
    </row>
    <row r="63" ht="35.25" customHeight="1">
      <c r="A63" s="388" t="s">
        <v>652</v>
      </c>
    </row>
    <row r="65" s="13" customFormat="1" ht="58.5" customHeight="1">
      <c r="A65" s="13" t="s">
        <v>642</v>
      </c>
    </row>
    <row r="67" ht="69" customHeight="1">
      <c r="A67" s="13" t="s">
        <v>643</v>
      </c>
    </row>
    <row r="68" ht="11.25" customHeight="1"/>
    <row r="69" ht="154.5" customHeight="1">
      <c r="A69" s="13" t="s">
        <v>914</v>
      </c>
    </row>
    <row r="70" ht="11.25" customHeight="1"/>
    <row r="71" ht="104.25" customHeight="1">
      <c r="A71" s="13" t="s">
        <v>915</v>
      </c>
    </row>
    <row r="72" ht="85.5" customHeight="1">
      <c r="A72" s="13" t="s">
        <v>916</v>
      </c>
    </row>
    <row r="73" ht="105" customHeight="1">
      <c r="A73" s="484" t="s">
        <v>917</v>
      </c>
    </row>
    <row r="74" ht="89.25" customHeight="1">
      <c r="A74" s="484" t="s">
        <v>918</v>
      </c>
    </row>
    <row r="75" ht="71.25" customHeight="1">
      <c r="A75" s="484" t="s">
        <v>919</v>
      </c>
    </row>
    <row r="76" ht="123" customHeight="1">
      <c r="A76" s="13" t="s">
        <v>920</v>
      </c>
    </row>
    <row r="77" ht="93" customHeight="1">
      <c r="A77" s="13" t="s">
        <v>921</v>
      </c>
    </row>
    <row r="78" ht="141" customHeight="1">
      <c r="A78" s="13" t="s">
        <v>922</v>
      </c>
    </row>
    <row r="79" ht="123.75" customHeight="1">
      <c r="A79" s="13" t="s">
        <v>923</v>
      </c>
    </row>
    <row r="80" ht="60" customHeight="1">
      <c r="A80" s="13" t="s">
        <v>924</v>
      </c>
    </row>
    <row r="81" ht="105" customHeight="1">
      <c r="A81" s="13" t="s">
        <v>925</v>
      </c>
    </row>
    <row r="82" ht="57" customHeight="1">
      <c r="A82" s="13" t="s">
        <v>926</v>
      </c>
    </row>
    <row r="83" ht="111.75" customHeight="1">
      <c r="A83" s="13" t="s">
        <v>927</v>
      </c>
    </row>
    <row r="84" ht="111" customHeight="1">
      <c r="A84" s="485" t="s">
        <v>928</v>
      </c>
    </row>
    <row r="85" ht="120" customHeight="1">
      <c r="A85" s="486" t="s">
        <v>929</v>
      </c>
    </row>
    <row r="86" ht="72.75" customHeight="1">
      <c r="A86" s="487" t="s">
        <v>930</v>
      </c>
    </row>
    <row r="87" ht="24" customHeight="1"/>
    <row r="88" ht="59.25" customHeight="1">
      <c r="A88" s="13" t="s">
        <v>644</v>
      </c>
    </row>
    <row r="89" ht="22.5" customHeight="1">
      <c r="A89" s="659" t="s">
        <v>645</v>
      </c>
    </row>
    <row r="90" ht="45" customHeight="1">
      <c r="A90" s="484" t="s">
        <v>931</v>
      </c>
    </row>
    <row r="91" ht="136.5" customHeight="1">
      <c r="A91" s="484" t="s">
        <v>932</v>
      </c>
    </row>
    <row r="92" ht="151.5" customHeight="1">
      <c r="A92" s="484" t="s">
        <v>933</v>
      </c>
    </row>
    <row r="93" ht="97.5" customHeight="1">
      <c r="A93" s="660" t="s">
        <v>934</v>
      </c>
    </row>
    <row r="94" ht="97.5" customHeight="1">
      <c r="A94" s="661" t="s">
        <v>935</v>
      </c>
    </row>
    <row r="95" ht="15.75" customHeight="1"/>
    <row r="96" ht="142.5" customHeight="1">
      <c r="A96" s="13" t="s">
        <v>936</v>
      </c>
    </row>
    <row r="97" ht="118.5" customHeight="1">
      <c r="A97" s="13" t="s">
        <v>937</v>
      </c>
    </row>
    <row r="98" ht="66.75" customHeight="1">
      <c r="A98" s="13" t="s">
        <v>938</v>
      </c>
    </row>
    <row r="99" ht="49.5" customHeight="1">
      <c r="A99" s="13" t="s">
        <v>939</v>
      </c>
    </row>
    <row r="100" ht="15.75">
      <c r="A100" s="13"/>
    </row>
    <row r="101" ht="75" customHeight="1">
      <c r="A101" s="13" t="s">
        <v>940</v>
      </c>
    </row>
    <row r="102" ht="16.5" customHeight="1"/>
    <row r="103" ht="73.5" customHeight="1">
      <c r="A103" s="484" t="s">
        <v>941</v>
      </c>
    </row>
    <row r="104" ht="102.75" customHeight="1">
      <c r="A104" s="484" t="s">
        <v>942</v>
      </c>
    </row>
    <row r="105" ht="98.25" customHeight="1">
      <c r="A105" s="484" t="s">
        <v>943</v>
      </c>
    </row>
  </sheetData>
  <sheetProtection sheet="1"/>
  <printOptions/>
  <pageMargins left="0.5" right="0.5" top="0.25" bottom="0.5" header="0.5" footer="0.25"/>
  <pageSetup blackAndWhite="1" fitToHeight="4" fitToWidth="1" horizontalDpi="300" verticalDpi="300" orientation="portrait" scale="55" r:id="rId1"/>
</worksheet>
</file>

<file path=xl/worksheets/sheet10.xml><?xml version="1.0" encoding="utf-8"?>
<worksheet xmlns="http://schemas.openxmlformats.org/spreadsheetml/2006/main" xmlns:r="http://schemas.openxmlformats.org/officeDocument/2006/relationships">
  <dimension ref="B1:AC45"/>
  <sheetViews>
    <sheetView zoomScale="75" zoomScaleNormal="75" zoomScalePageLayoutView="0" workbookViewId="0" topLeftCell="A1">
      <selection activeCell="B32" sqref="B32"/>
    </sheetView>
  </sheetViews>
  <sheetFormatPr defaultColWidth="8.796875" defaultRowHeight="15"/>
  <cols>
    <col min="1" max="1" width="5.69921875" style="24" customWidth="1"/>
    <col min="2" max="2" width="20.796875" style="24" customWidth="1"/>
    <col min="3" max="4" width="9.09765625" style="24" customWidth="1"/>
    <col min="5" max="5" width="8.796875" style="24" customWidth="1"/>
    <col min="6" max="7" width="11.69921875" style="24" customWidth="1"/>
    <col min="8" max="9" width="8.296875" style="24" customWidth="1"/>
    <col min="10" max="13" width="9.796875" style="24" customWidth="1"/>
    <col min="14" max="16384" width="8.8984375" style="24" customWidth="1"/>
  </cols>
  <sheetData>
    <row r="1" spans="2:13" ht="15.75">
      <c r="B1" s="183" t="str">
        <f>inputPrYr!$D$3</f>
        <v>City of Vining</v>
      </c>
      <c r="C1" s="28"/>
      <c r="D1" s="28"/>
      <c r="E1" s="28"/>
      <c r="F1" s="28"/>
      <c r="G1" s="28"/>
      <c r="H1" s="28"/>
      <c r="I1" s="28"/>
      <c r="J1" s="28"/>
      <c r="K1" s="28"/>
      <c r="L1" s="28"/>
      <c r="M1" s="139">
        <f>inputPrYr!$C$10</f>
        <v>2013</v>
      </c>
    </row>
    <row r="2" spans="2:13" ht="15.75">
      <c r="B2" s="183"/>
      <c r="C2" s="28"/>
      <c r="D2" s="28"/>
      <c r="E2" s="28"/>
      <c r="F2" s="28"/>
      <c r="G2" s="28"/>
      <c r="H2" s="28"/>
      <c r="I2" s="28"/>
      <c r="J2" s="28"/>
      <c r="K2" s="28"/>
      <c r="L2" s="28"/>
      <c r="M2" s="199"/>
    </row>
    <row r="3" spans="2:13" ht="15.75">
      <c r="B3" s="228" t="s">
        <v>109</v>
      </c>
      <c r="C3" s="38"/>
      <c r="D3" s="38"/>
      <c r="E3" s="38"/>
      <c r="F3" s="38"/>
      <c r="G3" s="38"/>
      <c r="H3" s="38"/>
      <c r="I3" s="38"/>
      <c r="J3" s="38"/>
      <c r="K3" s="38"/>
      <c r="L3" s="38"/>
      <c r="M3" s="38"/>
    </row>
    <row r="4" spans="2:13" ht="15.75">
      <c r="B4" s="28"/>
      <c r="C4" s="229"/>
      <c r="D4" s="229"/>
      <c r="E4" s="229"/>
      <c r="F4" s="229"/>
      <c r="G4" s="229"/>
      <c r="H4" s="229"/>
      <c r="I4" s="229"/>
      <c r="J4" s="229"/>
      <c r="K4" s="229"/>
      <c r="L4" s="229"/>
      <c r="M4" s="229"/>
    </row>
    <row r="5" spans="2:13" ht="15.75">
      <c r="B5" s="168"/>
      <c r="C5" s="200" t="s">
        <v>80</v>
      </c>
      <c r="D5" s="200" t="s">
        <v>80</v>
      </c>
      <c r="E5" s="200" t="s">
        <v>94</v>
      </c>
      <c r="F5" s="200"/>
      <c r="G5" s="200" t="s">
        <v>669</v>
      </c>
      <c r="H5" s="28"/>
      <c r="I5" s="28"/>
      <c r="J5" s="230" t="s">
        <v>81</v>
      </c>
      <c r="K5" s="231"/>
      <c r="L5" s="230" t="s">
        <v>81</v>
      </c>
      <c r="M5" s="231"/>
    </row>
    <row r="6" spans="2:13" ht="15.75">
      <c r="B6" s="232" t="s">
        <v>860</v>
      </c>
      <c r="C6" s="232" t="s">
        <v>82</v>
      </c>
      <c r="D6" s="232" t="s">
        <v>200</v>
      </c>
      <c r="E6" s="232" t="s">
        <v>83</v>
      </c>
      <c r="F6" s="232" t="s">
        <v>40</v>
      </c>
      <c r="G6" s="232" t="s">
        <v>168</v>
      </c>
      <c r="H6" s="731" t="s">
        <v>84</v>
      </c>
      <c r="I6" s="732"/>
      <c r="J6" s="731">
        <f>inputPrYr!$C$10-1</f>
        <v>2012</v>
      </c>
      <c r="K6" s="734"/>
      <c r="L6" s="733">
        <f>inputPrYr!$C$10</f>
        <v>2013</v>
      </c>
      <c r="M6" s="734"/>
    </row>
    <row r="7" spans="2:13" ht="15.75">
      <c r="B7" s="235" t="s">
        <v>861</v>
      </c>
      <c r="C7" s="235" t="s">
        <v>85</v>
      </c>
      <c r="D7" s="235" t="s">
        <v>201</v>
      </c>
      <c r="E7" s="235" t="s">
        <v>61</v>
      </c>
      <c r="F7" s="235" t="s">
        <v>86</v>
      </c>
      <c r="G7" s="233" t="str">
        <f>CONCATENATE("Jan 1,",M1-1,"")</f>
        <v>Jan 1,2012</v>
      </c>
      <c r="H7" s="163" t="s">
        <v>94</v>
      </c>
      <c r="I7" s="163" t="s">
        <v>96</v>
      </c>
      <c r="J7" s="163" t="s">
        <v>94</v>
      </c>
      <c r="K7" s="163" t="s">
        <v>96</v>
      </c>
      <c r="L7" s="163" t="s">
        <v>94</v>
      </c>
      <c r="M7" s="163" t="s">
        <v>96</v>
      </c>
    </row>
    <row r="8" spans="2:13" ht="15.75">
      <c r="B8" s="234" t="s">
        <v>87</v>
      </c>
      <c r="C8" s="51"/>
      <c r="D8" s="51"/>
      <c r="E8" s="236"/>
      <c r="F8" s="165"/>
      <c r="G8" s="165"/>
      <c r="H8" s="51"/>
      <c r="I8" s="51"/>
      <c r="J8" s="165"/>
      <c r="K8" s="165"/>
      <c r="L8" s="165"/>
      <c r="M8" s="165"/>
    </row>
    <row r="9" spans="2:13" ht="15.75">
      <c r="B9" s="237" t="s">
        <v>978</v>
      </c>
      <c r="C9" s="260"/>
      <c r="D9" s="260"/>
      <c r="E9" s="238"/>
      <c r="F9" s="239"/>
      <c r="G9" s="240"/>
      <c r="H9" s="241"/>
      <c r="I9" s="241"/>
      <c r="J9" s="240"/>
      <c r="K9" s="240"/>
      <c r="L9" s="240"/>
      <c r="M9" s="240"/>
    </row>
    <row r="10" spans="2:13" ht="15.75">
      <c r="B10" s="237"/>
      <c r="C10" s="260"/>
      <c r="D10" s="260"/>
      <c r="E10" s="238"/>
      <c r="F10" s="239"/>
      <c r="G10" s="240"/>
      <c r="H10" s="241"/>
      <c r="I10" s="241"/>
      <c r="J10" s="240"/>
      <c r="K10" s="240"/>
      <c r="L10" s="240"/>
      <c r="M10" s="240"/>
    </row>
    <row r="11" spans="2:13" ht="15.75">
      <c r="B11" s="237"/>
      <c r="C11" s="260"/>
      <c r="D11" s="260"/>
      <c r="E11" s="238"/>
      <c r="F11" s="239"/>
      <c r="G11" s="240"/>
      <c r="H11" s="241"/>
      <c r="I11" s="241"/>
      <c r="J11" s="240"/>
      <c r="K11" s="240"/>
      <c r="L11" s="240"/>
      <c r="M11" s="240"/>
    </row>
    <row r="12" spans="2:13" ht="15.75">
      <c r="B12" s="237"/>
      <c r="C12" s="260"/>
      <c r="D12" s="260"/>
      <c r="E12" s="238"/>
      <c r="F12" s="239"/>
      <c r="G12" s="240"/>
      <c r="H12" s="241"/>
      <c r="I12" s="241"/>
      <c r="J12" s="240"/>
      <c r="K12" s="240"/>
      <c r="L12" s="240"/>
      <c r="M12" s="240"/>
    </row>
    <row r="13" spans="2:13" ht="15.75">
      <c r="B13" s="237"/>
      <c r="C13" s="260"/>
      <c r="D13" s="260"/>
      <c r="E13" s="238"/>
      <c r="F13" s="239"/>
      <c r="G13" s="240"/>
      <c r="H13" s="241"/>
      <c r="I13" s="241"/>
      <c r="J13" s="240"/>
      <c r="K13" s="240"/>
      <c r="L13" s="240"/>
      <c r="M13" s="240"/>
    </row>
    <row r="14" spans="2:13" ht="15.75">
      <c r="B14" s="237"/>
      <c r="C14" s="260"/>
      <c r="D14" s="260"/>
      <c r="E14" s="238"/>
      <c r="F14" s="239"/>
      <c r="G14" s="240"/>
      <c r="H14" s="241"/>
      <c r="I14" s="241"/>
      <c r="J14" s="240"/>
      <c r="K14" s="240"/>
      <c r="L14" s="240"/>
      <c r="M14" s="240"/>
    </row>
    <row r="15" spans="2:13" ht="15.75">
      <c r="B15" s="237"/>
      <c r="C15" s="260"/>
      <c r="D15" s="260"/>
      <c r="E15" s="238"/>
      <c r="F15" s="239"/>
      <c r="G15" s="240"/>
      <c r="H15" s="241"/>
      <c r="I15" s="241"/>
      <c r="J15" s="240"/>
      <c r="K15" s="240"/>
      <c r="L15" s="240"/>
      <c r="M15" s="240"/>
    </row>
    <row r="16" spans="2:13" ht="15.75">
      <c r="B16" s="237"/>
      <c r="C16" s="260"/>
      <c r="D16" s="260"/>
      <c r="E16" s="238"/>
      <c r="F16" s="239"/>
      <c r="G16" s="240"/>
      <c r="H16" s="241"/>
      <c r="I16" s="241"/>
      <c r="J16" s="240"/>
      <c r="K16" s="240"/>
      <c r="L16" s="240"/>
      <c r="M16" s="240"/>
    </row>
    <row r="17" spans="2:13" ht="15.75">
      <c r="B17" s="237"/>
      <c r="C17" s="260"/>
      <c r="D17" s="260"/>
      <c r="E17" s="238"/>
      <c r="F17" s="239"/>
      <c r="G17" s="240"/>
      <c r="H17" s="241"/>
      <c r="I17" s="241"/>
      <c r="J17" s="240"/>
      <c r="K17" s="240"/>
      <c r="L17" s="240"/>
      <c r="M17" s="240"/>
    </row>
    <row r="18" spans="2:13" ht="15.75">
      <c r="B18" s="237"/>
      <c r="C18" s="260"/>
      <c r="D18" s="260"/>
      <c r="E18" s="238"/>
      <c r="F18" s="239"/>
      <c r="G18" s="240"/>
      <c r="H18" s="241"/>
      <c r="I18" s="241"/>
      <c r="J18" s="240"/>
      <c r="K18" s="240"/>
      <c r="L18" s="240"/>
      <c r="M18" s="240"/>
    </row>
    <row r="19" spans="2:13" ht="15.75">
      <c r="B19" s="237"/>
      <c r="C19" s="260"/>
      <c r="D19" s="260"/>
      <c r="E19" s="238"/>
      <c r="F19" s="239"/>
      <c r="G19" s="240"/>
      <c r="H19" s="241"/>
      <c r="I19" s="241"/>
      <c r="J19" s="240"/>
      <c r="K19" s="240"/>
      <c r="L19" s="240"/>
      <c r="M19" s="240"/>
    </row>
    <row r="20" spans="2:13" ht="15.75">
      <c r="B20" s="217" t="s">
        <v>88</v>
      </c>
      <c r="C20" s="242"/>
      <c r="D20" s="242"/>
      <c r="E20" s="243"/>
      <c r="F20" s="244"/>
      <c r="G20" s="245">
        <f>SUM(G9:G19)</f>
        <v>0</v>
      </c>
      <c r="H20" s="246"/>
      <c r="I20" s="246"/>
      <c r="J20" s="245">
        <f>SUM(J9:J19)</f>
        <v>0</v>
      </c>
      <c r="K20" s="245">
        <f>SUM(K9:K19)</f>
        <v>0</v>
      </c>
      <c r="L20" s="245">
        <f>SUM(L9:L19)</f>
        <v>0</v>
      </c>
      <c r="M20" s="245">
        <f>SUM(M9:M19)</f>
        <v>0</v>
      </c>
    </row>
    <row r="21" spans="2:13" ht="15.75">
      <c r="B21" s="163" t="s">
        <v>89</v>
      </c>
      <c r="C21" s="247"/>
      <c r="D21" s="247"/>
      <c r="E21" s="248"/>
      <c r="F21" s="203"/>
      <c r="G21" s="203"/>
      <c r="H21" s="249"/>
      <c r="I21" s="249"/>
      <c r="J21" s="203"/>
      <c r="K21" s="203"/>
      <c r="L21" s="203"/>
      <c r="M21" s="203"/>
    </row>
    <row r="22" spans="2:13" ht="15.75">
      <c r="B22" s="237" t="s">
        <v>978</v>
      </c>
      <c r="C22" s="260"/>
      <c r="D22" s="260"/>
      <c r="E22" s="238"/>
      <c r="F22" s="239"/>
      <c r="G22" s="240"/>
      <c r="H22" s="241"/>
      <c r="I22" s="241"/>
      <c r="J22" s="240"/>
      <c r="K22" s="240"/>
      <c r="L22" s="240"/>
      <c r="M22" s="240"/>
    </row>
    <row r="23" spans="2:13" ht="15.75">
      <c r="B23" s="237"/>
      <c r="C23" s="260"/>
      <c r="D23" s="260"/>
      <c r="E23" s="238"/>
      <c r="F23" s="239"/>
      <c r="G23" s="240"/>
      <c r="H23" s="241"/>
      <c r="I23" s="241"/>
      <c r="J23" s="240"/>
      <c r="K23" s="240"/>
      <c r="L23" s="240"/>
      <c r="M23" s="240"/>
    </row>
    <row r="24" spans="2:13" ht="15.75">
      <c r="B24" s="237"/>
      <c r="C24" s="260"/>
      <c r="D24" s="260"/>
      <c r="E24" s="238"/>
      <c r="F24" s="239"/>
      <c r="G24" s="240"/>
      <c r="H24" s="241"/>
      <c r="I24" s="241"/>
      <c r="J24" s="240"/>
      <c r="K24" s="240"/>
      <c r="L24" s="240"/>
      <c r="M24" s="240"/>
    </row>
    <row r="25" spans="2:13" ht="15.75">
      <c r="B25" s="237"/>
      <c r="C25" s="260"/>
      <c r="D25" s="260"/>
      <c r="E25" s="238"/>
      <c r="F25" s="239"/>
      <c r="G25" s="240"/>
      <c r="H25" s="241"/>
      <c r="I25" s="241"/>
      <c r="J25" s="240"/>
      <c r="K25" s="240"/>
      <c r="L25" s="240"/>
      <c r="M25" s="240"/>
    </row>
    <row r="26" spans="2:13" ht="15.75">
      <c r="B26" s="237"/>
      <c r="C26" s="260"/>
      <c r="D26" s="260"/>
      <c r="E26" s="238"/>
      <c r="F26" s="239"/>
      <c r="G26" s="240"/>
      <c r="H26" s="241"/>
      <c r="I26" s="241"/>
      <c r="J26" s="240"/>
      <c r="K26" s="240"/>
      <c r="L26" s="240"/>
      <c r="M26" s="240"/>
    </row>
    <row r="27" spans="2:13" ht="15.75">
      <c r="B27" s="237"/>
      <c r="C27" s="260"/>
      <c r="D27" s="260"/>
      <c r="E27" s="238"/>
      <c r="F27" s="239"/>
      <c r="G27" s="240"/>
      <c r="H27" s="241"/>
      <c r="I27" s="241"/>
      <c r="J27" s="240"/>
      <c r="K27" s="240"/>
      <c r="L27" s="240"/>
      <c r="M27" s="240"/>
    </row>
    <row r="28" spans="2:13" ht="15.75">
      <c r="B28" s="237"/>
      <c r="C28" s="260"/>
      <c r="D28" s="260"/>
      <c r="E28" s="238"/>
      <c r="F28" s="239"/>
      <c r="G28" s="240"/>
      <c r="H28" s="241"/>
      <c r="I28" s="241"/>
      <c r="J28" s="240"/>
      <c r="K28" s="240"/>
      <c r="L28" s="240"/>
      <c r="M28" s="240"/>
    </row>
    <row r="29" spans="2:13" ht="15.75">
      <c r="B29" s="237"/>
      <c r="C29" s="260"/>
      <c r="D29" s="260"/>
      <c r="E29" s="238"/>
      <c r="F29" s="239"/>
      <c r="G29" s="240"/>
      <c r="H29" s="241"/>
      <c r="I29" s="241"/>
      <c r="J29" s="240"/>
      <c r="K29" s="240"/>
      <c r="L29" s="240"/>
      <c r="M29" s="240"/>
    </row>
    <row r="30" spans="2:13" ht="15.75">
      <c r="B30" s="217" t="s">
        <v>90</v>
      </c>
      <c r="C30" s="242"/>
      <c r="D30" s="242"/>
      <c r="E30" s="250"/>
      <c r="F30" s="244"/>
      <c r="G30" s="251">
        <f>SUM(G22:G29)</f>
        <v>0</v>
      </c>
      <c r="H30" s="246"/>
      <c r="I30" s="246"/>
      <c r="J30" s="251">
        <f>SUM(J22:J29)</f>
        <v>0</v>
      </c>
      <c r="K30" s="251">
        <f>SUM(K22:K29)</f>
        <v>0</v>
      </c>
      <c r="L30" s="245">
        <f>SUM(L22:L29)</f>
        <v>0</v>
      </c>
      <c r="M30" s="251">
        <f>SUM(M22:M29)</f>
        <v>0</v>
      </c>
    </row>
    <row r="31" spans="2:13" ht="15.75">
      <c r="B31" s="163" t="s">
        <v>91</v>
      </c>
      <c r="C31" s="247"/>
      <c r="D31" s="247"/>
      <c r="E31" s="248"/>
      <c r="F31" s="203"/>
      <c r="G31" s="252"/>
      <c r="H31" s="249"/>
      <c r="I31" s="249"/>
      <c r="J31" s="203"/>
      <c r="K31" s="203"/>
      <c r="L31" s="203"/>
      <c r="M31" s="203"/>
    </row>
    <row r="32" spans="2:13" ht="15.75">
      <c r="B32" s="237" t="s">
        <v>978</v>
      </c>
      <c r="C32" s="260"/>
      <c r="D32" s="260"/>
      <c r="E32" s="238"/>
      <c r="F32" s="239"/>
      <c r="G32" s="240"/>
      <c r="H32" s="241"/>
      <c r="I32" s="241"/>
      <c r="J32" s="240"/>
      <c r="K32" s="240"/>
      <c r="L32" s="240"/>
      <c r="M32" s="240"/>
    </row>
    <row r="33" spans="2:13" ht="15.75">
      <c r="B33" s="237"/>
      <c r="C33" s="260"/>
      <c r="D33" s="260"/>
      <c r="E33" s="238"/>
      <c r="F33" s="239"/>
      <c r="G33" s="240"/>
      <c r="H33" s="241"/>
      <c r="I33" s="241"/>
      <c r="J33" s="240"/>
      <c r="K33" s="240"/>
      <c r="L33" s="240"/>
      <c r="M33" s="240"/>
    </row>
    <row r="34" spans="2:13" ht="15.75">
      <c r="B34" s="237"/>
      <c r="C34" s="260"/>
      <c r="D34" s="260"/>
      <c r="E34" s="238"/>
      <c r="F34" s="239"/>
      <c r="G34" s="240"/>
      <c r="H34" s="241"/>
      <c r="I34" s="241"/>
      <c r="J34" s="240"/>
      <c r="K34" s="240"/>
      <c r="L34" s="240"/>
      <c r="M34" s="240"/>
    </row>
    <row r="35" spans="2:13" ht="15.75">
      <c r="B35" s="237"/>
      <c r="C35" s="260"/>
      <c r="D35" s="260"/>
      <c r="E35" s="238"/>
      <c r="F35" s="239"/>
      <c r="G35" s="240"/>
      <c r="H35" s="241"/>
      <c r="I35" s="241"/>
      <c r="J35" s="240"/>
      <c r="K35" s="240"/>
      <c r="L35" s="240"/>
      <c r="M35" s="240"/>
    </row>
    <row r="36" spans="2:13" ht="15.75">
      <c r="B36" s="237"/>
      <c r="C36" s="260"/>
      <c r="D36" s="260"/>
      <c r="E36" s="238"/>
      <c r="F36" s="239"/>
      <c r="G36" s="240"/>
      <c r="H36" s="241"/>
      <c r="I36" s="241"/>
      <c r="J36" s="240"/>
      <c r="K36" s="240"/>
      <c r="L36" s="240"/>
      <c r="M36" s="240"/>
    </row>
    <row r="37" spans="2:13" ht="15.75">
      <c r="B37" s="237"/>
      <c r="C37" s="260"/>
      <c r="D37" s="260"/>
      <c r="E37" s="238"/>
      <c r="F37" s="239"/>
      <c r="G37" s="240"/>
      <c r="H37" s="241"/>
      <c r="I37" s="241"/>
      <c r="J37" s="240"/>
      <c r="K37" s="240"/>
      <c r="L37" s="240"/>
      <c r="M37" s="240"/>
    </row>
    <row r="38" spans="2:29" ht="15.75">
      <c r="B38" s="237"/>
      <c r="C38" s="260"/>
      <c r="D38" s="260"/>
      <c r="E38" s="238"/>
      <c r="F38" s="239"/>
      <c r="G38" s="240"/>
      <c r="H38" s="241"/>
      <c r="I38" s="241"/>
      <c r="J38" s="240"/>
      <c r="K38" s="240"/>
      <c r="L38" s="240"/>
      <c r="M38" s="240"/>
      <c r="N38" s="10"/>
      <c r="O38" s="10"/>
      <c r="P38" s="10"/>
      <c r="Q38" s="10"/>
      <c r="R38" s="10"/>
      <c r="S38" s="10"/>
      <c r="T38" s="10"/>
      <c r="U38" s="10"/>
      <c r="V38" s="10"/>
      <c r="W38" s="10"/>
      <c r="X38" s="10"/>
      <c r="Y38" s="10"/>
      <c r="Z38" s="10"/>
      <c r="AA38" s="10"/>
      <c r="AB38" s="10"/>
      <c r="AC38" s="10"/>
    </row>
    <row r="39" spans="2:13" ht="15.75">
      <c r="B39" s="217" t="s">
        <v>175</v>
      </c>
      <c r="C39" s="217"/>
      <c r="D39" s="217"/>
      <c r="E39" s="250"/>
      <c r="F39" s="244"/>
      <c r="G39" s="251">
        <f>SUM(G32:G38)</f>
        <v>0</v>
      </c>
      <c r="H39" s="244"/>
      <c r="I39" s="244"/>
      <c r="J39" s="251">
        <f>SUM(J32:J38)</f>
        <v>0</v>
      </c>
      <c r="K39" s="251">
        <f>SUM(K32:K38)</f>
        <v>0</v>
      </c>
      <c r="L39" s="251">
        <f>SUM(L32:L38)</f>
        <v>0</v>
      </c>
      <c r="M39" s="251">
        <f>SUM(M32:M38)</f>
        <v>0</v>
      </c>
    </row>
    <row r="40" spans="2:13" ht="15.75">
      <c r="B40" s="217" t="s">
        <v>92</v>
      </c>
      <c r="C40" s="217"/>
      <c r="D40" s="217"/>
      <c r="E40" s="217"/>
      <c r="F40" s="244"/>
      <c r="G40" s="251">
        <f>SUM(G20+G30+G39)</f>
        <v>0</v>
      </c>
      <c r="H40" s="244"/>
      <c r="I40" s="244"/>
      <c r="J40" s="251">
        <f>SUM(J20+J30+J39)</f>
        <v>0</v>
      </c>
      <c r="K40" s="251">
        <f>SUM(K20+K30+K39)</f>
        <v>0</v>
      </c>
      <c r="L40" s="251">
        <f>SUM(L20+L30+L39)</f>
        <v>0</v>
      </c>
      <c r="M40" s="251">
        <f>SUM(M20+M30+M39)</f>
        <v>0</v>
      </c>
    </row>
    <row r="41" spans="2:13" ht="15.75">
      <c r="B41" s="10"/>
      <c r="C41" s="10"/>
      <c r="D41" s="10"/>
      <c r="E41" s="10"/>
      <c r="F41" s="10"/>
      <c r="G41" s="10"/>
      <c r="H41" s="10"/>
      <c r="I41" s="10"/>
      <c r="J41" s="10"/>
      <c r="K41" s="10"/>
      <c r="L41" s="10"/>
      <c r="M41" s="10"/>
    </row>
    <row r="42" spans="6:13" ht="15.75">
      <c r="F42" s="253"/>
      <c r="G42" s="253"/>
      <c r="J42" s="253"/>
      <c r="K42" s="253"/>
      <c r="L42" s="253"/>
      <c r="M42" s="253"/>
    </row>
    <row r="43" spans="6:14" ht="15.75">
      <c r="F43" s="10"/>
      <c r="H43" s="254"/>
      <c r="N43" s="10"/>
    </row>
    <row r="44" spans="2:13" ht="15.75">
      <c r="B44" s="10"/>
      <c r="C44" s="10"/>
      <c r="D44" s="10"/>
      <c r="E44" s="10"/>
      <c r="F44" s="10"/>
      <c r="G44" s="10"/>
      <c r="H44" s="10"/>
      <c r="I44" s="10"/>
      <c r="J44" s="10"/>
      <c r="K44" s="10"/>
      <c r="L44" s="10"/>
      <c r="M44" s="10"/>
    </row>
    <row r="45" spans="2:13" ht="15.75">
      <c r="B45" s="10"/>
      <c r="C45" s="10"/>
      <c r="D45" s="10"/>
      <c r="E45" s="10"/>
      <c r="F45" s="10"/>
      <c r="G45" s="10"/>
      <c r="H45" s="10"/>
      <c r="I45" s="10"/>
      <c r="J45" s="10"/>
      <c r="K45" s="10"/>
      <c r="L45" s="10"/>
      <c r="M45" s="10"/>
    </row>
  </sheetData>
  <sheetProtection sheet="1"/>
  <mergeCells count="3">
    <mergeCell ref="H6:I6"/>
    <mergeCell ref="L6:M6"/>
    <mergeCell ref="J6:K6"/>
  </mergeCells>
  <printOptions/>
  <pageMargins left="0.3" right="0.2" top="1" bottom="0.5" header="0.5" footer="0.25"/>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43"/>
  <sheetViews>
    <sheetView zoomScale="75" zoomScaleNormal="75" zoomScalePageLayoutView="0" workbookViewId="0" topLeftCell="A1">
      <selection activeCell="B9" sqref="B9"/>
    </sheetView>
  </sheetViews>
  <sheetFormatPr defaultColWidth="8.796875" defaultRowHeight="15"/>
  <cols>
    <col min="1" max="1" width="8.8984375" style="24" customWidth="1"/>
    <col min="2" max="2" width="25.796875" style="24" customWidth="1"/>
    <col min="3" max="3" width="11.796875" style="24" customWidth="1"/>
    <col min="4" max="5" width="9.796875" style="24" customWidth="1"/>
    <col min="6" max="6" width="17.09765625" style="24" customWidth="1"/>
    <col min="7" max="9" width="15.796875" style="24" customWidth="1"/>
    <col min="10" max="11" width="9.796875" style="24" customWidth="1"/>
    <col min="12" max="16384" width="8.8984375" style="24" customWidth="1"/>
  </cols>
  <sheetData>
    <row r="1" spans="2:11" ht="15.75">
      <c r="B1" s="183" t="str">
        <f>inputPrYr!$D$3</f>
        <v>City of Vining</v>
      </c>
      <c r="C1" s="28"/>
      <c r="D1" s="28"/>
      <c r="E1" s="28"/>
      <c r="F1" s="28"/>
      <c r="G1" s="28"/>
      <c r="H1" s="28"/>
      <c r="I1" s="139">
        <f>inputPrYr!$C$10</f>
        <v>2013</v>
      </c>
      <c r="J1" s="10"/>
      <c r="K1" s="255"/>
    </row>
    <row r="2" spans="2:11" ht="15.75">
      <c r="B2" s="183"/>
      <c r="C2" s="28"/>
      <c r="D2" s="28"/>
      <c r="E2" s="28"/>
      <c r="F2" s="28"/>
      <c r="G2" s="28"/>
      <c r="H2" s="28"/>
      <c r="I2" s="28"/>
      <c r="J2" s="10"/>
      <c r="K2" s="255"/>
    </row>
    <row r="3" spans="2:11" ht="15.75">
      <c r="B3" s="228" t="s">
        <v>145</v>
      </c>
      <c r="C3" s="38"/>
      <c r="D3" s="38"/>
      <c r="E3" s="38"/>
      <c r="F3" s="38"/>
      <c r="G3" s="38"/>
      <c r="H3" s="38"/>
      <c r="I3" s="38"/>
      <c r="J3" s="256"/>
      <c r="K3" s="256"/>
    </row>
    <row r="4" spans="2:11" ht="15.75">
      <c r="B4" s="28"/>
      <c r="C4" s="229"/>
      <c r="D4" s="229"/>
      <c r="E4" s="229"/>
      <c r="F4" s="229"/>
      <c r="G4" s="229"/>
      <c r="H4" s="229"/>
      <c r="I4" s="229"/>
      <c r="J4" s="257"/>
      <c r="K4" s="257"/>
    </row>
    <row r="5" spans="2:11" ht="15.75">
      <c r="B5" s="168"/>
      <c r="C5" s="168"/>
      <c r="D5" s="168"/>
      <c r="E5" s="168"/>
      <c r="F5" s="200" t="s">
        <v>21</v>
      </c>
      <c r="G5" s="168"/>
      <c r="H5" s="168"/>
      <c r="I5" s="168"/>
      <c r="J5" s="258"/>
      <c r="K5" s="142"/>
    </row>
    <row r="6" spans="2:9" ht="15.75">
      <c r="B6" s="158"/>
      <c r="C6" s="232"/>
      <c r="D6" s="232" t="s">
        <v>93</v>
      </c>
      <c r="E6" s="232" t="s">
        <v>94</v>
      </c>
      <c r="F6" s="232" t="s">
        <v>40</v>
      </c>
      <c r="G6" s="232" t="s">
        <v>194</v>
      </c>
      <c r="H6" s="232" t="s">
        <v>97</v>
      </c>
      <c r="I6" s="232" t="s">
        <v>97</v>
      </c>
    </row>
    <row r="7" spans="2:9" ht="15.75">
      <c r="B7" s="232" t="s">
        <v>862</v>
      </c>
      <c r="C7" s="232" t="s">
        <v>98</v>
      </c>
      <c r="D7" s="232" t="s">
        <v>99</v>
      </c>
      <c r="E7" s="232" t="s">
        <v>83</v>
      </c>
      <c r="F7" s="232" t="s">
        <v>100</v>
      </c>
      <c r="G7" s="232" t="s">
        <v>195</v>
      </c>
      <c r="H7" s="232" t="s">
        <v>101</v>
      </c>
      <c r="I7" s="232" t="s">
        <v>101</v>
      </c>
    </row>
    <row r="8" spans="2:9" ht="15.75">
      <c r="B8" s="235" t="s">
        <v>863</v>
      </c>
      <c r="C8" s="235" t="s">
        <v>80</v>
      </c>
      <c r="D8" s="259" t="s">
        <v>102</v>
      </c>
      <c r="E8" s="235" t="s">
        <v>61</v>
      </c>
      <c r="F8" s="259" t="s">
        <v>169</v>
      </c>
      <c r="G8" s="235">
        <f>inputPrYr!C10-1</f>
        <v>2012</v>
      </c>
      <c r="H8" s="235">
        <f>inputPrYr!C10-1</f>
        <v>2012</v>
      </c>
      <c r="I8" s="214">
        <f>inputPrYr!$C$10</f>
        <v>2013</v>
      </c>
    </row>
    <row r="9" spans="2:9" ht="15.75">
      <c r="B9" s="237" t="s">
        <v>978</v>
      </c>
      <c r="C9" s="260"/>
      <c r="D9" s="261"/>
      <c r="E9" s="238"/>
      <c r="F9" s="239"/>
      <c r="G9" s="239"/>
      <c r="H9" s="239"/>
      <c r="I9" s="239"/>
    </row>
    <row r="10" spans="2:9" ht="15.75">
      <c r="B10" s="237"/>
      <c r="C10" s="260"/>
      <c r="D10" s="261"/>
      <c r="E10" s="238"/>
      <c r="F10" s="239"/>
      <c r="G10" s="239"/>
      <c r="H10" s="239"/>
      <c r="I10" s="239"/>
    </row>
    <row r="11" spans="2:9" ht="15.75">
      <c r="B11" s="237"/>
      <c r="C11" s="260"/>
      <c r="D11" s="261"/>
      <c r="E11" s="238"/>
      <c r="F11" s="239"/>
      <c r="G11" s="239"/>
      <c r="H11" s="239"/>
      <c r="I11" s="239"/>
    </row>
    <row r="12" spans="2:9" ht="15.75">
      <c r="B12" s="237"/>
      <c r="C12" s="260"/>
      <c r="D12" s="261"/>
      <c r="E12" s="238"/>
      <c r="F12" s="239"/>
      <c r="G12" s="239"/>
      <c r="H12" s="239"/>
      <c r="I12" s="239"/>
    </row>
    <row r="13" spans="2:9" ht="15.75">
      <c r="B13" s="237"/>
      <c r="C13" s="260"/>
      <c r="D13" s="261"/>
      <c r="E13" s="238"/>
      <c r="F13" s="239"/>
      <c r="G13" s="239"/>
      <c r="H13" s="239"/>
      <c r="I13" s="239"/>
    </row>
    <row r="14" spans="2:9" ht="15.75">
      <c r="B14" s="237"/>
      <c r="C14" s="260"/>
      <c r="D14" s="261"/>
      <c r="E14" s="238"/>
      <c r="F14" s="239"/>
      <c r="G14" s="239"/>
      <c r="H14" s="239"/>
      <c r="I14" s="239"/>
    </row>
    <row r="15" spans="2:9" ht="15.75">
      <c r="B15" s="237"/>
      <c r="C15" s="260"/>
      <c r="D15" s="261"/>
      <c r="E15" s="238"/>
      <c r="F15" s="239"/>
      <c r="G15" s="239"/>
      <c r="H15" s="239"/>
      <c r="I15" s="239"/>
    </row>
    <row r="16" spans="2:9" ht="15.75">
      <c r="B16" s="237"/>
      <c r="C16" s="260"/>
      <c r="D16" s="261"/>
      <c r="E16" s="238"/>
      <c r="F16" s="239"/>
      <c r="G16" s="239"/>
      <c r="H16" s="239"/>
      <c r="I16" s="239"/>
    </row>
    <row r="17" spans="2:9" ht="15.75">
      <c r="B17" s="237"/>
      <c r="C17" s="260"/>
      <c r="D17" s="261"/>
      <c r="E17" s="238"/>
      <c r="F17" s="239"/>
      <c r="G17" s="239"/>
      <c r="H17" s="239"/>
      <c r="I17" s="239"/>
    </row>
    <row r="18" spans="2:9" ht="15.75">
      <c r="B18" s="237"/>
      <c r="C18" s="260"/>
      <c r="D18" s="261"/>
      <c r="E18" s="238"/>
      <c r="F18" s="239"/>
      <c r="G18" s="239"/>
      <c r="H18" s="239"/>
      <c r="I18" s="239"/>
    </row>
    <row r="19" spans="2:9" ht="15.75">
      <c r="B19" s="237"/>
      <c r="C19" s="260"/>
      <c r="D19" s="261"/>
      <c r="E19" s="238"/>
      <c r="F19" s="239"/>
      <c r="G19" s="239"/>
      <c r="H19" s="239"/>
      <c r="I19" s="239"/>
    </row>
    <row r="20" spans="2:9" ht="15.75">
      <c r="B20" s="237"/>
      <c r="C20" s="260"/>
      <c r="D20" s="261"/>
      <c r="E20" s="238"/>
      <c r="F20" s="239"/>
      <c r="G20" s="239"/>
      <c r="H20" s="239"/>
      <c r="I20" s="239"/>
    </row>
    <row r="21" spans="2:9" ht="15.75">
      <c r="B21" s="237"/>
      <c r="C21" s="260"/>
      <c r="D21" s="261"/>
      <c r="E21" s="238"/>
      <c r="F21" s="239"/>
      <c r="G21" s="239"/>
      <c r="H21" s="239"/>
      <c r="I21" s="239"/>
    </row>
    <row r="22" spans="2:9" ht="15.75">
      <c r="B22" s="237"/>
      <c r="C22" s="260"/>
      <c r="D22" s="261"/>
      <c r="E22" s="238"/>
      <c r="F22" s="239"/>
      <c r="G22" s="239"/>
      <c r="H22" s="239"/>
      <c r="I22" s="239"/>
    </row>
    <row r="23" spans="2:9" ht="15.75">
      <c r="B23" s="237"/>
      <c r="C23" s="260"/>
      <c r="D23" s="261"/>
      <c r="E23" s="238"/>
      <c r="F23" s="239"/>
      <c r="G23" s="239"/>
      <c r="H23" s="239"/>
      <c r="I23" s="239"/>
    </row>
    <row r="24" spans="2:9" ht="15.75">
      <c r="B24" s="237"/>
      <c r="C24" s="260"/>
      <c r="D24" s="261"/>
      <c r="E24" s="238"/>
      <c r="F24" s="239"/>
      <c r="G24" s="239"/>
      <c r="H24" s="239"/>
      <c r="I24" s="239"/>
    </row>
    <row r="25" spans="2:9" ht="15.75">
      <c r="B25" s="237"/>
      <c r="C25" s="260"/>
      <c r="D25" s="261"/>
      <c r="E25" s="238"/>
      <c r="F25" s="239"/>
      <c r="G25" s="239"/>
      <c r="H25" s="239"/>
      <c r="I25" s="239"/>
    </row>
    <row r="26" spans="2:9" ht="15.75">
      <c r="B26" s="237"/>
      <c r="C26" s="260"/>
      <c r="D26" s="261"/>
      <c r="E26" s="238"/>
      <c r="F26" s="239"/>
      <c r="G26" s="239"/>
      <c r="H26" s="239"/>
      <c r="I26" s="239"/>
    </row>
    <row r="27" spans="2:9" ht="15.75">
      <c r="B27" s="237"/>
      <c r="C27" s="260"/>
      <c r="D27" s="261"/>
      <c r="E27" s="238"/>
      <c r="F27" s="239"/>
      <c r="G27" s="239"/>
      <c r="H27" s="239"/>
      <c r="I27" s="239"/>
    </row>
    <row r="28" spans="2:9" ht="15.75">
      <c r="B28" s="237"/>
      <c r="C28" s="260"/>
      <c r="D28" s="261"/>
      <c r="E28" s="238"/>
      <c r="F28" s="239"/>
      <c r="G28" s="239"/>
      <c r="H28" s="239"/>
      <c r="I28" s="239"/>
    </row>
    <row r="29" spans="2:9" ht="15.75">
      <c r="B29" s="237"/>
      <c r="C29" s="260"/>
      <c r="D29" s="261"/>
      <c r="E29" s="238"/>
      <c r="F29" s="239"/>
      <c r="G29" s="239"/>
      <c r="H29" s="239"/>
      <c r="I29" s="239"/>
    </row>
    <row r="30" spans="2:9" ht="15.75">
      <c r="B30" s="237"/>
      <c r="C30" s="260"/>
      <c r="D30" s="261"/>
      <c r="E30" s="238"/>
      <c r="F30" s="239"/>
      <c r="G30" s="239"/>
      <c r="H30" s="239"/>
      <c r="I30" s="239"/>
    </row>
    <row r="31" spans="2:9" ht="15.75">
      <c r="B31" s="237"/>
      <c r="C31" s="260"/>
      <c r="D31" s="261"/>
      <c r="E31" s="238"/>
      <c r="F31" s="239"/>
      <c r="G31" s="239"/>
      <c r="H31" s="239"/>
      <c r="I31" s="239"/>
    </row>
    <row r="32" spans="2:9" ht="16.5" thickBot="1">
      <c r="B32" s="28"/>
      <c r="C32" s="184"/>
      <c r="D32" s="184"/>
      <c r="E32" s="184"/>
      <c r="F32" s="184" t="s">
        <v>47</v>
      </c>
      <c r="G32" s="262">
        <f>SUM(G9:G31)</f>
        <v>0</v>
      </c>
      <c r="H32" s="262">
        <f>SUM(H9:H31)</f>
        <v>0</v>
      </c>
      <c r="I32" s="263">
        <f>SUM(I9:I31)</f>
        <v>0</v>
      </c>
    </row>
    <row r="33" spans="2:11" ht="16.5" thickTop="1">
      <c r="B33" s="28"/>
      <c r="C33" s="28"/>
      <c r="D33" s="28"/>
      <c r="E33" s="28"/>
      <c r="F33" s="28"/>
      <c r="G33" s="28"/>
      <c r="H33" s="28"/>
      <c r="I33" s="28"/>
      <c r="J33" s="253"/>
      <c r="K33" s="253"/>
    </row>
    <row r="34" spans="2:11" ht="15.75">
      <c r="B34" s="264" t="s">
        <v>299</v>
      </c>
      <c r="C34" s="265"/>
      <c r="D34" s="265"/>
      <c r="E34" s="265"/>
      <c r="F34" s="265"/>
      <c r="G34" s="265"/>
      <c r="H34" s="28"/>
      <c r="I34" s="28"/>
      <c r="J34" s="253"/>
      <c r="K34" s="253"/>
    </row>
    <row r="43" ht="15.75">
      <c r="D43" s="254"/>
    </row>
  </sheetData>
  <sheetProtection sheet="1"/>
  <printOptions/>
  <pageMargins left="1"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3">
      <selection activeCell="L99" sqref="L99"/>
    </sheetView>
  </sheetViews>
  <sheetFormatPr defaultColWidth="8.796875" defaultRowHeight="15"/>
  <cols>
    <col min="1" max="1" width="2.59765625" style="566" customWidth="1"/>
    <col min="2" max="4" width="8.8984375" style="566" customWidth="1"/>
    <col min="5" max="5" width="9.69921875" style="566" customWidth="1"/>
    <col min="6" max="6" width="8.8984375" style="566" customWidth="1"/>
    <col min="7" max="7" width="9.69921875" style="566" customWidth="1"/>
    <col min="8" max="16384" width="8.8984375" style="566" customWidth="1"/>
  </cols>
  <sheetData>
    <row r="1" spans="2:9" ht="15.75">
      <c r="B1" s="565"/>
      <c r="C1" s="565"/>
      <c r="D1" s="565"/>
      <c r="E1" s="565"/>
      <c r="F1" s="565"/>
      <c r="G1" s="565"/>
      <c r="H1" s="565"/>
      <c r="I1" s="565"/>
    </row>
    <row r="2" spans="2:9" ht="15.75">
      <c r="B2" s="735" t="s">
        <v>798</v>
      </c>
      <c r="C2" s="735"/>
      <c r="D2" s="735"/>
      <c r="E2" s="735"/>
      <c r="F2" s="735"/>
      <c r="G2" s="735"/>
      <c r="H2" s="735"/>
      <c r="I2" s="735"/>
    </row>
    <row r="3" spans="2:9" ht="15.75">
      <c r="B3" s="735" t="s">
        <v>799</v>
      </c>
      <c r="C3" s="735"/>
      <c r="D3" s="735"/>
      <c r="E3" s="735"/>
      <c r="F3" s="735"/>
      <c r="G3" s="735"/>
      <c r="H3" s="735"/>
      <c r="I3" s="735"/>
    </row>
    <row r="4" spans="2:9" ht="15.75">
      <c r="B4" s="567"/>
      <c r="C4" s="567"/>
      <c r="D4" s="567"/>
      <c r="E4" s="567"/>
      <c r="F4" s="567"/>
      <c r="G4" s="567"/>
      <c r="H4" s="567"/>
      <c r="I4" s="567"/>
    </row>
    <row r="5" spans="2:9" ht="15.75">
      <c r="B5" s="736" t="str">
        <f>CONCATENATE("Budgeted Year: ",inputPrYr!C5,"")</f>
        <v>Budgeted Year: </v>
      </c>
      <c r="C5" s="736"/>
      <c r="D5" s="736"/>
      <c r="E5" s="736"/>
      <c r="F5" s="736"/>
      <c r="G5" s="736"/>
      <c r="H5" s="736"/>
      <c r="I5" s="736"/>
    </row>
    <row r="6" spans="2:9" ht="15.75">
      <c r="B6" s="568"/>
      <c r="C6" s="567"/>
      <c r="D6" s="567"/>
      <c r="E6" s="567"/>
      <c r="F6" s="567"/>
      <c r="G6" s="567"/>
      <c r="H6" s="567"/>
      <c r="I6" s="567"/>
    </row>
    <row r="7" spans="2:9" ht="15.75">
      <c r="B7" s="568" t="str">
        <f>CONCATENATE("Library found in: ",inputPrYr!D2,"")</f>
        <v>Library found in: </v>
      </c>
      <c r="C7" s="567"/>
      <c r="D7" s="567"/>
      <c r="E7" s="567"/>
      <c r="F7" s="567"/>
      <c r="G7" s="567"/>
      <c r="H7" s="567"/>
      <c r="I7" s="567"/>
    </row>
    <row r="8" spans="2:9" ht="15.75">
      <c r="B8" s="568" t="str">
        <f>inputPrYr!D3</f>
        <v>City of Vining</v>
      </c>
      <c r="C8" s="567"/>
      <c r="D8" s="567"/>
      <c r="E8" s="567"/>
      <c r="F8" s="567"/>
      <c r="G8" s="567"/>
      <c r="H8" s="567"/>
      <c r="I8" s="567"/>
    </row>
    <row r="9" spans="2:9" ht="15.75">
      <c r="B9" s="567"/>
      <c r="C9" s="567"/>
      <c r="D9" s="567"/>
      <c r="E9" s="567"/>
      <c r="F9" s="567"/>
      <c r="G9" s="567"/>
      <c r="H9" s="567"/>
      <c r="I9" s="567"/>
    </row>
    <row r="10" spans="2:9" ht="39" customHeight="1">
      <c r="B10" s="737" t="s">
        <v>800</v>
      </c>
      <c r="C10" s="737"/>
      <c r="D10" s="737"/>
      <c r="E10" s="737"/>
      <c r="F10" s="737"/>
      <c r="G10" s="737"/>
      <c r="H10" s="737"/>
      <c r="I10" s="737"/>
    </row>
    <row r="11" spans="2:9" ht="15.75">
      <c r="B11" s="567"/>
      <c r="C11" s="567"/>
      <c r="D11" s="567"/>
      <c r="E11" s="567"/>
      <c r="F11" s="567"/>
      <c r="G11" s="567"/>
      <c r="H11" s="567"/>
      <c r="I11" s="567"/>
    </row>
    <row r="12" spans="2:9" ht="15.75">
      <c r="B12" s="569" t="s">
        <v>801</v>
      </c>
      <c r="C12" s="567"/>
      <c r="D12" s="567"/>
      <c r="E12" s="567"/>
      <c r="F12" s="567"/>
      <c r="G12" s="567"/>
      <c r="H12" s="567"/>
      <c r="I12" s="567"/>
    </row>
    <row r="13" spans="2:9" ht="15.75">
      <c r="B13" s="567"/>
      <c r="C13" s="567"/>
      <c r="D13" s="567"/>
      <c r="E13" s="570" t="s">
        <v>802</v>
      </c>
      <c r="F13" s="567"/>
      <c r="G13" s="570" t="s">
        <v>803</v>
      </c>
      <c r="H13" s="567"/>
      <c r="I13" s="567"/>
    </row>
    <row r="14" spans="2:9" ht="15.75">
      <c r="B14" s="567"/>
      <c r="C14" s="567"/>
      <c r="D14" s="567"/>
      <c r="E14" s="571">
        <f>inputPrYr!C10-1</f>
        <v>2012</v>
      </c>
      <c r="F14" s="567"/>
      <c r="G14" s="571">
        <f>inputPrYr!C10</f>
        <v>2013</v>
      </c>
      <c r="H14" s="567"/>
      <c r="I14" s="567"/>
    </row>
    <row r="15" spans="2:9" ht="15.75">
      <c r="B15" s="568" t="str">
        <f>'DebtSvs-Library'!B48</f>
        <v>Ad Valorem Tax</v>
      </c>
      <c r="C15" s="567"/>
      <c r="D15" s="567"/>
      <c r="E15" s="572">
        <f>'DebtSvs-Library'!D48</f>
        <v>0</v>
      </c>
      <c r="F15" s="567"/>
      <c r="G15" s="572">
        <f>'DebtSvs-Library'!E80</f>
        <v>0</v>
      </c>
      <c r="H15" s="567"/>
      <c r="I15" s="567"/>
    </row>
    <row r="16" spans="2:9" ht="15.75">
      <c r="B16" s="568" t="str">
        <f>'DebtSvs-Library'!B49</f>
        <v>Delinquent Tax</v>
      </c>
      <c r="C16" s="567"/>
      <c r="D16" s="567"/>
      <c r="E16" s="572">
        <f>'DebtSvs-Library'!D49</f>
        <v>0</v>
      </c>
      <c r="F16" s="567"/>
      <c r="G16" s="572">
        <f>'DebtSvs-Library'!E49</f>
        <v>0</v>
      </c>
      <c r="H16" s="567"/>
      <c r="I16" s="567"/>
    </row>
    <row r="17" spans="2:9" ht="15.75">
      <c r="B17" s="568" t="str">
        <f>'DebtSvs-Library'!B50</f>
        <v>Motor Vehicle Tax</v>
      </c>
      <c r="C17" s="567"/>
      <c r="D17" s="567"/>
      <c r="E17" s="572">
        <f>'DebtSvs-Library'!D50</f>
        <v>0</v>
      </c>
      <c r="F17" s="567"/>
      <c r="G17" s="572" t="str">
        <f>'DebtSvs-Library'!E50</f>
        <v>  </v>
      </c>
      <c r="H17" s="567"/>
      <c r="I17" s="567"/>
    </row>
    <row r="18" spans="2:9" ht="15.75">
      <c r="B18" s="568" t="str">
        <f>'DebtSvs-Library'!B51</f>
        <v>Recreational Vehicle Tax</v>
      </c>
      <c r="C18" s="567"/>
      <c r="D18" s="567"/>
      <c r="E18" s="572">
        <f>'DebtSvs-Library'!D51</f>
        <v>0</v>
      </c>
      <c r="F18" s="567"/>
      <c r="G18" s="572" t="str">
        <f>'DebtSvs-Library'!E51</f>
        <v>  </v>
      </c>
      <c r="H18" s="567"/>
      <c r="I18" s="567"/>
    </row>
    <row r="19" spans="2:9" ht="15.75">
      <c r="B19" s="568" t="str">
        <f>'DebtSvs-Library'!B52</f>
        <v>16/20M Vehicle Tax</v>
      </c>
      <c r="C19" s="567"/>
      <c r="D19" s="567"/>
      <c r="E19" s="572">
        <f>'DebtSvs-Library'!D52</f>
        <v>0</v>
      </c>
      <c r="F19" s="567"/>
      <c r="G19" s="572" t="str">
        <f>'DebtSvs-Library'!E52</f>
        <v>  </v>
      </c>
      <c r="H19" s="567"/>
      <c r="I19" s="567"/>
    </row>
    <row r="20" spans="2:9" ht="15.75">
      <c r="B20" s="567" t="s">
        <v>10</v>
      </c>
      <c r="C20" s="567"/>
      <c r="D20" s="567"/>
      <c r="E20" s="572">
        <v>0</v>
      </c>
      <c r="F20" s="567"/>
      <c r="G20" s="572">
        <v>0</v>
      </c>
      <c r="H20" s="567"/>
      <c r="I20" s="567"/>
    </row>
    <row r="21" spans="2:9" ht="15.75">
      <c r="B21" s="567"/>
      <c r="C21" s="567"/>
      <c r="D21" s="567"/>
      <c r="E21" s="572">
        <v>0</v>
      </c>
      <c r="F21" s="567"/>
      <c r="G21" s="572">
        <v>0</v>
      </c>
      <c r="H21" s="567"/>
      <c r="I21" s="567"/>
    </row>
    <row r="22" spans="2:9" ht="15.75">
      <c r="B22" s="567" t="s">
        <v>804</v>
      </c>
      <c r="C22" s="567"/>
      <c r="D22" s="567"/>
      <c r="E22" s="573">
        <f>SUM(E15:E21)</f>
        <v>0</v>
      </c>
      <c r="F22" s="567"/>
      <c r="G22" s="573">
        <f>SUM(G15:G21)</f>
        <v>0</v>
      </c>
      <c r="H22" s="567"/>
      <c r="I22" s="567"/>
    </row>
    <row r="23" spans="2:9" ht="15.75">
      <c r="B23" s="567" t="s">
        <v>805</v>
      </c>
      <c r="C23" s="567"/>
      <c r="D23" s="567"/>
      <c r="E23" s="574">
        <f>G22-E22</f>
        <v>0</v>
      </c>
      <c r="F23" s="567"/>
      <c r="G23" s="575"/>
      <c r="H23" s="567"/>
      <c r="I23" s="567"/>
    </row>
    <row r="24" spans="2:9" ht="15.75">
      <c r="B24" s="567" t="s">
        <v>806</v>
      </c>
      <c r="C24" s="567"/>
      <c r="D24" s="576" t="str">
        <f>IF((G22-E22)&gt;0,"Qualify","Not Qualify")</f>
        <v>Not Qualify</v>
      </c>
      <c r="E24" s="567"/>
      <c r="F24" s="567"/>
      <c r="G24" s="567"/>
      <c r="H24" s="567"/>
      <c r="I24" s="567"/>
    </row>
    <row r="25" spans="2:9" ht="15.75">
      <c r="B25" s="567"/>
      <c r="C25" s="567"/>
      <c r="D25" s="567"/>
      <c r="E25" s="567"/>
      <c r="F25" s="567"/>
      <c r="G25" s="567"/>
      <c r="H25" s="567"/>
      <c r="I25" s="567"/>
    </row>
    <row r="26" spans="2:9" ht="15.75">
      <c r="B26" s="569" t="s">
        <v>807</v>
      </c>
      <c r="C26" s="567"/>
      <c r="D26" s="567"/>
      <c r="E26" s="567"/>
      <c r="F26" s="567"/>
      <c r="G26" s="567"/>
      <c r="H26" s="567"/>
      <c r="I26" s="567"/>
    </row>
    <row r="27" spans="2:9" ht="15.75">
      <c r="B27" s="567" t="s">
        <v>72</v>
      </c>
      <c r="C27" s="567"/>
      <c r="D27" s="567"/>
      <c r="E27" s="572">
        <f>summ!D35</f>
        <v>183530</v>
      </c>
      <c r="F27" s="567"/>
      <c r="G27" s="572">
        <f>summ!F35</f>
        <v>197394</v>
      </c>
      <c r="H27" s="567"/>
      <c r="I27" s="567"/>
    </row>
    <row r="28" spans="2:9" ht="15.75">
      <c r="B28" s="567" t="s">
        <v>808</v>
      </c>
      <c r="C28" s="567"/>
      <c r="D28" s="567"/>
      <c r="E28" s="577" t="str">
        <f>IF(G27-E27&gt;0,"No","Yes")</f>
        <v>No</v>
      </c>
      <c r="F28" s="567"/>
      <c r="G28" s="567"/>
      <c r="H28" s="567"/>
      <c r="I28" s="567"/>
    </row>
    <row r="29" spans="2:9" ht="15.75">
      <c r="B29" s="567" t="s">
        <v>809</v>
      </c>
      <c r="C29" s="567"/>
      <c r="D29" s="567"/>
      <c r="E29" s="570" t="str">
        <f>summ!E18</f>
        <v>  </v>
      </c>
      <c r="F29" s="567"/>
      <c r="G29" s="578">
        <f>summ!H18</f>
      </c>
      <c r="H29" s="567"/>
      <c r="I29" s="567"/>
    </row>
    <row r="30" spans="2:9" ht="15.75">
      <c r="B30" s="567" t="s">
        <v>810</v>
      </c>
      <c r="C30" s="567"/>
      <c r="D30" s="567"/>
      <c r="E30" s="579">
        <f>IF(G29="","",G29-E29)</f>
      </c>
      <c r="F30" s="567"/>
      <c r="G30" s="567"/>
      <c r="H30" s="567"/>
      <c r="I30" s="567"/>
    </row>
    <row r="31" spans="2:9" ht="15.75">
      <c r="B31" s="567" t="s">
        <v>806</v>
      </c>
      <c r="C31" s="567"/>
      <c r="D31" s="580" t="str">
        <f>IF(E30&gt;=0,"Qualify","Not Qualify")</f>
        <v>Qualify</v>
      </c>
      <c r="E31" s="567"/>
      <c r="F31" s="567"/>
      <c r="G31" s="567"/>
      <c r="H31" s="567"/>
      <c r="I31" s="567"/>
    </row>
    <row r="32" spans="2:9" ht="15.75">
      <c r="B32" s="567"/>
      <c r="C32" s="567"/>
      <c r="D32" s="567"/>
      <c r="E32" s="567"/>
      <c r="F32" s="567"/>
      <c r="G32" s="567"/>
      <c r="H32" s="567"/>
      <c r="I32" s="567"/>
    </row>
    <row r="33" spans="2:9" ht="15.75">
      <c r="B33" s="567" t="s">
        <v>811</v>
      </c>
      <c r="C33" s="567"/>
      <c r="D33" s="567"/>
      <c r="E33" s="567"/>
      <c r="F33" s="581" t="str">
        <f>IF(D24="Not Qualify",IF(D31="Not Qualify",IF(D31="Not Qualify","Not Qualify","Qualify"),"Qualify"),"Qualify")</f>
        <v>Qualify</v>
      </c>
      <c r="G33" s="567"/>
      <c r="H33" s="567"/>
      <c r="I33" s="567"/>
    </row>
    <row r="34" spans="2:9" ht="15.75">
      <c r="B34" s="567"/>
      <c r="C34" s="567"/>
      <c r="D34" s="567"/>
      <c r="E34" s="567"/>
      <c r="F34" s="567"/>
      <c r="G34" s="567"/>
      <c r="H34" s="567"/>
      <c r="I34" s="567"/>
    </row>
    <row r="35" spans="2:9" ht="15.75">
      <c r="B35" s="567"/>
      <c r="C35" s="567"/>
      <c r="D35" s="567"/>
      <c r="E35" s="567"/>
      <c r="F35" s="567"/>
      <c r="G35" s="567"/>
      <c r="H35" s="567"/>
      <c r="I35" s="567"/>
    </row>
    <row r="36" spans="2:9" ht="37.5" customHeight="1">
      <c r="B36" s="737" t="s">
        <v>812</v>
      </c>
      <c r="C36" s="737"/>
      <c r="D36" s="737"/>
      <c r="E36" s="737"/>
      <c r="F36" s="737"/>
      <c r="G36" s="737"/>
      <c r="H36" s="737"/>
      <c r="I36" s="737"/>
    </row>
    <row r="37" spans="2:9" ht="15.75">
      <c r="B37" s="567"/>
      <c r="C37" s="567"/>
      <c r="D37" s="567"/>
      <c r="E37" s="567"/>
      <c r="F37" s="567"/>
      <c r="G37" s="567"/>
      <c r="H37" s="567"/>
      <c r="I37" s="567"/>
    </row>
    <row r="38" spans="2:9" ht="15.75">
      <c r="B38" s="567"/>
      <c r="C38" s="567"/>
      <c r="D38" s="567"/>
      <c r="E38" s="567"/>
      <c r="F38" s="567"/>
      <c r="G38" s="567"/>
      <c r="H38" s="567"/>
      <c r="I38" s="567"/>
    </row>
    <row r="39" spans="2:9" ht="15.75">
      <c r="B39" s="567"/>
      <c r="C39" s="567"/>
      <c r="D39" s="567"/>
      <c r="E39" s="567"/>
      <c r="F39" s="567"/>
      <c r="G39" s="567"/>
      <c r="H39" s="567"/>
      <c r="I39" s="567"/>
    </row>
    <row r="40" spans="2:9" ht="15.75">
      <c r="B40" s="567"/>
      <c r="C40" s="567"/>
      <c r="D40" s="567"/>
      <c r="E40" s="582" t="s">
        <v>79</v>
      </c>
      <c r="F40" s="583">
        <v>7</v>
      </c>
      <c r="G40" s="567"/>
      <c r="H40" s="567"/>
      <c r="I40" s="567"/>
    </row>
    <row r="41" spans="2:9" ht="15.75">
      <c r="B41" s="567"/>
      <c r="C41" s="567"/>
      <c r="D41" s="567"/>
      <c r="E41" s="567"/>
      <c r="F41" s="567"/>
      <c r="G41" s="567"/>
      <c r="H41" s="567"/>
      <c r="I41" s="567"/>
    </row>
    <row r="42" spans="2:9" ht="15.75">
      <c r="B42" s="567"/>
      <c r="C42" s="567"/>
      <c r="D42" s="567"/>
      <c r="E42" s="567"/>
      <c r="F42" s="567"/>
      <c r="G42" s="567"/>
      <c r="H42" s="567"/>
      <c r="I42" s="567"/>
    </row>
    <row r="43" spans="2:9" ht="15.75">
      <c r="B43" s="738" t="s">
        <v>813</v>
      </c>
      <c r="C43" s="739"/>
      <c r="D43" s="739"/>
      <c r="E43" s="739"/>
      <c r="F43" s="739"/>
      <c r="G43" s="739"/>
      <c r="H43" s="739"/>
      <c r="I43" s="739"/>
    </row>
    <row r="44" spans="2:9" ht="15.75">
      <c r="B44" s="567"/>
      <c r="C44" s="567"/>
      <c r="D44" s="567"/>
      <c r="E44" s="567"/>
      <c r="F44" s="567"/>
      <c r="G44" s="567"/>
      <c r="H44" s="567"/>
      <c r="I44" s="567"/>
    </row>
    <row r="45" spans="2:9" ht="15.75">
      <c r="B45" s="584" t="s">
        <v>814</v>
      </c>
      <c r="C45" s="567"/>
      <c r="D45" s="567"/>
      <c r="E45" s="567"/>
      <c r="F45" s="567"/>
      <c r="G45" s="567"/>
      <c r="H45" s="567"/>
      <c r="I45" s="567"/>
    </row>
    <row r="46" spans="2:9" ht="15.75">
      <c r="B46" s="584" t="str">
        <f>CONCATENATE("sources in your ",G14," library fund is not equal to or greater than the amount from the same")</f>
        <v>sources in your 2013 library fund is not equal to or greater than the amount from the same</v>
      </c>
      <c r="C46" s="567"/>
      <c r="D46" s="567"/>
      <c r="E46" s="567"/>
      <c r="F46" s="567"/>
      <c r="G46" s="567"/>
      <c r="H46" s="567"/>
      <c r="I46" s="567"/>
    </row>
    <row r="47" spans="2:9" ht="15.75">
      <c r="B47" s="584" t="str">
        <f>CONCATENATE("sources in ",E14,".")</f>
        <v>sources in 2012.</v>
      </c>
      <c r="C47" s="565"/>
      <c r="D47" s="565"/>
      <c r="E47" s="565"/>
      <c r="F47" s="565"/>
      <c r="G47" s="565"/>
      <c r="H47" s="565"/>
      <c r="I47" s="565"/>
    </row>
    <row r="48" spans="2:9" ht="15.75">
      <c r="B48" s="565"/>
      <c r="C48" s="565"/>
      <c r="D48" s="565"/>
      <c r="E48" s="565"/>
      <c r="F48" s="565"/>
      <c r="G48" s="565"/>
      <c r="H48" s="565"/>
      <c r="I48" s="565"/>
    </row>
    <row r="49" spans="2:9" ht="15.75">
      <c r="B49" s="584" t="s">
        <v>815</v>
      </c>
      <c r="C49" s="584"/>
      <c r="D49" s="585"/>
      <c r="E49" s="585"/>
      <c r="F49" s="585"/>
      <c r="G49" s="585"/>
      <c r="H49" s="585"/>
      <c r="I49" s="585"/>
    </row>
    <row r="50" spans="2:9" ht="15.75">
      <c r="B50" s="584" t="s">
        <v>816</v>
      </c>
      <c r="C50" s="584"/>
      <c r="D50" s="585"/>
      <c r="E50" s="585"/>
      <c r="F50" s="585"/>
      <c r="G50" s="585"/>
      <c r="H50" s="585"/>
      <c r="I50" s="585"/>
    </row>
    <row r="51" spans="2:9" ht="15.75">
      <c r="B51" s="584" t="s">
        <v>817</v>
      </c>
      <c r="C51" s="584"/>
      <c r="D51" s="585"/>
      <c r="E51" s="585"/>
      <c r="F51" s="585"/>
      <c r="G51" s="585"/>
      <c r="H51" s="585"/>
      <c r="I51" s="585"/>
    </row>
    <row r="52" spans="2:9" ht="15">
      <c r="B52" s="585"/>
      <c r="C52" s="585"/>
      <c r="D52" s="585"/>
      <c r="E52" s="585"/>
      <c r="F52" s="585"/>
      <c r="G52" s="585"/>
      <c r="H52" s="585"/>
      <c r="I52" s="585"/>
    </row>
    <row r="53" spans="2:9" ht="15.75">
      <c r="B53" s="586" t="s">
        <v>818</v>
      </c>
      <c r="C53" s="585"/>
      <c r="D53" s="585"/>
      <c r="E53" s="585"/>
      <c r="F53" s="585"/>
      <c r="G53" s="585"/>
      <c r="H53" s="585"/>
      <c r="I53" s="585"/>
    </row>
    <row r="54" spans="2:9" ht="15">
      <c r="B54" s="585"/>
      <c r="C54" s="585"/>
      <c r="D54" s="585"/>
      <c r="E54" s="585"/>
      <c r="F54" s="585"/>
      <c r="G54" s="585"/>
      <c r="H54" s="585"/>
      <c r="I54" s="585"/>
    </row>
    <row r="55" spans="2:9" ht="15.75">
      <c r="B55" s="584" t="s">
        <v>819</v>
      </c>
      <c r="C55" s="585"/>
      <c r="D55" s="585"/>
      <c r="E55" s="585"/>
      <c r="F55" s="585"/>
      <c r="G55" s="585"/>
      <c r="H55" s="585"/>
      <c r="I55" s="585"/>
    </row>
    <row r="56" spans="2:9" ht="15.75">
      <c r="B56" s="584" t="s">
        <v>820</v>
      </c>
      <c r="C56" s="585"/>
      <c r="D56" s="585"/>
      <c r="E56" s="585"/>
      <c r="F56" s="585"/>
      <c r="G56" s="585"/>
      <c r="H56" s="585"/>
      <c r="I56" s="585"/>
    </row>
    <row r="57" spans="2:9" ht="15">
      <c r="B57" s="585"/>
      <c r="C57" s="585"/>
      <c r="D57" s="585"/>
      <c r="E57" s="585"/>
      <c r="F57" s="585"/>
      <c r="G57" s="585"/>
      <c r="H57" s="585"/>
      <c r="I57" s="585"/>
    </row>
    <row r="58" spans="2:9" ht="15.75">
      <c r="B58" s="586" t="s">
        <v>821</v>
      </c>
      <c r="C58" s="584"/>
      <c r="D58" s="584"/>
      <c r="E58" s="584"/>
      <c r="F58" s="584"/>
      <c r="G58" s="585"/>
      <c r="H58" s="585"/>
      <c r="I58" s="585"/>
    </row>
    <row r="59" spans="2:9" ht="15.75">
      <c r="B59" s="584"/>
      <c r="C59" s="584"/>
      <c r="D59" s="584"/>
      <c r="E59" s="584"/>
      <c r="F59" s="584"/>
      <c r="G59" s="585"/>
      <c r="H59" s="585"/>
      <c r="I59" s="585"/>
    </row>
    <row r="60" spans="2:9" ht="15.75">
      <c r="B60" s="584" t="s">
        <v>822</v>
      </c>
      <c r="C60" s="584"/>
      <c r="D60" s="584"/>
      <c r="E60" s="584"/>
      <c r="F60" s="584"/>
      <c r="G60" s="585"/>
      <c r="H60" s="585"/>
      <c r="I60" s="585"/>
    </row>
    <row r="61" spans="2:9" ht="15.75">
      <c r="B61" s="584" t="s">
        <v>823</v>
      </c>
      <c r="C61" s="584"/>
      <c r="D61" s="584"/>
      <c r="E61" s="584"/>
      <c r="F61" s="584"/>
      <c r="G61" s="585"/>
      <c r="H61" s="585"/>
      <c r="I61" s="585"/>
    </row>
    <row r="62" spans="2:9" ht="15.75">
      <c r="B62" s="584" t="s">
        <v>824</v>
      </c>
      <c r="C62" s="584"/>
      <c r="D62" s="584"/>
      <c r="E62" s="584"/>
      <c r="F62" s="584"/>
      <c r="G62" s="585"/>
      <c r="H62" s="585"/>
      <c r="I62" s="585"/>
    </row>
    <row r="63" spans="2:9" ht="15.75">
      <c r="B63" s="584" t="s">
        <v>825</v>
      </c>
      <c r="C63" s="584"/>
      <c r="D63" s="584"/>
      <c r="E63" s="584"/>
      <c r="F63" s="584"/>
      <c r="G63" s="585"/>
      <c r="H63" s="585"/>
      <c r="I63" s="585"/>
    </row>
    <row r="64" spans="2:9" ht="15">
      <c r="B64" s="587"/>
      <c r="C64" s="587"/>
      <c r="D64" s="587"/>
      <c r="E64" s="587"/>
      <c r="F64" s="587"/>
      <c r="G64" s="585"/>
      <c r="H64" s="585"/>
      <c r="I64" s="585"/>
    </row>
    <row r="65" spans="2:9" ht="15.75">
      <c r="B65" s="584" t="s">
        <v>826</v>
      </c>
      <c r="C65" s="587"/>
      <c r="D65" s="587"/>
      <c r="E65" s="587"/>
      <c r="F65" s="587"/>
      <c r="G65" s="585"/>
      <c r="H65" s="585"/>
      <c r="I65" s="585"/>
    </row>
    <row r="66" spans="2:9" ht="15.75">
      <c r="B66" s="584" t="s">
        <v>827</v>
      </c>
      <c r="C66" s="587"/>
      <c r="D66" s="587"/>
      <c r="E66" s="587"/>
      <c r="F66" s="587"/>
      <c r="G66" s="585"/>
      <c r="H66" s="585"/>
      <c r="I66" s="585"/>
    </row>
    <row r="67" spans="2:9" ht="15">
      <c r="B67" s="587"/>
      <c r="C67" s="587"/>
      <c r="D67" s="587"/>
      <c r="E67" s="587"/>
      <c r="F67" s="587"/>
      <c r="G67" s="585"/>
      <c r="H67" s="585"/>
      <c r="I67" s="585"/>
    </row>
    <row r="68" spans="2:9" ht="15.75">
      <c r="B68" s="584" t="s">
        <v>828</v>
      </c>
      <c r="C68" s="587"/>
      <c r="D68" s="587"/>
      <c r="E68" s="587"/>
      <c r="F68" s="587"/>
      <c r="G68" s="585"/>
      <c r="H68" s="585"/>
      <c r="I68" s="585"/>
    </row>
    <row r="69" spans="2:9" ht="15.75">
      <c r="B69" s="584" t="s">
        <v>829</v>
      </c>
      <c r="C69" s="587"/>
      <c r="D69" s="587"/>
      <c r="E69" s="587"/>
      <c r="F69" s="587"/>
      <c r="G69" s="585"/>
      <c r="H69" s="585"/>
      <c r="I69" s="585"/>
    </row>
    <row r="70" spans="2:9" ht="15">
      <c r="B70" s="587"/>
      <c r="C70" s="587"/>
      <c r="D70" s="587"/>
      <c r="E70" s="587"/>
      <c r="F70" s="587"/>
      <c r="G70" s="585"/>
      <c r="H70" s="585"/>
      <c r="I70" s="585"/>
    </row>
    <row r="71" spans="2:9" ht="15.75">
      <c r="B71" s="586" t="s">
        <v>830</v>
      </c>
      <c r="C71" s="587"/>
      <c r="D71" s="587"/>
      <c r="E71" s="587"/>
      <c r="F71" s="587"/>
      <c r="G71" s="585"/>
      <c r="H71" s="585"/>
      <c r="I71" s="585"/>
    </row>
    <row r="72" spans="2:9" ht="15">
      <c r="B72" s="587"/>
      <c r="C72" s="587"/>
      <c r="D72" s="587"/>
      <c r="E72" s="587"/>
      <c r="F72" s="587"/>
      <c r="G72" s="585"/>
      <c r="H72" s="585"/>
      <c r="I72" s="585"/>
    </row>
    <row r="73" spans="2:9" ht="15.75">
      <c r="B73" s="584" t="s">
        <v>831</v>
      </c>
      <c r="C73" s="587"/>
      <c r="D73" s="587"/>
      <c r="E73" s="587"/>
      <c r="F73" s="587"/>
      <c r="G73" s="585"/>
      <c r="H73" s="585"/>
      <c r="I73" s="585"/>
    </row>
    <row r="74" spans="2:9" ht="15.75">
      <c r="B74" s="584" t="s">
        <v>832</v>
      </c>
      <c r="C74" s="587"/>
      <c r="D74" s="587"/>
      <c r="E74" s="587"/>
      <c r="F74" s="587"/>
      <c r="G74" s="585"/>
      <c r="H74" s="585"/>
      <c r="I74" s="585"/>
    </row>
    <row r="75" spans="2:9" ht="15">
      <c r="B75" s="587"/>
      <c r="C75" s="587"/>
      <c r="D75" s="587"/>
      <c r="E75" s="587"/>
      <c r="F75" s="587"/>
      <c r="G75" s="585"/>
      <c r="H75" s="585"/>
      <c r="I75" s="585"/>
    </row>
    <row r="76" spans="2:9" ht="15.75">
      <c r="B76" s="586" t="s">
        <v>833</v>
      </c>
      <c r="C76" s="587"/>
      <c r="D76" s="587"/>
      <c r="E76" s="587"/>
      <c r="F76" s="587"/>
      <c r="G76" s="585"/>
      <c r="H76" s="585"/>
      <c r="I76" s="585"/>
    </row>
    <row r="77" spans="2:9" ht="15">
      <c r="B77" s="587"/>
      <c r="C77" s="587"/>
      <c r="D77" s="587"/>
      <c r="E77" s="587"/>
      <c r="F77" s="587"/>
      <c r="G77" s="585"/>
      <c r="H77" s="585"/>
      <c r="I77" s="585"/>
    </row>
    <row r="78" spans="2:9" ht="15.75">
      <c r="B78" s="584" t="str">
        <f>CONCATENATE("If the ",G14," municipal budget has not been published and has not been submitted to the County")</f>
        <v>If the 2013 municipal budget has not been published and has not been submitted to the County</v>
      </c>
      <c r="C78" s="587"/>
      <c r="D78" s="587"/>
      <c r="E78" s="587"/>
      <c r="F78" s="587"/>
      <c r="G78" s="585"/>
      <c r="H78" s="585"/>
      <c r="I78" s="585"/>
    </row>
    <row r="79" spans="2:9" ht="15.75">
      <c r="B79" s="584" t="s">
        <v>834</v>
      </c>
      <c r="C79" s="587"/>
      <c r="D79" s="587"/>
      <c r="E79" s="587"/>
      <c r="F79" s="587"/>
      <c r="G79" s="585"/>
      <c r="H79" s="585"/>
      <c r="I79" s="585"/>
    </row>
    <row r="80" spans="2:9" ht="15">
      <c r="B80" s="587"/>
      <c r="C80" s="587"/>
      <c r="D80" s="587"/>
      <c r="E80" s="587"/>
      <c r="F80" s="587"/>
      <c r="G80" s="585"/>
      <c r="H80" s="585"/>
      <c r="I80" s="585"/>
    </row>
    <row r="81" spans="2:9" ht="15.75">
      <c r="B81" s="586" t="s">
        <v>433</v>
      </c>
      <c r="C81" s="587"/>
      <c r="D81" s="587"/>
      <c r="E81" s="587"/>
      <c r="F81" s="587"/>
      <c r="G81" s="585"/>
      <c r="H81" s="585"/>
      <c r="I81" s="585"/>
    </row>
    <row r="82" spans="2:9" ht="15">
      <c r="B82" s="587"/>
      <c r="C82" s="587"/>
      <c r="D82" s="587"/>
      <c r="E82" s="587"/>
      <c r="F82" s="587"/>
      <c r="G82" s="585"/>
      <c r="H82" s="585"/>
      <c r="I82" s="585"/>
    </row>
    <row r="83" spans="2:9" ht="15.75">
      <c r="B83" s="584" t="s">
        <v>835</v>
      </c>
      <c r="C83" s="587"/>
      <c r="D83" s="587"/>
      <c r="E83" s="587"/>
      <c r="F83" s="587"/>
      <c r="G83" s="585"/>
      <c r="H83" s="585"/>
      <c r="I83" s="585"/>
    </row>
    <row r="84" spans="2:9" ht="15.75">
      <c r="B84" s="584" t="str">
        <f>CONCATENATE("Budget Year ",G14," is equal to or greater than that for Current Year Estimate ",E14,".")</f>
        <v>Budget Year 2013 is equal to or greater than that for Current Year Estimate 2012.</v>
      </c>
      <c r="C84" s="587"/>
      <c r="D84" s="587"/>
      <c r="E84" s="587"/>
      <c r="F84" s="587"/>
      <c r="G84" s="585"/>
      <c r="H84" s="585"/>
      <c r="I84" s="585"/>
    </row>
    <row r="85" spans="2:9" ht="15">
      <c r="B85" s="587"/>
      <c r="C85" s="587"/>
      <c r="D85" s="587"/>
      <c r="E85" s="587"/>
      <c r="F85" s="587"/>
      <c r="G85" s="585"/>
      <c r="H85" s="585"/>
      <c r="I85" s="585"/>
    </row>
    <row r="86" spans="2:9" ht="15.75">
      <c r="B86" s="584" t="s">
        <v>836</v>
      </c>
      <c r="C86" s="587"/>
      <c r="D86" s="587"/>
      <c r="E86" s="587"/>
      <c r="F86" s="587"/>
      <c r="G86" s="585"/>
      <c r="H86" s="585"/>
      <c r="I86" s="585"/>
    </row>
    <row r="87" spans="2:9" ht="15.75">
      <c r="B87" s="584" t="s">
        <v>837</v>
      </c>
      <c r="C87" s="587"/>
      <c r="D87" s="587"/>
      <c r="E87" s="587"/>
      <c r="F87" s="587"/>
      <c r="G87" s="585"/>
      <c r="H87" s="585"/>
      <c r="I87" s="585"/>
    </row>
    <row r="88" spans="2:9" ht="15.75">
      <c r="B88" s="584" t="s">
        <v>838</v>
      </c>
      <c r="C88" s="587"/>
      <c r="D88" s="587"/>
      <c r="E88" s="587"/>
      <c r="F88" s="587"/>
      <c r="G88" s="585"/>
      <c r="H88" s="585"/>
      <c r="I88" s="585"/>
    </row>
    <row r="89" spans="2:9" ht="15.75">
      <c r="B89" s="584" t="str">
        <f>CONCATENATE("purpose for the previous (",E14,") year.")</f>
        <v>purpose for the previous (2012) year.</v>
      </c>
      <c r="C89" s="587"/>
      <c r="D89" s="587"/>
      <c r="E89" s="587"/>
      <c r="F89" s="587"/>
      <c r="G89" s="585"/>
      <c r="H89" s="585"/>
      <c r="I89" s="585"/>
    </row>
    <row r="90" spans="2:9" ht="15">
      <c r="B90" s="587"/>
      <c r="C90" s="587"/>
      <c r="D90" s="587"/>
      <c r="E90" s="587"/>
      <c r="F90" s="587"/>
      <c r="G90" s="585"/>
      <c r="H90" s="585"/>
      <c r="I90" s="585"/>
    </row>
    <row r="91" spans="2:9" ht="15.75">
      <c r="B91" s="584" t="str">
        <f>CONCATENATE("Next, look to see if delinquent tax for ",G14," is budgeted. Often this line is budgeted at $0 or left")</f>
        <v>Next, look to see if delinquent tax for 2013 is budgeted. Often this line is budgeted at $0 or left</v>
      </c>
      <c r="C91" s="587"/>
      <c r="D91" s="587"/>
      <c r="E91" s="587"/>
      <c r="F91" s="587"/>
      <c r="G91" s="585"/>
      <c r="H91" s="585"/>
      <c r="I91" s="585"/>
    </row>
    <row r="92" spans="2:9" ht="15.75">
      <c r="B92" s="584" t="s">
        <v>839</v>
      </c>
      <c r="C92" s="587"/>
      <c r="D92" s="587"/>
      <c r="E92" s="587"/>
      <c r="F92" s="587"/>
      <c r="G92" s="585"/>
      <c r="H92" s="585"/>
      <c r="I92" s="585"/>
    </row>
    <row r="93" spans="2:9" ht="15.75">
      <c r="B93" s="584" t="s">
        <v>840</v>
      </c>
      <c r="C93" s="587"/>
      <c r="D93" s="587"/>
      <c r="E93" s="587"/>
      <c r="F93" s="587"/>
      <c r="G93" s="585"/>
      <c r="H93" s="585"/>
      <c r="I93" s="585"/>
    </row>
    <row r="94" spans="2:9" ht="15.75">
      <c r="B94" s="584" t="s">
        <v>841</v>
      </c>
      <c r="C94" s="587"/>
      <c r="D94" s="587"/>
      <c r="E94" s="587"/>
      <c r="F94" s="587"/>
      <c r="G94" s="585"/>
      <c r="H94" s="585"/>
      <c r="I94" s="585"/>
    </row>
    <row r="95" spans="2:9" ht="15">
      <c r="B95" s="587"/>
      <c r="C95" s="587"/>
      <c r="D95" s="587"/>
      <c r="E95" s="587"/>
      <c r="F95" s="587"/>
      <c r="G95" s="585"/>
      <c r="H95" s="585"/>
      <c r="I95" s="585"/>
    </row>
    <row r="96" spans="2:9" ht="15.75">
      <c r="B96" s="586" t="s">
        <v>842</v>
      </c>
      <c r="C96" s="587"/>
      <c r="D96" s="587"/>
      <c r="E96" s="587"/>
      <c r="F96" s="587"/>
      <c r="G96" s="585"/>
      <c r="H96" s="585"/>
      <c r="I96" s="585"/>
    </row>
    <row r="97" spans="2:9" ht="15">
      <c r="B97" s="587"/>
      <c r="C97" s="587"/>
      <c r="D97" s="587"/>
      <c r="E97" s="587"/>
      <c r="F97" s="587"/>
      <c r="G97" s="585"/>
      <c r="H97" s="585"/>
      <c r="I97" s="585"/>
    </row>
    <row r="98" spans="2:9" ht="15.75">
      <c r="B98" s="584" t="s">
        <v>843</v>
      </c>
      <c r="C98" s="587"/>
      <c r="D98" s="587"/>
      <c r="E98" s="587"/>
      <c r="F98" s="587"/>
      <c r="G98" s="585"/>
      <c r="H98" s="585"/>
      <c r="I98" s="585"/>
    </row>
    <row r="99" spans="2:9" ht="15.75">
      <c r="B99" s="584" t="s">
        <v>844</v>
      </c>
      <c r="C99" s="587"/>
      <c r="D99" s="587"/>
      <c r="E99" s="587"/>
      <c r="F99" s="587"/>
      <c r="G99" s="585"/>
      <c r="H99" s="585"/>
      <c r="I99" s="585"/>
    </row>
    <row r="100" spans="2:9" ht="15">
      <c r="B100" s="587"/>
      <c r="C100" s="587"/>
      <c r="D100" s="587"/>
      <c r="E100" s="587"/>
      <c r="F100" s="587"/>
      <c r="G100" s="585"/>
      <c r="H100" s="585"/>
      <c r="I100" s="585"/>
    </row>
    <row r="101" spans="2:9" ht="15.75">
      <c r="B101" s="584" t="s">
        <v>845</v>
      </c>
      <c r="C101" s="587"/>
      <c r="D101" s="587"/>
      <c r="E101" s="587"/>
      <c r="F101" s="587"/>
      <c r="G101" s="585"/>
      <c r="H101" s="585"/>
      <c r="I101" s="585"/>
    </row>
    <row r="102" spans="2:9" ht="15.75">
      <c r="B102" s="584" t="s">
        <v>846</v>
      </c>
      <c r="C102" s="587"/>
      <c r="D102" s="587"/>
      <c r="E102" s="587"/>
      <c r="F102" s="587"/>
      <c r="G102" s="585"/>
      <c r="H102" s="585"/>
      <c r="I102" s="585"/>
    </row>
    <row r="103" spans="2:9" ht="15.75">
      <c r="B103" s="584" t="s">
        <v>847</v>
      </c>
      <c r="C103" s="587"/>
      <c r="D103" s="587"/>
      <c r="E103" s="587"/>
      <c r="F103" s="587"/>
      <c r="G103" s="585"/>
      <c r="H103" s="585"/>
      <c r="I103" s="585"/>
    </row>
    <row r="104" spans="2:9" ht="15.75">
      <c r="B104" s="584" t="s">
        <v>848</v>
      </c>
      <c r="C104" s="587"/>
      <c r="D104" s="587"/>
      <c r="E104" s="587"/>
      <c r="F104" s="587"/>
      <c r="G104" s="585"/>
      <c r="H104" s="585"/>
      <c r="I104" s="585"/>
    </row>
    <row r="105" spans="2:9" ht="15.75">
      <c r="B105" s="667" t="s">
        <v>954</v>
      </c>
      <c r="C105" s="668"/>
      <c r="D105" s="668"/>
      <c r="E105" s="668"/>
      <c r="F105" s="668"/>
      <c r="G105" s="585"/>
      <c r="H105" s="585"/>
      <c r="I105" s="585"/>
    </row>
    <row r="108" ht="15">
      <c r="G108" s="588"/>
    </row>
  </sheetData>
  <sheetProtection/>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84"/>
  <sheetViews>
    <sheetView zoomScalePageLayoutView="0" workbookViewId="0" topLeftCell="A43">
      <selection activeCell="E44" sqref="E44"/>
    </sheetView>
  </sheetViews>
  <sheetFormatPr defaultColWidth="8.796875" defaultRowHeight="15"/>
  <cols>
    <col min="1" max="1" width="2.3984375" style="24" customWidth="1"/>
    <col min="2" max="2" width="31.09765625" style="24" customWidth="1"/>
    <col min="3" max="4" width="15.796875" style="24" customWidth="1"/>
    <col min="5" max="5" width="16.19921875" style="24" customWidth="1"/>
    <col min="6" max="6" width="6.796875" style="24" customWidth="1"/>
    <col min="7" max="7" width="7.09765625" style="24" customWidth="1"/>
    <col min="8" max="8" width="8.8984375" style="24" customWidth="1"/>
    <col min="9" max="9" width="5" style="24" customWidth="1"/>
    <col min="10" max="10" width="7.796875" style="24" customWidth="1"/>
    <col min="11" max="16384" width="8.8984375" style="24" customWidth="1"/>
  </cols>
  <sheetData>
    <row r="1" spans="2:5" ht="15.75">
      <c r="B1" s="183" t="str">
        <f>(inputPrYr!D3)</f>
        <v>City of Vining</v>
      </c>
      <c r="C1" s="28"/>
      <c r="D1" s="28"/>
      <c r="E1" s="139">
        <f>inputPrYr!$C$10</f>
        <v>2013</v>
      </c>
    </row>
    <row r="2" spans="2:5" ht="15.75">
      <c r="B2" s="28"/>
      <c r="C2" s="28"/>
      <c r="D2" s="28"/>
      <c r="E2" s="199"/>
    </row>
    <row r="3" spans="2:5" ht="15.75">
      <c r="B3" s="46"/>
      <c r="C3" s="206"/>
      <c r="D3" s="206"/>
      <c r="E3" s="141"/>
    </row>
    <row r="4" spans="2:5" ht="15.75">
      <c r="B4" s="46" t="s">
        <v>107</v>
      </c>
      <c r="C4" s="266"/>
      <c r="D4" s="266"/>
      <c r="E4" s="266"/>
    </row>
    <row r="5" spans="2:5" ht="15.75">
      <c r="B5" s="34" t="s">
        <v>48</v>
      </c>
      <c r="C5" s="599" t="s">
        <v>853</v>
      </c>
      <c r="D5" s="600" t="s">
        <v>854</v>
      </c>
      <c r="E5" s="152" t="s">
        <v>855</v>
      </c>
    </row>
    <row r="6" spans="2:5" ht="15.75">
      <c r="B6" s="524" t="str">
        <f>+(inputPrYr!B22)</f>
        <v>General</v>
      </c>
      <c r="C6" s="561" t="str">
        <f>CONCATENATE("Actual for ",E1-2,"")</f>
        <v>Actual for 2011</v>
      </c>
      <c r="D6" s="561" t="str">
        <f>CONCATENATE("Estimate for ",E1-1,"")</f>
        <v>Estimate for 2012</v>
      </c>
      <c r="E6" s="214" t="str">
        <f>CONCATENATE("Year for ",E1,"")</f>
        <v>Year for 2013</v>
      </c>
    </row>
    <row r="7" spans="2:5" ht="15.75">
      <c r="B7" s="113" t="s">
        <v>163</v>
      </c>
      <c r="C7" s="393">
        <v>19156.01</v>
      </c>
      <c r="D7" s="394">
        <f>C62</f>
        <v>21140.009999999995</v>
      </c>
      <c r="E7" s="267">
        <f>D62</f>
        <v>23639.009999999995</v>
      </c>
    </row>
    <row r="8" spans="2:5" ht="15.75">
      <c r="B8" s="268" t="s">
        <v>165</v>
      </c>
      <c r="C8" s="395"/>
      <c r="D8" s="394"/>
      <c r="E8" s="267"/>
    </row>
    <row r="9" spans="2:5" ht="15.75">
      <c r="B9" s="113" t="s">
        <v>49</v>
      </c>
      <c r="C9" s="393">
        <v>7628</v>
      </c>
      <c r="D9" s="395">
        <f>IF(inputPrYr!H21&gt;0,inputPrYr!G22,inputPrYr!E22)</f>
        <v>8959</v>
      </c>
      <c r="E9" s="269" t="s">
        <v>36</v>
      </c>
    </row>
    <row r="10" spans="2:5" ht="15.75">
      <c r="B10" s="113" t="s">
        <v>50</v>
      </c>
      <c r="C10" s="393">
        <v>0</v>
      </c>
      <c r="D10" s="393"/>
      <c r="E10" s="270"/>
    </row>
    <row r="11" spans="2:5" ht="15.75">
      <c r="B11" s="113" t="s">
        <v>51</v>
      </c>
      <c r="C11" s="393">
        <v>0</v>
      </c>
      <c r="D11" s="393">
        <v>1890</v>
      </c>
      <c r="E11" s="271">
        <f>Mvalloc!D8</f>
        <v>1242</v>
      </c>
    </row>
    <row r="12" spans="2:5" ht="15.75">
      <c r="B12" s="113" t="s">
        <v>52</v>
      </c>
      <c r="C12" s="393"/>
      <c r="D12" s="393"/>
      <c r="E12" s="271">
        <f>Mvalloc!E8</f>
        <v>17</v>
      </c>
    </row>
    <row r="13" spans="2:5" ht="15.75">
      <c r="B13" s="272" t="s">
        <v>103</v>
      </c>
      <c r="C13" s="393"/>
      <c r="D13" s="393">
        <v>0</v>
      </c>
      <c r="E13" s="271">
        <f>Mvalloc!F8</f>
        <v>29</v>
      </c>
    </row>
    <row r="14" spans="2:5" ht="15.75">
      <c r="B14" s="272" t="s">
        <v>146</v>
      </c>
      <c r="C14" s="393"/>
      <c r="D14" s="393"/>
      <c r="E14" s="271">
        <f>inputOth!E24</f>
        <v>0</v>
      </c>
    </row>
    <row r="15" spans="2:5" ht="15.75">
      <c r="B15" s="272" t="s">
        <v>10</v>
      </c>
      <c r="C15" s="393"/>
      <c r="D15" s="393"/>
      <c r="E15" s="271">
        <f>inputOth!E56</f>
        <v>0</v>
      </c>
    </row>
    <row r="16" spans="2:5" ht="15.75">
      <c r="B16" s="272" t="s">
        <v>12</v>
      </c>
      <c r="C16" s="393"/>
      <c r="D16" s="393"/>
      <c r="E16" s="271">
        <f>inputOth!E57</f>
        <v>0</v>
      </c>
    </row>
    <row r="17" spans="2:5" ht="15.75">
      <c r="B17" s="393"/>
      <c r="C17" s="393"/>
      <c r="D17" s="393"/>
      <c r="E17" s="270"/>
    </row>
    <row r="18" spans="2:5" ht="15.75">
      <c r="B18" s="273" t="s">
        <v>53</v>
      </c>
      <c r="C18" s="393">
        <v>2672</v>
      </c>
      <c r="D18" s="393">
        <v>2800</v>
      </c>
      <c r="E18" s="270">
        <v>3000</v>
      </c>
    </row>
    <row r="19" spans="2:5" ht="15.75">
      <c r="B19" s="273" t="s">
        <v>757</v>
      </c>
      <c r="C19" s="393"/>
      <c r="D19" s="393"/>
      <c r="E19" s="270"/>
    </row>
    <row r="20" spans="2:5" ht="15.75">
      <c r="B20" s="273" t="s">
        <v>139</v>
      </c>
      <c r="C20" s="393">
        <v>1893</v>
      </c>
      <c r="D20" s="393">
        <v>1800</v>
      </c>
      <c r="E20" s="274">
        <v>2000</v>
      </c>
    </row>
    <row r="21" spans="2:5" ht="15.75">
      <c r="B21" s="273" t="s">
        <v>140</v>
      </c>
      <c r="C21" s="393">
        <v>3562</v>
      </c>
      <c r="D21" s="393">
        <v>3500</v>
      </c>
      <c r="E21" s="270">
        <v>4000</v>
      </c>
    </row>
    <row r="22" spans="2:5" ht="15.75">
      <c r="B22" s="273" t="s">
        <v>141</v>
      </c>
      <c r="C22" s="393">
        <v>50</v>
      </c>
      <c r="D22" s="393">
        <v>50</v>
      </c>
      <c r="E22" s="270">
        <v>50</v>
      </c>
    </row>
    <row r="23" spans="2:5" ht="15.75">
      <c r="B23" s="273" t="s">
        <v>142</v>
      </c>
      <c r="C23" s="393"/>
      <c r="D23" s="393"/>
      <c r="E23" s="270"/>
    </row>
    <row r="24" spans="2:5" ht="15.75">
      <c r="B24" s="273" t="s">
        <v>963</v>
      </c>
      <c r="C24" s="393">
        <v>51</v>
      </c>
      <c r="D24" s="393">
        <v>61</v>
      </c>
      <c r="E24" s="270">
        <v>60</v>
      </c>
    </row>
    <row r="25" spans="2:5" ht="15.75">
      <c r="B25" s="273"/>
      <c r="C25" s="393"/>
      <c r="D25" s="393"/>
      <c r="E25" s="270"/>
    </row>
    <row r="26" spans="2:5" ht="15.75">
      <c r="B26" s="273"/>
      <c r="C26" s="393"/>
      <c r="D26" s="393"/>
      <c r="E26" s="270"/>
    </row>
    <row r="27" spans="2:5" ht="15.75">
      <c r="B27" s="273"/>
      <c r="C27" s="393"/>
      <c r="D27" s="393"/>
      <c r="E27" s="270"/>
    </row>
    <row r="28" spans="2:5" ht="15.75">
      <c r="B28" s="273" t="s">
        <v>54</v>
      </c>
      <c r="C28" s="393"/>
      <c r="D28" s="393"/>
      <c r="E28" s="270"/>
    </row>
    <row r="29" spans="2:5" ht="15.75">
      <c r="B29" s="275" t="s">
        <v>55</v>
      </c>
      <c r="C29" s="393">
        <v>56</v>
      </c>
      <c r="D29" s="393">
        <v>61</v>
      </c>
      <c r="E29" s="270">
        <v>60</v>
      </c>
    </row>
    <row r="30" spans="2:5" ht="15.75">
      <c r="B30" s="167" t="s">
        <v>143</v>
      </c>
      <c r="C30" s="393">
        <v>651</v>
      </c>
      <c r="D30" s="393"/>
      <c r="E30" s="276"/>
    </row>
    <row r="31" spans="2:5" ht="15.75">
      <c r="B31" s="167" t="s">
        <v>665</v>
      </c>
      <c r="C31" s="396">
        <f>IF(C32*0.1&lt;C30,"Exceed 10% Rule","")</f>
      </c>
      <c r="D31" s="396">
        <f>IF(D32*0.1&lt;D30,"Exceed 10% Rule","")</f>
      </c>
      <c r="E31" s="277">
        <f>IF(E32*0.1+E68&lt;E30,"Exceed 10% Rule","")</f>
      </c>
    </row>
    <row r="32" spans="2:5" ht="15.75">
      <c r="B32" s="278" t="s">
        <v>56</v>
      </c>
      <c r="C32" s="397">
        <f>SUM(C9:C30)</f>
        <v>16563</v>
      </c>
      <c r="D32" s="398">
        <f>SUM(D9:D30)</f>
        <v>19121</v>
      </c>
      <c r="E32" s="279">
        <f>SUM(E9:E30)</f>
        <v>10458</v>
      </c>
    </row>
    <row r="33" spans="2:5" ht="15.75">
      <c r="B33" s="278" t="s">
        <v>57</v>
      </c>
      <c r="C33" s="398">
        <f>C7+C32</f>
        <v>35719.009999999995</v>
      </c>
      <c r="D33" s="398">
        <f>D7+D32</f>
        <v>40261.009999999995</v>
      </c>
      <c r="E33" s="280">
        <f>E7+E32</f>
        <v>34097.009999999995</v>
      </c>
    </row>
    <row r="34" spans="2:5" ht="15.75">
      <c r="B34" s="268" t="s">
        <v>58</v>
      </c>
      <c r="C34" s="395"/>
      <c r="D34" s="395"/>
      <c r="E34" s="271"/>
    </row>
    <row r="35" spans="2:5" ht="15.75">
      <c r="B35" s="281" t="s">
        <v>173</v>
      </c>
      <c r="C35" s="393">
        <v>2027</v>
      </c>
      <c r="D35" s="393">
        <v>3000</v>
      </c>
      <c r="E35" s="270">
        <v>3500</v>
      </c>
    </row>
    <row r="36" spans="2:5" ht="15.75">
      <c r="B36" s="281" t="s">
        <v>176</v>
      </c>
      <c r="C36" s="393"/>
      <c r="D36" s="393"/>
      <c r="E36" s="270"/>
    </row>
    <row r="37" spans="2:5" ht="15.75">
      <c r="B37" s="281" t="s">
        <v>964</v>
      </c>
      <c r="C37" s="393">
        <v>3156</v>
      </c>
      <c r="D37" s="393">
        <v>3200</v>
      </c>
      <c r="E37" s="270">
        <v>5000</v>
      </c>
    </row>
    <row r="38" spans="2:5" ht="15.75">
      <c r="B38" s="281" t="s">
        <v>965</v>
      </c>
      <c r="C38" s="393">
        <v>89</v>
      </c>
      <c r="D38" s="393">
        <v>90</v>
      </c>
      <c r="E38" s="270">
        <v>100</v>
      </c>
    </row>
    <row r="39" spans="2:5" ht="15.75">
      <c r="B39" s="281" t="s">
        <v>966</v>
      </c>
      <c r="C39" s="393">
        <v>832</v>
      </c>
      <c r="D39" s="393">
        <v>900</v>
      </c>
      <c r="E39" s="270">
        <v>2500</v>
      </c>
    </row>
    <row r="40" spans="2:5" ht="15.75">
      <c r="B40" s="281" t="s">
        <v>967</v>
      </c>
      <c r="C40" s="393">
        <v>920</v>
      </c>
      <c r="D40" s="393">
        <v>982</v>
      </c>
      <c r="E40" s="270">
        <v>1000</v>
      </c>
    </row>
    <row r="41" spans="2:5" ht="15.75">
      <c r="B41" s="281" t="s">
        <v>968</v>
      </c>
      <c r="C41" s="393">
        <v>926</v>
      </c>
      <c r="D41" s="393">
        <v>1000</v>
      </c>
      <c r="E41" s="270">
        <v>8000</v>
      </c>
    </row>
    <row r="42" spans="2:5" ht="15.75">
      <c r="B42" s="281" t="s">
        <v>969</v>
      </c>
      <c r="C42" s="393">
        <v>270</v>
      </c>
      <c r="D42" s="393">
        <v>300</v>
      </c>
      <c r="E42" s="270">
        <v>800</v>
      </c>
    </row>
    <row r="43" spans="2:5" ht="15.75">
      <c r="B43" s="281" t="s">
        <v>970</v>
      </c>
      <c r="C43" s="393"/>
      <c r="D43" s="393"/>
      <c r="E43" s="270">
        <v>10000</v>
      </c>
    </row>
    <row r="44" spans="2:5" ht="15.75">
      <c r="B44" s="281" t="s">
        <v>971</v>
      </c>
      <c r="C44" s="393">
        <v>0</v>
      </c>
      <c r="D44" s="393">
        <v>700</v>
      </c>
      <c r="E44" s="270">
        <v>700</v>
      </c>
    </row>
    <row r="45" spans="2:5" ht="15.75">
      <c r="B45" s="281" t="s">
        <v>972</v>
      </c>
      <c r="C45" s="393">
        <v>6000</v>
      </c>
      <c r="D45" s="393">
        <v>6000</v>
      </c>
      <c r="E45" s="270">
        <v>10000</v>
      </c>
    </row>
    <row r="46" spans="2:5" ht="15.75">
      <c r="B46" s="281" t="s">
        <v>973</v>
      </c>
      <c r="C46" s="393">
        <v>48</v>
      </c>
      <c r="D46" s="393">
        <v>50</v>
      </c>
      <c r="E46" s="270">
        <v>50</v>
      </c>
    </row>
    <row r="47" spans="2:5" ht="15.75">
      <c r="B47" s="281" t="s">
        <v>975</v>
      </c>
      <c r="C47" s="393">
        <v>0</v>
      </c>
      <c r="D47" s="393">
        <v>0</v>
      </c>
      <c r="E47" s="270">
        <v>0</v>
      </c>
    </row>
    <row r="48" spans="2:5" ht="15.75">
      <c r="B48" s="281" t="s">
        <v>974</v>
      </c>
      <c r="C48" s="393">
        <v>311</v>
      </c>
      <c r="D48" s="393">
        <v>400</v>
      </c>
      <c r="E48" s="270">
        <v>500</v>
      </c>
    </row>
    <row r="49" spans="2:5" ht="15.75">
      <c r="B49" s="281" t="s">
        <v>976</v>
      </c>
      <c r="C49" s="393"/>
      <c r="D49" s="393">
        <v>0</v>
      </c>
      <c r="E49" s="270">
        <v>0</v>
      </c>
    </row>
    <row r="50" spans="2:5" ht="15.75">
      <c r="B50" s="281"/>
      <c r="C50" s="393"/>
      <c r="D50" s="393"/>
      <c r="E50" s="270"/>
    </row>
    <row r="51" spans="2:5" ht="15.75">
      <c r="B51" s="281"/>
      <c r="C51" s="393"/>
      <c r="D51" s="393"/>
      <c r="E51" s="270"/>
    </row>
    <row r="52" spans="2:10" ht="15.75">
      <c r="B52" s="281"/>
      <c r="C52" s="393"/>
      <c r="D52" s="393"/>
      <c r="E52" s="270"/>
      <c r="G52" s="740" t="str">
        <f>CONCATENATE("Desired Carryover Into ",E1+1,"")</f>
        <v>Desired Carryover Into 2014</v>
      </c>
      <c r="H52" s="741"/>
      <c r="I52" s="741"/>
      <c r="J52" s="742"/>
    </row>
    <row r="53" spans="2:10" ht="15.75">
      <c r="B53" s="281"/>
      <c r="C53" s="393"/>
      <c r="D53" s="393"/>
      <c r="E53" s="270"/>
      <c r="G53" s="504"/>
      <c r="H53" s="488"/>
      <c r="I53" s="495"/>
      <c r="J53" s="505"/>
    </row>
    <row r="54" spans="2:10" ht="15.75">
      <c r="B54" s="281"/>
      <c r="C54" s="393"/>
      <c r="D54" s="393"/>
      <c r="E54" s="270"/>
      <c r="G54" s="501" t="s">
        <v>758</v>
      </c>
      <c r="H54" s="495"/>
      <c r="I54" s="495"/>
      <c r="J54" s="489">
        <v>0</v>
      </c>
    </row>
    <row r="55" spans="2:10" ht="15.75">
      <c r="B55" s="281"/>
      <c r="C55" s="393"/>
      <c r="D55" s="393"/>
      <c r="E55" s="270"/>
      <c r="G55" s="504" t="s">
        <v>759</v>
      </c>
      <c r="H55" s="488"/>
      <c r="I55" s="488"/>
      <c r="J55" s="647">
        <f>IF(J54=0,"",ROUND((J54+E68-G67)/inputOth!B14*1000,3)-G72)</f>
      </c>
    </row>
    <row r="56" spans="2:10" ht="15.75">
      <c r="B56" s="281"/>
      <c r="C56" s="393"/>
      <c r="D56" s="393"/>
      <c r="E56" s="270"/>
      <c r="G56" s="627" t="str">
        <f>CONCATENATE("",E1," Tot Exp/Non-Appr Must Be:")</f>
        <v>2013 Tot Exp/Non-Appr Must Be:</v>
      </c>
      <c r="H56" s="564"/>
      <c r="I56" s="628"/>
      <c r="J56" s="629">
        <f>IF(J54&gt;0,IF(E65&lt;E33,IF(J54=G67,E65,((J54-G67)*(1-D67))+E33),E65+(J54-G67)),0)</f>
        <v>0</v>
      </c>
    </row>
    <row r="57" spans="2:10" ht="15.75">
      <c r="B57" s="281"/>
      <c r="C57" s="393"/>
      <c r="D57" s="393"/>
      <c r="E57" s="270"/>
      <c r="G57" s="630" t="s">
        <v>864</v>
      </c>
      <c r="H57" s="631"/>
      <c r="I57" s="631"/>
      <c r="J57" s="632">
        <f>IF(J54&gt;0,J56-E65,0)</f>
        <v>0</v>
      </c>
    </row>
    <row r="58" spans="2:5" ht="15.75">
      <c r="B58" s="167" t="s">
        <v>280</v>
      </c>
      <c r="C58" s="393"/>
      <c r="D58" s="393"/>
      <c r="E58" s="282">
        <f>nhood!E7</f>
      </c>
    </row>
    <row r="59" spans="2:10" ht="15.75">
      <c r="B59" s="167" t="s">
        <v>143</v>
      </c>
      <c r="C59" s="393"/>
      <c r="D59" s="393"/>
      <c r="E59" s="270"/>
      <c r="G59" s="740" t="str">
        <f>CONCATENATE("Projected Carryover Into ",E1+1,"")</f>
        <v>Projected Carryover Into 2014</v>
      </c>
      <c r="H59" s="741"/>
      <c r="I59" s="741"/>
      <c r="J59" s="742"/>
    </row>
    <row r="60" spans="2:10" ht="15.75">
      <c r="B60" s="167" t="s">
        <v>666</v>
      </c>
      <c r="C60" s="396">
        <f>IF(C61*0.1&lt;C59,"Exceed 10% Rule","")</f>
      </c>
      <c r="D60" s="396">
        <f>IF(D61*0.1&lt;D59,"Exceed 10% Rule","")</f>
      </c>
      <c r="E60" s="277">
        <f>IF(E61*0.1&lt;E59,"Exceed 10% Rule","")</f>
      </c>
      <c r="G60" s="490"/>
      <c r="H60" s="488"/>
      <c r="I60" s="488"/>
      <c r="J60" s="491"/>
    </row>
    <row r="61" spans="2:10" ht="15.75">
      <c r="B61" s="278" t="s">
        <v>59</v>
      </c>
      <c r="C61" s="397">
        <f>SUM(C35:C59)</f>
        <v>14579</v>
      </c>
      <c r="D61" s="398">
        <f>SUM(D35:D59)</f>
        <v>16622</v>
      </c>
      <c r="E61" s="279">
        <f>SUM(E35:E59)</f>
        <v>42150</v>
      </c>
      <c r="G61" s="492">
        <f>D62</f>
        <v>23639.009999999995</v>
      </c>
      <c r="H61" s="493" t="str">
        <f>CONCATENATE("",E1-1," Ending Cash Balance (est.)")</f>
        <v>2012 Ending Cash Balance (est.)</v>
      </c>
      <c r="I61" s="494"/>
      <c r="J61" s="491"/>
    </row>
    <row r="62" spans="2:10" ht="15.75">
      <c r="B62" s="113" t="s">
        <v>164</v>
      </c>
      <c r="C62" s="399">
        <f>C33-C61</f>
        <v>21140.009999999995</v>
      </c>
      <c r="D62" s="399">
        <f>D33-D61</f>
        <v>23639.009999999995</v>
      </c>
      <c r="E62" s="269" t="s">
        <v>36</v>
      </c>
      <c r="G62" s="492">
        <f>E32</f>
        <v>10458</v>
      </c>
      <c r="H62" s="495" t="str">
        <f>CONCATENATE("",E1," Non-AV Receipts (est.)")</f>
        <v>2013 Non-AV Receipts (est.)</v>
      </c>
      <c r="I62" s="494"/>
      <c r="J62" s="491"/>
    </row>
    <row r="63" spans="2:11" ht="15.75">
      <c r="B63" s="192" t="str">
        <f>CONCATENATE("",E1-2,"/",E1-1," Budget Authority Amount:")</f>
        <v>2011/2012 Budget Authority Amount:</v>
      </c>
      <c r="C63" s="203">
        <f>inputOth!B75</f>
        <v>26100</v>
      </c>
      <c r="D63" s="203">
        <f>inputPrYr!D22</f>
        <v>28798</v>
      </c>
      <c r="E63" s="269" t="s">
        <v>36</v>
      </c>
      <c r="F63" s="283"/>
      <c r="G63" s="496">
        <f>IF(E67&gt;0,E66,E68)</f>
        <v>8052.990000000005</v>
      </c>
      <c r="H63" s="495" t="str">
        <f>CONCATENATE("",E1," Ad Valorem Tax (est.)")</f>
        <v>2013 Ad Valorem Tax (est.)</v>
      </c>
      <c r="I63" s="494"/>
      <c r="J63" s="491"/>
      <c r="K63" s="635">
        <f>IF(G63=E68,"","Note: Does not include Delinquent Taxes")</f>
      </c>
    </row>
    <row r="64" spans="2:10" ht="15.75">
      <c r="B64" s="192"/>
      <c r="C64" s="750" t="s">
        <v>745</v>
      </c>
      <c r="D64" s="751"/>
      <c r="E64" s="52">
        <v>0</v>
      </c>
      <c r="F64" s="648">
        <f>IF(E61/0.95-E61&lt;E64,"Exceeds 5%","")</f>
      </c>
      <c r="G64" s="492">
        <f>SUM(G61:G63)</f>
        <v>42150</v>
      </c>
      <c r="H64" s="495" t="str">
        <f>CONCATENATE("Total ",E1," Resources Available")</f>
        <v>Total 2013 Resources Available</v>
      </c>
      <c r="I64" s="494"/>
      <c r="J64" s="491"/>
    </row>
    <row r="65" spans="2:10" ht="15.75">
      <c r="B65" s="482" t="str">
        <f>CONCATENATE(C83,"     ",D83)</f>
        <v>     </v>
      </c>
      <c r="C65" s="752" t="s">
        <v>746</v>
      </c>
      <c r="D65" s="753"/>
      <c r="E65" s="165">
        <f>E61+E64</f>
        <v>42150</v>
      </c>
      <c r="G65" s="497"/>
      <c r="H65" s="495"/>
      <c r="I65" s="495"/>
      <c r="J65" s="491"/>
    </row>
    <row r="66" spans="2:10" ht="15.75">
      <c r="B66" s="482" t="str">
        <f>CONCATENATE(C84,"     ",D84)</f>
        <v>     </v>
      </c>
      <c r="C66" s="284"/>
      <c r="D66" s="199" t="s">
        <v>60</v>
      </c>
      <c r="E66" s="59">
        <f>IF(E65-E33&gt;0,E65-E33,0)</f>
        <v>8052.990000000005</v>
      </c>
      <c r="G66" s="496">
        <f>ROUND(C61*0.05+C61,0)</f>
        <v>15308</v>
      </c>
      <c r="H66" s="495" t="str">
        <f>CONCATENATE("Less ",E1-2," Expenditures + 5%")</f>
        <v>Less 2011 Expenditures + 5%</v>
      </c>
      <c r="I66" s="494"/>
      <c r="J66" s="491"/>
    </row>
    <row r="67" spans="2:10" ht="15.75">
      <c r="B67" s="285"/>
      <c r="C67" s="464" t="s">
        <v>747</v>
      </c>
      <c r="D67" s="655">
        <f>inputOth!E61</f>
        <v>0</v>
      </c>
      <c r="E67" s="165">
        <f>ROUND(IF(general!D67&gt;0,(E66*general!D67),0),0)</f>
        <v>0</v>
      </c>
      <c r="G67" s="502">
        <f>G64-G66</f>
        <v>26842</v>
      </c>
      <c r="H67" s="498" t="str">
        <f>CONCATENATE("Projected ",E1+1," Carryover (est.)")</f>
        <v>Projected 2014 Carryover (est.)</v>
      </c>
      <c r="I67" s="499"/>
      <c r="J67" s="500"/>
    </row>
    <row r="68" spans="2:5" ht="16.5" thickBot="1">
      <c r="B68" s="28"/>
      <c r="C68" s="748" t="str">
        <f>CONCATENATE("Amount of  ",$E$1-1," Ad Valorem Tax")</f>
        <v>Amount of  2012 Ad Valorem Tax</v>
      </c>
      <c r="D68" s="749"/>
      <c r="E68" s="563">
        <f>E66+E67</f>
        <v>8052.990000000005</v>
      </c>
    </row>
    <row r="69" spans="2:10" ht="16.5" thickTop="1">
      <c r="B69" s="199"/>
      <c r="C69" s="28"/>
      <c r="D69" s="28"/>
      <c r="E69" s="28"/>
      <c r="G69" s="743" t="s">
        <v>865</v>
      </c>
      <c r="H69" s="744"/>
      <c r="I69" s="744"/>
      <c r="J69" s="745"/>
    </row>
    <row r="70" spans="2:10" ht="15.75">
      <c r="B70" s="192" t="s">
        <v>62</v>
      </c>
      <c r="C70" s="34">
        <f>IF(inputPrYr!D24&gt;0,8,7)</f>
        <v>7</v>
      </c>
      <c r="D70" s="28"/>
      <c r="E70" s="28"/>
      <c r="G70" s="638"/>
      <c r="H70" s="493"/>
      <c r="I70" s="639"/>
      <c r="J70" s="640"/>
    </row>
    <row r="71" spans="7:10" ht="15.75">
      <c r="G71" s="641">
        <f>summ!H16</f>
        <v>40.797</v>
      </c>
      <c r="H71" s="493" t="str">
        <f>CONCATENATE("",E1," Fund Mill Rate")</f>
        <v>2013 Fund Mill Rate</v>
      </c>
      <c r="I71" s="639"/>
      <c r="J71" s="640"/>
    </row>
    <row r="72" spans="4:10" ht="15.75">
      <c r="D72" s="746"/>
      <c r="E72" s="747"/>
      <c r="F72" s="649"/>
      <c r="G72" s="642">
        <f>summ!E16</f>
        <v>48.815</v>
      </c>
      <c r="H72" s="493" t="str">
        <f>CONCATENATE("",E1-1," Fund Mill Rate")</f>
        <v>2012 Fund Mill Rate</v>
      </c>
      <c r="I72" s="639"/>
      <c r="J72" s="640"/>
    </row>
    <row r="73" spans="6:10" ht="15.75">
      <c r="F73" s="650"/>
      <c r="G73" s="643">
        <f>summ!H31</f>
        <v>40.797</v>
      </c>
      <c r="H73" s="493" t="str">
        <f>CONCATENATE("Total ",E1," Mill Rate")</f>
        <v>Total 2013 Mill Rate</v>
      </c>
      <c r="I73" s="639"/>
      <c r="J73" s="640"/>
    </row>
    <row r="74" spans="6:10" ht="15.75">
      <c r="F74" s="650"/>
      <c r="G74" s="642">
        <f>summ!E31</f>
        <v>48.815</v>
      </c>
      <c r="H74" s="644" t="str">
        <f>CONCATENATE("Total ",E1-1," Mill Rate")</f>
        <v>Total 2012 Mill Rate</v>
      </c>
      <c r="I74" s="645"/>
      <c r="J74" s="646"/>
    </row>
    <row r="75" spans="6:11" ht="15.75">
      <c r="F75" s="142"/>
      <c r="G75" s="651"/>
      <c r="H75" s="503"/>
      <c r="I75" s="503"/>
      <c r="J75" s="652"/>
      <c r="K75" s="142"/>
    </row>
    <row r="76" spans="6:11" ht="15.75">
      <c r="F76" s="142"/>
      <c r="G76" s="653"/>
      <c r="H76" s="503"/>
      <c r="I76" s="651"/>
      <c r="J76" s="654"/>
      <c r="K76" s="142"/>
    </row>
    <row r="77" spans="7:10" ht="15.75">
      <c r="G77" s="142"/>
      <c r="H77" s="142"/>
      <c r="I77" s="142"/>
      <c r="J77" s="142"/>
    </row>
    <row r="82" ht="12.75" customHeight="1"/>
    <row r="83" spans="3:4" ht="13.5" customHeight="1" hidden="1">
      <c r="C83" s="24">
        <f>IF(C61&gt;C63,"See Tab A","")</f>
      </c>
      <c r="D83" s="24">
        <f>IF(D61&gt;D63,"See Tab C","")</f>
      </c>
    </row>
    <row r="84" spans="3:4" ht="12.75" customHeight="1" hidden="1">
      <c r="C84" s="24">
        <f>IF(C62&lt;0,"See Tab B","")</f>
      </c>
      <c r="D84" s="24">
        <f>IF(D62&lt;0,"See Tab D","")</f>
      </c>
    </row>
    <row r="85" ht="15.75" hidden="1"/>
  </sheetData>
  <sheetProtection sheet="1"/>
  <mergeCells count="7">
    <mergeCell ref="G52:J52"/>
    <mergeCell ref="G59:J59"/>
    <mergeCell ref="G69:J69"/>
    <mergeCell ref="D72:E72"/>
    <mergeCell ref="C68:D68"/>
    <mergeCell ref="C64:D64"/>
    <mergeCell ref="C65:D65"/>
  </mergeCells>
  <conditionalFormatting sqref="E64">
    <cfRule type="cellIs" priority="2" dxfId="140" operator="greaterThan" stopIfTrue="1">
      <formula>$E$61/0.95-$E$61</formula>
    </cfRule>
  </conditionalFormatting>
  <conditionalFormatting sqref="E59">
    <cfRule type="cellIs" priority="3" dxfId="140" operator="greaterThan" stopIfTrue="1">
      <formula>$E$61*0.1</formula>
    </cfRule>
  </conditionalFormatting>
  <conditionalFormatting sqref="D59">
    <cfRule type="cellIs" priority="4" dxfId="1" operator="greaterThan" stopIfTrue="1">
      <formula>$D$61*0.1</formula>
    </cfRule>
  </conditionalFormatting>
  <conditionalFormatting sqref="C59">
    <cfRule type="cellIs" priority="5" dxfId="1" operator="greaterThan" stopIfTrue="1">
      <formula>$C$61*0.1</formula>
    </cfRule>
  </conditionalFormatting>
  <conditionalFormatting sqref="C61">
    <cfRule type="cellIs" priority="6" dxfId="1" operator="greaterThan" stopIfTrue="1">
      <formula>$C$63</formula>
    </cfRule>
  </conditionalFormatting>
  <conditionalFormatting sqref="D61">
    <cfRule type="cellIs" priority="7" dxfId="1" operator="greaterThan" stopIfTrue="1">
      <formula>$D$63</formula>
    </cfRule>
  </conditionalFormatting>
  <conditionalFormatting sqref="C62">
    <cfRule type="cellIs" priority="8" dxfId="1" operator="lessThan" stopIfTrue="1">
      <formula>0</formula>
    </cfRule>
  </conditionalFormatting>
  <conditionalFormatting sqref="D30">
    <cfRule type="cellIs" priority="9" dxfId="1" operator="greaterThan" stopIfTrue="1">
      <formula>$D$32*0.1</formula>
    </cfRule>
  </conditionalFormatting>
  <conditionalFormatting sqref="C30">
    <cfRule type="cellIs" priority="10" dxfId="1" operator="greaterThan" stopIfTrue="1">
      <formula>$C$32*0.1</formula>
    </cfRule>
  </conditionalFormatting>
  <conditionalFormatting sqref="E30">
    <cfRule type="cellIs" priority="11" dxfId="140" operator="greaterThan" stopIfTrue="1">
      <formula>$E$32*0.1+E68</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F5" sqref="F5"/>
    </sheetView>
  </sheetViews>
  <sheetFormatPr defaultColWidth="8.796875" defaultRowHeight="15"/>
  <cols>
    <col min="1" max="1" width="28.296875" style="10" customWidth="1"/>
    <col min="2" max="4" width="15.796875" style="10" customWidth="1"/>
    <col min="5" max="16384" width="8.8984375" style="10" customWidth="1"/>
  </cols>
  <sheetData>
    <row r="1" spans="1:4" ht="15.75">
      <c r="A1" s="183" t="str">
        <f>inputPrYr!D3</f>
        <v>City of Vining</v>
      </c>
      <c r="B1" s="28"/>
      <c r="C1" s="290"/>
      <c r="D1" s="28">
        <f>inputPrYr!C10</f>
        <v>2013</v>
      </c>
    </row>
    <row r="2" spans="1:4" ht="15.75">
      <c r="A2" s="28"/>
      <c r="B2" s="28"/>
      <c r="C2" s="28"/>
      <c r="D2" s="290"/>
    </row>
    <row r="3" spans="1:4" ht="15.75">
      <c r="A3" s="46" t="s">
        <v>288</v>
      </c>
      <c r="B3" s="291"/>
      <c r="C3" s="291"/>
      <c r="D3" s="291"/>
    </row>
    <row r="4" spans="1:4" ht="15.75">
      <c r="A4" s="290" t="s">
        <v>48</v>
      </c>
      <c r="B4" s="598" t="s">
        <v>853</v>
      </c>
      <c r="C4" s="152" t="s">
        <v>854</v>
      </c>
      <c r="D4" s="152" t="s">
        <v>855</v>
      </c>
    </row>
    <row r="5" spans="1:4" ht="15.75">
      <c r="A5" s="57" t="s">
        <v>289</v>
      </c>
      <c r="B5" s="292" t="str">
        <f>CONCATENATE("Actual for ",D1-2,"")</f>
        <v>Actual for 2011</v>
      </c>
      <c r="C5" s="292" t="str">
        <f>CONCATENATE("Estimate for ",D1-1,"")</f>
        <v>Estimate for 2012</v>
      </c>
      <c r="D5" s="292" t="str">
        <f>CONCATENATE("Year for ",D1,"")</f>
        <v>Year for 2013</v>
      </c>
    </row>
    <row r="6" spans="1:4" ht="15.75">
      <c r="A6" s="234" t="s">
        <v>58</v>
      </c>
      <c r="B6" s="72"/>
      <c r="C6" s="72"/>
      <c r="D6" s="72"/>
    </row>
    <row r="7" spans="1:4" ht="15.75">
      <c r="A7" s="293"/>
      <c r="B7" s="72"/>
      <c r="C7" s="72"/>
      <c r="D7" s="72"/>
    </row>
    <row r="8" spans="1:4" ht="15.75">
      <c r="A8" s="294" t="s">
        <v>290</v>
      </c>
      <c r="B8" s="295"/>
      <c r="C8" s="295"/>
      <c r="D8" s="295"/>
    </row>
    <row r="9" spans="1:4" ht="15.75">
      <c r="A9" s="294" t="s">
        <v>291</v>
      </c>
      <c r="B9" s="295"/>
      <c r="C9" s="295"/>
      <c r="D9" s="295"/>
    </row>
    <row r="10" spans="1:4" ht="15.75">
      <c r="A10" s="294" t="s">
        <v>292</v>
      </c>
      <c r="B10" s="295"/>
      <c r="C10" s="295"/>
      <c r="D10" s="295"/>
    </row>
    <row r="11" spans="1:4" ht="15.75">
      <c r="A11" s="294" t="s">
        <v>293</v>
      </c>
      <c r="B11" s="295"/>
      <c r="C11" s="295"/>
      <c r="D11" s="295"/>
    </row>
    <row r="12" spans="1:4" ht="15.75">
      <c r="A12" s="294"/>
      <c r="B12" s="295"/>
      <c r="C12" s="295"/>
      <c r="D12" s="295"/>
    </row>
    <row r="13" spans="1:4" ht="15.75">
      <c r="A13" s="55"/>
      <c r="B13" s="295"/>
      <c r="C13" s="295"/>
      <c r="D13" s="295"/>
    </row>
    <row r="14" spans="1:4" ht="15.75">
      <c r="A14" s="55"/>
      <c r="B14" s="295"/>
      <c r="C14" s="295"/>
      <c r="D14" s="295"/>
    </row>
    <row r="15" spans="1:4" ht="15.75">
      <c r="A15" s="234" t="s">
        <v>21</v>
      </c>
      <c r="B15" s="296">
        <f>SUM(B8:B14)</f>
        <v>0</v>
      </c>
      <c r="C15" s="296">
        <f>SUM(C8:C14)</f>
        <v>0</v>
      </c>
      <c r="D15" s="296">
        <f>SUM(D8:D14)</f>
        <v>0</v>
      </c>
    </row>
    <row r="16" spans="1:4" ht="15.75">
      <c r="A16" s="288"/>
      <c r="B16" s="183"/>
      <c r="C16" s="183"/>
      <c r="D16" s="183"/>
    </row>
    <row r="17" spans="1:4" ht="15.75">
      <c r="A17" s="294" t="s">
        <v>290</v>
      </c>
      <c r="B17" s="295"/>
      <c r="C17" s="295"/>
      <c r="D17" s="295"/>
    </row>
    <row r="18" spans="1:4" ht="15.75">
      <c r="A18" s="294" t="s">
        <v>291</v>
      </c>
      <c r="B18" s="295"/>
      <c r="C18" s="295"/>
      <c r="D18" s="295"/>
    </row>
    <row r="19" spans="1:4" ht="15.75">
      <c r="A19" s="294" t="s">
        <v>292</v>
      </c>
      <c r="B19" s="295"/>
      <c r="C19" s="295"/>
      <c r="D19" s="295"/>
    </row>
    <row r="20" spans="1:4" ht="15.75">
      <c r="A20" s="294" t="s">
        <v>293</v>
      </c>
      <c r="B20" s="295"/>
      <c r="C20" s="295"/>
      <c r="D20" s="295"/>
    </row>
    <row r="21" spans="1:4" ht="15.75">
      <c r="A21" s="294"/>
      <c r="B21" s="295"/>
      <c r="C21" s="295"/>
      <c r="D21" s="295"/>
    </row>
    <row r="22" spans="1:4" ht="15.75">
      <c r="A22" s="234" t="s">
        <v>21</v>
      </c>
      <c r="B22" s="296">
        <f>SUM(B17:B20)</f>
        <v>0</v>
      </c>
      <c r="C22" s="296">
        <f>SUM(C17:C20)</f>
        <v>0</v>
      </c>
      <c r="D22" s="296">
        <f>SUM(D17:D20)</f>
        <v>0</v>
      </c>
    </row>
    <row r="23" spans="1:4" ht="15.75">
      <c r="A23" s="288"/>
      <c r="B23" s="183"/>
      <c r="C23" s="183"/>
      <c r="D23" s="183"/>
    </row>
    <row r="24" spans="1:4" ht="15.75">
      <c r="A24" s="294" t="s">
        <v>290</v>
      </c>
      <c r="B24" s="295"/>
      <c r="C24" s="295"/>
      <c r="D24" s="295"/>
    </row>
    <row r="25" spans="1:4" ht="15.75">
      <c r="A25" s="294" t="s">
        <v>291</v>
      </c>
      <c r="B25" s="295"/>
      <c r="C25" s="295"/>
      <c r="D25" s="295"/>
    </row>
    <row r="26" spans="1:4" ht="15.75">
      <c r="A26" s="294" t="s">
        <v>292</v>
      </c>
      <c r="B26" s="295"/>
      <c r="C26" s="295"/>
      <c r="D26" s="295"/>
    </row>
    <row r="27" spans="1:4" ht="15.75">
      <c r="A27" s="294" t="s">
        <v>293</v>
      </c>
      <c r="B27" s="295"/>
      <c r="C27" s="295"/>
      <c r="D27" s="295"/>
    </row>
    <row r="28" spans="1:4" ht="15.75">
      <c r="A28" s="294"/>
      <c r="B28" s="295"/>
      <c r="C28" s="295"/>
      <c r="D28" s="295"/>
    </row>
    <row r="29" spans="1:4" ht="15.75">
      <c r="A29" s="234" t="s">
        <v>21</v>
      </c>
      <c r="B29" s="296">
        <f>SUM(B24:B27)</f>
        <v>0</v>
      </c>
      <c r="C29" s="296">
        <f>SUM(C24:C27)</f>
        <v>0</v>
      </c>
      <c r="D29" s="296">
        <f>SUM(D24:D27)</f>
        <v>0</v>
      </c>
    </row>
    <row r="30" spans="1:4" ht="15.75">
      <c r="A30" s="288"/>
      <c r="B30" s="183"/>
      <c r="C30" s="183"/>
      <c r="D30" s="183"/>
    </row>
    <row r="31" spans="1:4" ht="15.75">
      <c r="A31" s="294" t="s">
        <v>290</v>
      </c>
      <c r="B31" s="295"/>
      <c r="C31" s="295"/>
      <c r="D31" s="295"/>
    </row>
    <row r="32" spans="1:4" ht="15.75">
      <c r="A32" s="294" t="s">
        <v>291</v>
      </c>
      <c r="B32" s="295"/>
      <c r="C32" s="295"/>
      <c r="D32" s="295"/>
    </row>
    <row r="33" spans="1:4" ht="15.75">
      <c r="A33" s="294" t="s">
        <v>292</v>
      </c>
      <c r="B33" s="295"/>
      <c r="C33" s="295"/>
      <c r="D33" s="295"/>
    </row>
    <row r="34" spans="1:4" ht="15.75">
      <c r="A34" s="294" t="s">
        <v>293</v>
      </c>
      <c r="B34" s="295"/>
      <c r="C34" s="295"/>
      <c r="D34" s="295"/>
    </row>
    <row r="35" spans="1:4" ht="15.75">
      <c r="A35" s="234" t="s">
        <v>21</v>
      </c>
      <c r="B35" s="296">
        <f>SUM(B31:B34)</f>
        <v>0</v>
      </c>
      <c r="C35" s="296">
        <f>SUM(C31:C34)</f>
        <v>0</v>
      </c>
      <c r="D35" s="296">
        <f>SUM(D31:D34)</f>
        <v>0</v>
      </c>
    </row>
    <row r="36" spans="1:4" ht="15.75">
      <c r="A36" s="288"/>
      <c r="B36" s="183"/>
      <c r="C36" s="183"/>
      <c r="D36" s="183"/>
    </row>
    <row r="37" spans="1:4" ht="15.75">
      <c r="A37" s="294" t="s">
        <v>290</v>
      </c>
      <c r="B37" s="295"/>
      <c r="C37" s="295"/>
      <c r="D37" s="295"/>
    </row>
    <row r="38" spans="1:4" ht="15.75">
      <c r="A38" s="294" t="s">
        <v>291</v>
      </c>
      <c r="B38" s="295"/>
      <c r="C38" s="295"/>
      <c r="D38" s="295"/>
    </row>
    <row r="39" spans="1:4" ht="15.75">
      <c r="A39" s="294" t="s">
        <v>292</v>
      </c>
      <c r="B39" s="295"/>
      <c r="C39" s="295"/>
      <c r="D39" s="295"/>
    </row>
    <row r="40" spans="1:4" ht="15.75">
      <c r="A40" s="294" t="s">
        <v>293</v>
      </c>
      <c r="B40" s="295"/>
      <c r="C40" s="295"/>
      <c r="D40" s="295"/>
    </row>
    <row r="41" spans="1:4" ht="15.75">
      <c r="A41" s="294"/>
      <c r="B41" s="295"/>
      <c r="C41" s="295"/>
      <c r="D41" s="295"/>
    </row>
    <row r="42" spans="1:4" ht="15.75">
      <c r="A42" s="234" t="s">
        <v>21</v>
      </c>
      <c r="B42" s="296">
        <f>SUM(B37:B40)</f>
        <v>0</v>
      </c>
      <c r="C42" s="296">
        <f>SUM(C37:C40)</f>
        <v>0</v>
      </c>
      <c r="D42" s="296">
        <f>SUM(D37:D40)</f>
        <v>0</v>
      </c>
    </row>
    <row r="43" spans="1:4" ht="15.75">
      <c r="A43" s="288"/>
      <c r="B43" s="183"/>
      <c r="C43" s="183"/>
      <c r="D43" s="183"/>
    </row>
    <row r="44" spans="1:4" ht="15.75">
      <c r="A44" s="294" t="s">
        <v>290</v>
      </c>
      <c r="B44" s="295"/>
      <c r="C44" s="295"/>
      <c r="D44" s="295"/>
    </row>
    <row r="45" spans="1:4" ht="15.75">
      <c r="A45" s="294" t="s">
        <v>291</v>
      </c>
      <c r="B45" s="295"/>
      <c r="C45" s="295"/>
      <c r="D45" s="295"/>
    </row>
    <row r="46" spans="1:4" ht="15.75">
      <c r="A46" s="294" t="s">
        <v>292</v>
      </c>
      <c r="B46" s="295"/>
      <c r="C46" s="295"/>
      <c r="D46" s="295"/>
    </row>
    <row r="47" spans="1:4" ht="15.75">
      <c r="A47" s="294" t="s">
        <v>293</v>
      </c>
      <c r="B47" s="295"/>
      <c r="C47" s="295"/>
      <c r="D47" s="295"/>
    </row>
    <row r="48" spans="1:4" ht="15.75">
      <c r="A48" s="294"/>
      <c r="B48" s="295"/>
      <c r="C48" s="295"/>
      <c r="D48" s="295"/>
    </row>
    <row r="49" spans="1:4" ht="15.75">
      <c r="A49" s="234" t="s">
        <v>21</v>
      </c>
      <c r="B49" s="296">
        <f>SUM(B44:B47)</f>
        <v>0</v>
      </c>
      <c r="C49" s="296">
        <f>SUM(C44:C47)</f>
        <v>0</v>
      </c>
      <c r="D49" s="296">
        <f>SUM(D44:D47)</f>
        <v>0</v>
      </c>
    </row>
    <row r="50" spans="1:4" ht="15.75">
      <c r="A50" s="288"/>
      <c r="B50" s="183"/>
      <c r="C50" s="183"/>
      <c r="D50" s="183"/>
    </row>
    <row r="51" spans="1:4" ht="15.75">
      <c r="A51" s="294" t="s">
        <v>290</v>
      </c>
      <c r="B51" s="295"/>
      <c r="C51" s="295"/>
      <c r="D51" s="295"/>
    </row>
    <row r="52" spans="1:4" ht="15.75">
      <c r="A52" s="294" t="s">
        <v>291</v>
      </c>
      <c r="B52" s="295"/>
      <c r="C52" s="295"/>
      <c r="D52" s="295"/>
    </row>
    <row r="53" spans="1:4" ht="15.75">
      <c r="A53" s="294" t="s">
        <v>292</v>
      </c>
      <c r="B53" s="295"/>
      <c r="C53" s="295"/>
      <c r="D53" s="295"/>
    </row>
    <row r="54" spans="1:4" ht="15.75">
      <c r="A54" s="294" t="s">
        <v>293</v>
      </c>
      <c r="B54" s="295"/>
      <c r="C54" s="295"/>
      <c r="D54" s="295"/>
    </row>
    <row r="55" spans="1:4" ht="15.75">
      <c r="A55" s="294"/>
      <c r="B55" s="295"/>
      <c r="C55" s="295"/>
      <c r="D55" s="295"/>
    </row>
    <row r="56" spans="1:4" ht="15.75">
      <c r="A56" s="234" t="s">
        <v>21</v>
      </c>
      <c r="B56" s="296">
        <f>SUM(B51:B54)</f>
        <v>0</v>
      </c>
      <c r="C56" s="296">
        <f>SUM(C51:C54)</f>
        <v>0</v>
      </c>
      <c r="D56" s="296">
        <f>SUM(D51:D54)</f>
        <v>0</v>
      </c>
    </row>
    <row r="57" spans="1:4" ht="15.75">
      <c r="A57" s="288"/>
      <c r="B57" s="183"/>
      <c r="C57" s="183"/>
      <c r="D57" s="183"/>
    </row>
    <row r="58" spans="1:4" ht="15.75">
      <c r="A58" s="294" t="s">
        <v>290</v>
      </c>
      <c r="B58" s="295"/>
      <c r="C58" s="295"/>
      <c r="D58" s="295"/>
    </row>
    <row r="59" spans="1:4" ht="15.75">
      <c r="A59" s="294" t="s">
        <v>291</v>
      </c>
      <c r="B59" s="295"/>
      <c r="C59" s="295"/>
      <c r="D59" s="295"/>
    </row>
    <row r="60" spans="1:4" ht="15.75">
      <c r="A60" s="294" t="s">
        <v>292</v>
      </c>
      <c r="B60" s="295"/>
      <c r="C60" s="295"/>
      <c r="D60" s="295"/>
    </row>
    <row r="61" spans="1:4" ht="15.75">
      <c r="A61" s="294" t="s">
        <v>293</v>
      </c>
      <c r="B61" s="295"/>
      <c r="C61" s="295"/>
      <c r="D61" s="295"/>
    </row>
    <row r="62" spans="1:4" ht="15.75">
      <c r="A62" s="294"/>
      <c r="B62" s="295"/>
      <c r="C62" s="295"/>
      <c r="D62" s="295"/>
    </row>
    <row r="63" spans="1:4" ht="15.75">
      <c r="A63" s="234" t="s">
        <v>21</v>
      </c>
      <c r="B63" s="296">
        <f>SUM(B58:B61)</f>
        <v>0</v>
      </c>
      <c r="C63" s="296">
        <f>SUM(C58:C61)</f>
        <v>0</v>
      </c>
      <c r="D63" s="296">
        <f>SUM(D58:D61)</f>
        <v>0</v>
      </c>
    </row>
    <row r="64" spans="1:4" ht="15.75">
      <c r="A64" s="28"/>
      <c r="B64" s="183"/>
      <c r="C64" s="183"/>
      <c r="D64" s="183"/>
    </row>
    <row r="65" spans="1:4" ht="16.5" thickBot="1">
      <c r="A65" s="234" t="s">
        <v>294</v>
      </c>
      <c r="B65" s="297">
        <f>B15+B22+B29+B35+B42+B49+B56+B63</f>
        <v>0</v>
      </c>
      <c r="C65" s="297">
        <f>C15+C22+C29+C35+C42+C49+C56+C63</f>
        <v>0</v>
      </c>
      <c r="D65" s="297">
        <f>D15+D22+D29+D35+D42+D49+D56+D63</f>
        <v>0</v>
      </c>
    </row>
    <row r="66" spans="1:4" ht="16.5" thickTop="1">
      <c r="A66" s="28"/>
      <c r="B66" s="183"/>
      <c r="C66" s="183"/>
      <c r="D66" s="183"/>
    </row>
    <row r="67" spans="1:4" ht="15.75">
      <c r="A67" s="192" t="s">
        <v>62</v>
      </c>
      <c r="B67" s="183" t="str">
        <f>CONCATENATE("",general!C70,"a")</f>
        <v>7a</v>
      </c>
      <c r="C67" s="183"/>
      <c r="D67" s="183"/>
    </row>
  </sheetData>
  <sheetProtection sheet="1"/>
  <printOptions/>
  <pageMargins left="0.75" right="0.75" top="1" bottom="1" header="0.5" footer="0.5"/>
  <pageSetup blackAndWhite="1" fitToHeight="1" fitToWidth="1" horizontalDpi="600" verticalDpi="600" orientation="portrait" scale="67"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3">
      <selection activeCell="J69" sqref="J69"/>
    </sheetView>
  </sheetViews>
  <sheetFormatPr defaultColWidth="8.796875" defaultRowHeight="15"/>
  <cols>
    <col min="1" max="1" width="2.3984375" style="24" customWidth="1"/>
    <col min="2" max="2" width="31.09765625" style="24" customWidth="1"/>
    <col min="3" max="4" width="15.796875" style="24" customWidth="1"/>
    <col min="5" max="5" width="16.09765625" style="24" customWidth="1"/>
    <col min="6" max="6" width="8.09765625" style="24" customWidth="1"/>
    <col min="7" max="7" width="10.19921875" style="24" customWidth="1"/>
    <col min="8" max="8" width="8.8984375" style="24" customWidth="1"/>
    <col min="9" max="9" width="5" style="24" customWidth="1"/>
    <col min="10" max="10" width="10" style="24" customWidth="1"/>
    <col min="11" max="16384" width="8.8984375" style="24" customWidth="1"/>
  </cols>
  <sheetData>
    <row r="1" spans="2:5" ht="15.75">
      <c r="B1" s="183" t="str">
        <f>(inputPrYr!D3)</f>
        <v>City of Vining</v>
      </c>
      <c r="C1" s="28"/>
      <c r="D1" s="28"/>
      <c r="E1" s="139">
        <f>inputPrYr!$C$10</f>
        <v>2013</v>
      </c>
    </row>
    <row r="2" spans="2:5" ht="15.75">
      <c r="B2" s="28"/>
      <c r="C2" s="28"/>
      <c r="D2" s="28"/>
      <c r="E2" s="199"/>
    </row>
    <row r="3" spans="2:5" ht="15.75">
      <c r="B3" s="46" t="s">
        <v>107</v>
      </c>
      <c r="C3" s="206"/>
      <c r="D3" s="206"/>
      <c r="E3" s="141"/>
    </row>
    <row r="4" spans="2:5" ht="15.75">
      <c r="B4" s="34" t="s">
        <v>48</v>
      </c>
      <c r="C4" s="599" t="s">
        <v>853</v>
      </c>
      <c r="D4" s="600" t="s">
        <v>854</v>
      </c>
      <c r="E4" s="152" t="s">
        <v>855</v>
      </c>
    </row>
    <row r="5" spans="2:5" ht="15.75">
      <c r="B5" s="524" t="str">
        <f>+(inputPrYr!B23)</f>
        <v>Debt Service</v>
      </c>
      <c r="C5" s="561" t="str">
        <f>CONCATENATE("Actual for ",E1-2,"")</f>
        <v>Actual for 2011</v>
      </c>
      <c r="D5" s="561" t="str">
        <f>CONCATENATE("Estimate for ",E1-1,"")</f>
        <v>Estimate for 2012</v>
      </c>
      <c r="E5" s="214" t="str">
        <f>CONCATENATE("Year for ",E1,"")</f>
        <v>Year for 2013</v>
      </c>
    </row>
    <row r="6" spans="2:5" ht="15.75">
      <c r="B6" s="113" t="s">
        <v>163</v>
      </c>
      <c r="C6" s="393"/>
      <c r="D6" s="394">
        <f>C34</f>
        <v>0</v>
      </c>
      <c r="E6" s="267">
        <f>D34</f>
        <v>0</v>
      </c>
    </row>
    <row r="7" spans="2:5" ht="15.75">
      <c r="B7" s="268" t="s">
        <v>165</v>
      </c>
      <c r="C7" s="395"/>
      <c r="D7" s="394"/>
      <c r="E7" s="267"/>
    </row>
    <row r="8" spans="2:5" ht="15.75">
      <c r="B8" s="113" t="s">
        <v>49</v>
      </c>
      <c r="C8" s="400"/>
      <c r="D8" s="395">
        <f>IF(inputPrYr!H21&gt;0,inputPrYr!G23,inputPrYr!E23)</f>
        <v>0</v>
      </c>
      <c r="E8" s="269" t="s">
        <v>36</v>
      </c>
    </row>
    <row r="9" spans="2:5" ht="15.75">
      <c r="B9" s="113" t="s">
        <v>50</v>
      </c>
      <c r="C9" s="400"/>
      <c r="D9" s="400"/>
      <c r="E9" s="270"/>
    </row>
    <row r="10" spans="2:5" ht="15.75">
      <c r="B10" s="113" t="s">
        <v>51</v>
      </c>
      <c r="C10" s="400"/>
      <c r="D10" s="400"/>
      <c r="E10" s="271" t="str">
        <f>Mvalloc!D9</f>
        <v>  </v>
      </c>
    </row>
    <row r="11" spans="2:5" ht="15.75">
      <c r="B11" s="113" t="s">
        <v>52</v>
      </c>
      <c r="C11" s="400"/>
      <c r="D11" s="400"/>
      <c r="E11" s="271">
        <f>Mvalloc!E9</f>
        <v>0</v>
      </c>
    </row>
    <row r="12" spans="2:5" ht="15.75">
      <c r="B12" s="272" t="s">
        <v>103</v>
      </c>
      <c r="C12" s="400"/>
      <c r="D12" s="400"/>
      <c r="E12" s="271" t="str">
        <f>Mvalloc!F9</f>
        <v>  </v>
      </c>
    </row>
    <row r="13" spans="2:5" ht="15.75">
      <c r="B13" s="393"/>
      <c r="C13" s="400"/>
      <c r="D13" s="400"/>
      <c r="E13" s="270"/>
    </row>
    <row r="14" spans="2:5" ht="15.75">
      <c r="B14" s="273"/>
      <c r="C14" s="400"/>
      <c r="D14" s="400"/>
      <c r="E14" s="270"/>
    </row>
    <row r="15" spans="2:5" ht="15.75">
      <c r="B15" s="273"/>
      <c r="C15" s="400"/>
      <c r="D15" s="400"/>
      <c r="E15" s="274"/>
    </row>
    <row r="16" spans="2:5" ht="15.75">
      <c r="B16" s="273"/>
      <c r="C16" s="400"/>
      <c r="D16" s="400"/>
      <c r="E16" s="270"/>
    </row>
    <row r="17" spans="2:5" ht="15.75">
      <c r="B17" s="275" t="s">
        <v>55</v>
      </c>
      <c r="C17" s="400"/>
      <c r="D17" s="400"/>
      <c r="E17" s="270"/>
    </row>
    <row r="18" spans="2:5" ht="15.75">
      <c r="B18" s="167" t="s">
        <v>143</v>
      </c>
      <c r="C18" s="400"/>
      <c r="D18" s="400"/>
      <c r="E18" s="270"/>
    </row>
    <row r="19" spans="2:5" ht="15.75">
      <c r="B19" s="167" t="s">
        <v>665</v>
      </c>
      <c r="C19" s="396">
        <f>IF(C20*0.1&lt;C18,"Exceed 10% Rule","")</f>
      </c>
      <c r="D19" s="396">
        <f>IF(D20*0.1&lt;D18,"Exceed 10% Rule","")</f>
      </c>
      <c r="E19" s="277">
        <f>IF(E20*0.1+E40&lt;E18,"Exceed 10% Rule","")</f>
      </c>
    </row>
    <row r="20" spans="2:5" ht="15.75">
      <c r="B20" s="278" t="s">
        <v>56</v>
      </c>
      <c r="C20" s="397">
        <f>SUM(C8:C18)</f>
        <v>0</v>
      </c>
      <c r="D20" s="398">
        <f>SUM(D8:D18)</f>
        <v>0</v>
      </c>
      <c r="E20" s="279">
        <f>SUM(E8:E18)</f>
        <v>0</v>
      </c>
    </row>
    <row r="21" spans="2:5" ht="15.75">
      <c r="B21" s="278" t="s">
        <v>57</v>
      </c>
      <c r="C21" s="398">
        <f>C6+C20</f>
        <v>0</v>
      </c>
      <c r="D21" s="398">
        <f>D6+D20</f>
        <v>0</v>
      </c>
      <c r="E21" s="280">
        <f>E6+E20</f>
        <v>0</v>
      </c>
    </row>
    <row r="22" spans="2:5" ht="15.75">
      <c r="B22" s="268" t="s">
        <v>58</v>
      </c>
      <c r="C22" s="395"/>
      <c r="D22" s="395"/>
      <c r="E22" s="271"/>
    </row>
    <row r="23" spans="2:5" ht="15.75">
      <c r="B23" s="281"/>
      <c r="C23" s="400"/>
      <c r="D23" s="400"/>
      <c r="E23" s="270"/>
    </row>
    <row r="24" spans="2:10" ht="15.75">
      <c r="B24" s="281"/>
      <c r="C24" s="400"/>
      <c r="D24" s="400"/>
      <c r="E24" s="270"/>
      <c r="G24" s="740" t="str">
        <f>CONCATENATE("Desired Carryover Into ",E1+1,"")</f>
        <v>Desired Carryover Into 2014</v>
      </c>
      <c r="H24" s="741"/>
      <c r="I24" s="741"/>
      <c r="J24" s="742"/>
    </row>
    <row r="25" spans="2:10" ht="15.75">
      <c r="B25" s="281"/>
      <c r="C25" s="400"/>
      <c r="D25" s="400"/>
      <c r="E25" s="270"/>
      <c r="G25" s="504"/>
      <c r="H25" s="488"/>
      <c r="I25" s="495"/>
      <c r="J25" s="505"/>
    </row>
    <row r="26" spans="2:10" ht="15.75">
      <c r="B26" s="281"/>
      <c r="C26" s="400"/>
      <c r="D26" s="400"/>
      <c r="E26" s="270"/>
      <c r="G26" s="501" t="s">
        <v>758</v>
      </c>
      <c r="H26" s="495"/>
      <c r="I26" s="495"/>
      <c r="J26" s="489">
        <v>0</v>
      </c>
    </row>
    <row r="27" spans="2:10" ht="15.75">
      <c r="B27" s="281"/>
      <c r="C27" s="400"/>
      <c r="D27" s="400"/>
      <c r="E27" s="270"/>
      <c r="G27" s="504" t="s">
        <v>759</v>
      </c>
      <c r="H27" s="488"/>
      <c r="I27" s="488"/>
      <c r="J27" s="626">
        <f>IF(J26=0,"",ROUND((J26+E40-G39)/inputOth!B14*1000,3)-G44)</f>
      </c>
    </row>
    <row r="28" spans="2:10" ht="15.75">
      <c r="B28" s="281"/>
      <c r="C28" s="400"/>
      <c r="D28" s="400"/>
      <c r="E28" s="270"/>
      <c r="G28" s="627" t="str">
        <f>CONCATENATE("",E1," Tot Exp/Non-Appr Must Be:")</f>
        <v>2013 Tot Exp/Non-Appr Must Be:</v>
      </c>
      <c r="H28" s="564"/>
      <c r="I28" s="628"/>
      <c r="J28" s="629">
        <f>IF(J26&gt;0,IF(E37&lt;E21,IF(J26=G39,E37,((J26-G39)*(1-D39))+E21),E37+(J26-G39)),0)</f>
        <v>0</v>
      </c>
    </row>
    <row r="29" spans="2:10" ht="15.75">
      <c r="B29" s="281"/>
      <c r="C29" s="400"/>
      <c r="D29" s="400"/>
      <c r="E29" s="270"/>
      <c r="G29" s="630" t="s">
        <v>864</v>
      </c>
      <c r="H29" s="631"/>
      <c r="I29" s="631"/>
      <c r="J29" s="632">
        <f>IF(J26&gt;0,J28-E37,0)</f>
        <v>0</v>
      </c>
    </row>
    <row r="30" spans="2:10" ht="15.75">
      <c r="B30" s="167" t="s">
        <v>280</v>
      </c>
      <c r="C30" s="400"/>
      <c r="D30" s="400"/>
      <c r="E30" s="299">
        <f>nhood!E8</f>
      </c>
      <c r="J30" s="633"/>
    </row>
    <row r="31" spans="2:10" ht="15.75">
      <c r="B31" s="167" t="s">
        <v>143</v>
      </c>
      <c r="C31" s="400"/>
      <c r="D31" s="400"/>
      <c r="E31" s="270"/>
      <c r="G31" s="740" t="str">
        <f>CONCATENATE("Projected Carryover Into ",E1+1,"")</f>
        <v>Projected Carryover Into 2014</v>
      </c>
      <c r="H31" s="754"/>
      <c r="I31" s="754"/>
      <c r="J31" s="755"/>
    </row>
    <row r="32" spans="2:10" ht="15.75">
      <c r="B32" s="167" t="s">
        <v>666</v>
      </c>
      <c r="C32" s="396">
        <f>IF(C33*0.1&lt;C31,"Exceed 10% Rule","")</f>
      </c>
      <c r="D32" s="396">
        <f>IF(D33*0.1&lt;D31,"Exceed 10% Rule","")</f>
      </c>
      <c r="E32" s="277">
        <f>IF(E33*0.1&lt;E31,"Exceed 10% Rule","")</f>
      </c>
      <c r="G32" s="504"/>
      <c r="H32" s="495"/>
      <c r="I32" s="495"/>
      <c r="J32" s="634"/>
    </row>
    <row r="33" spans="2:10" ht="15.75">
      <c r="B33" s="278" t="s">
        <v>59</v>
      </c>
      <c r="C33" s="397">
        <f>SUM(C23:C31)</f>
        <v>0</v>
      </c>
      <c r="D33" s="398">
        <f>SUM(D23:D31)</f>
        <v>0</v>
      </c>
      <c r="E33" s="279">
        <f>SUM(E23:E31)</f>
        <v>0</v>
      </c>
      <c r="G33" s="492">
        <f>D34</f>
        <v>0</v>
      </c>
      <c r="H33" s="493" t="str">
        <f>CONCATENATE("",E1-1," Ending Cash Balance (est.)")</f>
        <v>2012 Ending Cash Balance (est.)</v>
      </c>
      <c r="I33" s="494"/>
      <c r="J33" s="634"/>
    </row>
    <row r="34" spans="2:10" ht="15.75">
      <c r="B34" s="113" t="s">
        <v>164</v>
      </c>
      <c r="C34" s="399">
        <f>C21-C33</f>
        <v>0</v>
      </c>
      <c r="D34" s="399">
        <f>D21-D33</f>
        <v>0</v>
      </c>
      <c r="E34" s="269" t="s">
        <v>36</v>
      </c>
      <c r="G34" s="492">
        <f>E20</f>
        <v>0</v>
      </c>
      <c r="H34" s="495" t="str">
        <f>CONCATENATE("",E1," Non-AV Receipts (est.)")</f>
        <v>2013 Non-AV Receipts (est.)</v>
      </c>
      <c r="I34" s="494"/>
      <c r="J34" s="634"/>
    </row>
    <row r="35" spans="2:11" ht="15.75">
      <c r="B35" s="192" t="str">
        <f>CONCATENATE("",E1-2,"/",E1-1," Budget Authority Amount:")</f>
        <v>2011/2012 Budget Authority Amount:</v>
      </c>
      <c r="C35" s="203">
        <f>inputOth!B76</f>
        <v>0</v>
      </c>
      <c r="D35" s="203">
        <f>inputPrYr!D23</f>
        <v>0</v>
      </c>
      <c r="E35" s="269" t="s">
        <v>36</v>
      </c>
      <c r="F35" s="283"/>
      <c r="G35" s="496">
        <f>IF(D39&gt;0,E38,E40)</f>
        <v>0</v>
      </c>
      <c r="H35" s="495" t="str">
        <f>CONCATENATE("",E1," Ad Valorem Tax (est.)")</f>
        <v>2013 Ad Valorem Tax (est.)</v>
      </c>
      <c r="I35" s="494"/>
      <c r="J35" s="634"/>
      <c r="K35" s="635">
        <f>IF(G35=E40,"","Note: Does not include Delinquent Taxes")</f>
      </c>
    </row>
    <row r="36" spans="2:10" ht="15.75">
      <c r="B36" s="192"/>
      <c r="C36" s="750" t="s">
        <v>745</v>
      </c>
      <c r="D36" s="751"/>
      <c r="E36" s="52"/>
      <c r="F36" s="665">
        <f>IF(E33/0.95-E33&lt;E36,"Exceeds 5%","")</f>
      </c>
      <c r="G36" s="492">
        <f>SUM(G33:G35)</f>
        <v>0</v>
      </c>
      <c r="H36" s="495" t="str">
        <f>CONCATENATE("Total ",E1," Resources Available")</f>
        <v>Total 2013 Resources Available</v>
      </c>
      <c r="I36" s="494"/>
      <c r="J36" s="634"/>
    </row>
    <row r="37" spans="2:10" ht="15.75">
      <c r="B37" s="482" t="str">
        <f>CONCATENATE(C92,"     ",D92)</f>
        <v>     </v>
      </c>
      <c r="C37" s="752" t="s">
        <v>746</v>
      </c>
      <c r="D37" s="753"/>
      <c r="E37" s="165">
        <f>E33+E36</f>
        <v>0</v>
      </c>
      <c r="G37" s="497"/>
      <c r="H37" s="495"/>
      <c r="I37" s="495"/>
      <c r="J37" s="634"/>
    </row>
    <row r="38" spans="2:10" ht="15.75">
      <c r="B38" s="482" t="str">
        <f>CONCATENATE(C93,"     ",D93)</f>
        <v>     </v>
      </c>
      <c r="C38" s="284"/>
      <c r="D38" s="199" t="s">
        <v>60</v>
      </c>
      <c r="E38" s="59">
        <f>IF(E37-E21&gt;0,E37-E21,0)</f>
        <v>0</v>
      </c>
      <c r="G38" s="496">
        <f>ROUND(C33*0.05+C33,0)</f>
        <v>0</v>
      </c>
      <c r="H38" s="495" t="str">
        <f>CONCATENATE("Less ",E1-2," Expenditures + 5%")</f>
        <v>Less 2011 Expenditures + 5%</v>
      </c>
      <c r="I38" s="494"/>
      <c r="J38" s="634"/>
    </row>
    <row r="39" spans="2:10" ht="15.75">
      <c r="B39" s="199"/>
      <c r="C39" s="464" t="s">
        <v>747</v>
      </c>
      <c r="D39" s="655">
        <f>inputOth!$E$61</f>
        <v>0</v>
      </c>
      <c r="E39" s="165">
        <f>ROUND(IF(D39&gt;0,(E38*D39),0),0)</f>
        <v>0</v>
      </c>
      <c r="G39" s="636">
        <f>G36-G38</f>
        <v>0</v>
      </c>
      <c r="H39" s="507" t="str">
        <f>CONCATENATE("Projected ",E1+1," carryover (est.)")</f>
        <v>Projected 2014 carryover (est.)</v>
      </c>
      <c r="I39" s="499"/>
      <c r="J39" s="637"/>
    </row>
    <row r="40" spans="2:10" ht="16.5" thickBot="1">
      <c r="B40" s="28"/>
      <c r="C40" s="748" t="str">
        <f>CONCATENATE("Amount of  ",$E$1-1," Ad Valorem Tax")</f>
        <v>Amount of  2012 Ad Valorem Tax</v>
      </c>
      <c r="D40" s="749"/>
      <c r="E40" s="563">
        <f>E38+E39</f>
        <v>0</v>
      </c>
      <c r="G40" s="633"/>
      <c r="H40" s="633"/>
      <c r="I40" s="633"/>
      <c r="J40" s="633"/>
    </row>
    <row r="41" spans="2:10" ht="16.5" thickTop="1">
      <c r="B41" s="28"/>
      <c r="C41" s="562"/>
      <c r="D41" s="28"/>
      <c r="E41" s="28"/>
      <c r="G41" s="743" t="s">
        <v>865</v>
      </c>
      <c r="H41" s="744"/>
      <c r="I41" s="744"/>
      <c r="J41" s="745"/>
    </row>
    <row r="42" spans="2:10" ht="15.75">
      <c r="B42" s="28"/>
      <c r="C42" s="562"/>
      <c r="D42" s="28"/>
      <c r="E42" s="28"/>
      <c r="G42" s="638"/>
      <c r="H42" s="493"/>
      <c r="I42" s="639"/>
      <c r="J42" s="640"/>
    </row>
    <row r="43" spans="2:10" ht="15.75">
      <c r="B43" s="34"/>
      <c r="C43" s="266"/>
      <c r="D43" s="266"/>
      <c r="E43" s="266"/>
      <c r="G43" s="641" t="str">
        <f>summ!H17</f>
        <v>  </v>
      </c>
      <c r="H43" s="493" t="str">
        <f>CONCATENATE("",E1," Fund Mill Rate")</f>
        <v>2013 Fund Mill Rate</v>
      </c>
      <c r="I43" s="639"/>
      <c r="J43" s="640"/>
    </row>
    <row r="44" spans="2:10" ht="15.75">
      <c r="B44" s="34" t="s">
        <v>48</v>
      </c>
      <c r="C44" s="533" t="str">
        <f aca="true" t="shared" si="0" ref="C44:E45">C4</f>
        <v>Prior Year </v>
      </c>
      <c r="D44" s="534" t="str">
        <f t="shared" si="0"/>
        <v>Current Year </v>
      </c>
      <c r="E44" s="343" t="str">
        <f t="shared" si="0"/>
        <v>Proposed Budget </v>
      </c>
      <c r="G44" s="642" t="str">
        <f>summ!E21</f>
        <v>  </v>
      </c>
      <c r="H44" s="493" t="str">
        <f>CONCATENATE("",E1-1," Fund Mill Rate")</f>
        <v>2012 Fund Mill Rate</v>
      </c>
      <c r="I44" s="639"/>
      <c r="J44" s="640"/>
    </row>
    <row r="45" spans="2:10" ht="15.75">
      <c r="B45" s="524" t="str">
        <f>inputPrYr!B24</f>
        <v>Library</v>
      </c>
      <c r="C45" s="561" t="str">
        <f t="shared" si="0"/>
        <v>Actual for 2011</v>
      </c>
      <c r="D45" s="561" t="str">
        <f t="shared" si="0"/>
        <v>Estimate for 2012</v>
      </c>
      <c r="E45" s="214" t="str">
        <f t="shared" si="0"/>
        <v>Year for 2013</v>
      </c>
      <c r="G45" s="643">
        <f>summ!H31</f>
        <v>40.797</v>
      </c>
      <c r="H45" s="493" t="str">
        <f>CONCATENATE("Total ",E1," Mill Rate")</f>
        <v>Total 2013 Mill Rate</v>
      </c>
      <c r="I45" s="639"/>
      <c r="J45" s="640"/>
    </row>
    <row r="46" spans="2:10" ht="15.75">
      <c r="B46" s="113" t="s">
        <v>163</v>
      </c>
      <c r="C46" s="400"/>
      <c r="D46" s="401">
        <f>C74</f>
        <v>0</v>
      </c>
      <c r="E46" s="165">
        <f>D74</f>
        <v>0</v>
      </c>
      <c r="G46" s="642">
        <f>summ!E31</f>
        <v>48.815</v>
      </c>
      <c r="H46" s="644" t="str">
        <f>CONCATENATE("Total ",E1-1," Mill Rate")</f>
        <v>Total 2012 Mill Rate</v>
      </c>
      <c r="I46" s="645"/>
      <c r="J46" s="646"/>
    </row>
    <row r="47" spans="2:5" ht="15.75">
      <c r="B47" s="268" t="s">
        <v>165</v>
      </c>
      <c r="C47" s="401"/>
      <c r="D47" s="401"/>
      <c r="E47" s="165"/>
    </row>
    <row r="48" spans="2:5" ht="15.75">
      <c r="B48" s="113" t="s">
        <v>49</v>
      </c>
      <c r="C48" s="400"/>
      <c r="D48" s="401">
        <f>IF(inputPrYr!H21&gt;0,inputPrYr!G24,inputPrYr!E24)</f>
        <v>0</v>
      </c>
      <c r="E48" s="269" t="s">
        <v>36</v>
      </c>
    </row>
    <row r="49" spans="2:5" ht="15.75">
      <c r="B49" s="113" t="s">
        <v>50</v>
      </c>
      <c r="C49" s="400"/>
      <c r="D49" s="400"/>
      <c r="E49" s="52"/>
    </row>
    <row r="50" spans="2:5" ht="15.75">
      <c r="B50" s="113" t="s">
        <v>51</v>
      </c>
      <c r="C50" s="400"/>
      <c r="D50" s="400"/>
      <c r="E50" s="165" t="str">
        <f>Mvalloc!D10</f>
        <v>  </v>
      </c>
    </row>
    <row r="51" spans="2:5" ht="15.75">
      <c r="B51" s="113" t="s">
        <v>52</v>
      </c>
      <c r="C51" s="400"/>
      <c r="D51" s="400"/>
      <c r="E51" s="165" t="str">
        <f>Mvalloc!E10</f>
        <v>  </v>
      </c>
    </row>
    <row r="52" spans="2:5" ht="15.75">
      <c r="B52" s="167" t="s">
        <v>103</v>
      </c>
      <c r="C52" s="400"/>
      <c r="D52" s="400"/>
      <c r="E52" s="165" t="str">
        <f>Mvalloc!F10</f>
        <v>  </v>
      </c>
    </row>
    <row r="53" spans="2:5" ht="15.75">
      <c r="B53" s="393"/>
      <c r="C53" s="400"/>
      <c r="D53" s="400"/>
      <c r="E53" s="270"/>
    </row>
    <row r="54" spans="2:5" ht="15.75">
      <c r="B54" s="281"/>
      <c r="C54" s="400"/>
      <c r="D54" s="400"/>
      <c r="E54" s="52"/>
    </row>
    <row r="55" spans="2:5" ht="15.75">
      <c r="B55" s="281"/>
      <c r="C55" s="400"/>
      <c r="D55" s="400"/>
      <c r="E55" s="52"/>
    </row>
    <row r="56" spans="2:5" ht="15.75">
      <c r="B56" s="281"/>
      <c r="C56" s="400"/>
      <c r="D56" s="400"/>
      <c r="E56" s="52"/>
    </row>
    <row r="57" spans="2:5" ht="15.75">
      <c r="B57" s="300" t="s">
        <v>55</v>
      </c>
      <c r="C57" s="400"/>
      <c r="D57" s="400"/>
      <c r="E57" s="52"/>
    </row>
    <row r="58" spans="2:5" ht="15.75">
      <c r="B58" s="167" t="s">
        <v>143</v>
      </c>
      <c r="C58" s="400"/>
      <c r="D58" s="400"/>
      <c r="E58" s="52"/>
    </row>
    <row r="59" spans="2:5" ht="15.75">
      <c r="B59" s="167" t="s">
        <v>665</v>
      </c>
      <c r="C59" s="396">
        <f>IF(C60*0.1&lt;C58,"Exceed 10% Rule","")</f>
      </c>
      <c r="D59" s="396">
        <f>IF(D60*0.1&lt;D58,"Exceed 10% Rule","")</f>
      </c>
      <c r="E59" s="277">
        <f>IF(E60*0.1+E80&lt;E58,"Exceed 10% Rule","")</f>
      </c>
    </row>
    <row r="60" spans="2:5" ht="15.75">
      <c r="B60" s="278" t="s">
        <v>56</v>
      </c>
      <c r="C60" s="403">
        <f>SUM(C48:C58)</f>
        <v>0</v>
      </c>
      <c r="D60" s="403">
        <f>SUM(D48:D58)</f>
        <v>0</v>
      </c>
      <c r="E60" s="303">
        <f>SUM(E48:E58)</f>
        <v>0</v>
      </c>
    </row>
    <row r="61" spans="2:5" ht="15.75">
      <c r="B61" s="278" t="s">
        <v>57</v>
      </c>
      <c r="C61" s="403">
        <f>C46+C60</f>
        <v>0</v>
      </c>
      <c r="D61" s="403">
        <f>D46+D60</f>
        <v>0</v>
      </c>
      <c r="E61" s="303">
        <f>E46+E60</f>
        <v>0</v>
      </c>
    </row>
    <row r="62" spans="2:5" ht="15.75">
      <c r="B62" s="113" t="s">
        <v>58</v>
      </c>
      <c r="C62" s="401"/>
      <c r="D62" s="401"/>
      <c r="E62" s="165"/>
    </row>
    <row r="63" spans="2:5" ht="15.75">
      <c r="B63" s="281"/>
      <c r="C63" s="400"/>
      <c r="D63" s="400"/>
      <c r="E63" s="52" t="s">
        <v>24</v>
      </c>
    </row>
    <row r="64" spans="2:10" ht="15.75">
      <c r="B64" s="281"/>
      <c r="C64" s="400"/>
      <c r="D64" s="400"/>
      <c r="E64" s="52"/>
      <c r="G64" s="740" t="str">
        <f>CONCATENATE("Desired Carryover Into ",E1+1,"")</f>
        <v>Desired Carryover Into 2014</v>
      </c>
      <c r="H64" s="741"/>
      <c r="I64" s="741"/>
      <c r="J64" s="742"/>
    </row>
    <row r="65" spans="2:10" ht="15.75">
      <c r="B65" s="281"/>
      <c r="C65" s="400"/>
      <c r="D65" s="400"/>
      <c r="E65" s="52"/>
      <c r="G65" s="504"/>
      <c r="H65" s="488"/>
      <c r="I65" s="495"/>
      <c r="J65" s="505"/>
    </row>
    <row r="66" spans="2:10" ht="15.75">
      <c r="B66" s="281"/>
      <c r="C66" s="400"/>
      <c r="D66" s="400"/>
      <c r="E66" s="52"/>
      <c r="G66" s="501" t="s">
        <v>758</v>
      </c>
      <c r="H66" s="495"/>
      <c r="I66" s="495"/>
      <c r="J66" s="489">
        <v>0</v>
      </c>
    </row>
    <row r="67" spans="2:10" ht="15.75">
      <c r="B67" s="281"/>
      <c r="C67" s="400"/>
      <c r="D67" s="400"/>
      <c r="E67" s="52"/>
      <c r="G67" s="504" t="s">
        <v>759</v>
      </c>
      <c r="H67" s="488"/>
      <c r="I67" s="488"/>
      <c r="J67" s="626">
        <f>IF(J66=0,"",ROUND((J66+E80-G79)/inputOth!B14*1000,3)-G84)</f>
      </c>
    </row>
    <row r="68" spans="2:10" ht="15.75">
      <c r="B68" s="281"/>
      <c r="C68" s="400"/>
      <c r="D68" s="400"/>
      <c r="E68" s="52"/>
      <c r="G68" s="627" t="str">
        <f>CONCATENATE("",E1," Tot Exp/Non-Appr Must Be:")</f>
        <v>2013 Tot Exp/Non-Appr Must Be:</v>
      </c>
      <c r="H68" s="564"/>
      <c r="I68" s="628"/>
      <c r="J68" s="629">
        <f>IF(J66&gt;0,IF(E77&lt;E61,IF(J66=G79,E77,((J66-G79)*(1-D79))+E61),E77+(J66-G79)),0)</f>
        <v>0</v>
      </c>
    </row>
    <row r="69" spans="2:10" ht="15.75">
      <c r="B69" s="281"/>
      <c r="C69" s="400"/>
      <c r="D69" s="400"/>
      <c r="E69" s="52"/>
      <c r="G69" s="630" t="s">
        <v>864</v>
      </c>
      <c r="H69" s="631"/>
      <c r="I69" s="631"/>
      <c r="J69" s="632">
        <f>IF(J66&gt;0,J68-E77,0)</f>
        <v>0</v>
      </c>
    </row>
    <row r="70" spans="2:10" ht="15.75">
      <c r="B70" s="167" t="s">
        <v>280</v>
      </c>
      <c r="C70" s="400"/>
      <c r="D70" s="400"/>
      <c r="E70" s="59">
        <f>nhood!E9</f>
      </c>
      <c r="J70" s="633"/>
    </row>
    <row r="71" spans="2:10" ht="15.75">
      <c r="B71" s="167" t="s">
        <v>143</v>
      </c>
      <c r="C71" s="400"/>
      <c r="D71" s="400"/>
      <c r="E71" s="52"/>
      <c r="G71" s="740" t="str">
        <f>CONCATENATE("Projected Carryover Into ",E1+1,"")</f>
        <v>Projected Carryover Into 2014</v>
      </c>
      <c r="H71" s="756"/>
      <c r="I71" s="756"/>
      <c r="J71" s="755"/>
    </row>
    <row r="72" spans="2:10" ht="15.75">
      <c r="B72" s="167" t="s">
        <v>666</v>
      </c>
      <c r="C72" s="396">
        <f>IF(C73*0.1&lt;C71,"Exceed 10% Rule","")</f>
      </c>
      <c r="D72" s="396">
        <f>IF(D73*0.1&lt;D71,"Exceed 10% Rule","")</f>
      </c>
      <c r="E72" s="277">
        <f>IF(E73*0.1&lt;E71,"Exceed 10% Rule","")</f>
      </c>
      <c r="G72" s="490"/>
      <c r="H72" s="488"/>
      <c r="I72" s="488"/>
      <c r="J72" s="634"/>
    </row>
    <row r="73" spans="2:10" ht="15.75">
      <c r="B73" s="278" t="s">
        <v>59</v>
      </c>
      <c r="C73" s="403">
        <f>SUM(C63:C71)</f>
        <v>0</v>
      </c>
      <c r="D73" s="403">
        <f>SUM(D63:D71)</f>
        <v>0</v>
      </c>
      <c r="E73" s="303">
        <f>SUM(E63:E71)</f>
        <v>0</v>
      </c>
      <c r="G73" s="492">
        <f>D74</f>
        <v>0</v>
      </c>
      <c r="H73" s="493" t="str">
        <f>CONCATENATE("",E1-1," Ending Cash Balance (est.)")</f>
        <v>2012 Ending Cash Balance (est.)</v>
      </c>
      <c r="I73" s="494"/>
      <c r="J73" s="634"/>
    </row>
    <row r="74" spans="2:10" ht="15.75">
      <c r="B74" s="113" t="s">
        <v>164</v>
      </c>
      <c r="C74" s="404">
        <f>C61-C73</f>
        <v>0</v>
      </c>
      <c r="D74" s="404">
        <f>D61-D73</f>
        <v>0</v>
      </c>
      <c r="E74" s="269" t="s">
        <v>36</v>
      </c>
      <c r="G74" s="492">
        <f>E60</f>
        <v>0</v>
      </c>
      <c r="H74" s="495" t="str">
        <f>CONCATENATE("",E1," Non-AV Receipts (est.)")</f>
        <v>2013 Non-AV Receipts (est.)</v>
      </c>
      <c r="I74" s="494"/>
      <c r="J74" s="634"/>
    </row>
    <row r="75" spans="2:11" ht="15.75">
      <c r="B75" s="192" t="str">
        <f>CONCATENATE("",E1-2,"/",E1-1," Budget Authority Amount:")</f>
        <v>2011/2012 Budget Authority Amount:</v>
      </c>
      <c r="C75" s="203">
        <f>inputOth!B77</f>
        <v>0</v>
      </c>
      <c r="D75" s="203">
        <f>inputPrYr!D24</f>
        <v>0</v>
      </c>
      <c r="E75" s="269" t="s">
        <v>36</v>
      </c>
      <c r="F75" s="283"/>
      <c r="G75" s="496">
        <f>IF(D79&gt;0,E78,E80)</f>
        <v>0</v>
      </c>
      <c r="H75" s="495" t="str">
        <f>CONCATENATE("",E1," Ad Valorem Tax (est.)")</f>
        <v>2013 Ad Valorem Tax (est.)</v>
      </c>
      <c r="I75" s="494"/>
      <c r="J75" s="634"/>
      <c r="K75" s="635">
        <f>IF(G75=E80,"","Note: Does not include Delinquent Taxes")</f>
      </c>
    </row>
    <row r="76" spans="2:10" ht="15.75">
      <c r="B76" s="192"/>
      <c r="C76" s="750" t="s">
        <v>745</v>
      </c>
      <c r="D76" s="751"/>
      <c r="E76" s="52"/>
      <c r="F76" s="665">
        <f>IF(E73/0.95-E73&lt;E76,"Exceeds 5%","")</f>
      </c>
      <c r="G76" s="508">
        <f>SUM(G73:G75)</f>
        <v>0</v>
      </c>
      <c r="H76" s="495" t="str">
        <f>CONCATENATE("Total ",E1," Resources Available")</f>
        <v>Total 2013 Resources Available</v>
      </c>
      <c r="I76" s="491"/>
      <c r="J76" s="634"/>
    </row>
    <row r="77" spans="2:10" ht="15.75">
      <c r="B77" s="482" t="str">
        <f>CONCATENATE(C94,"     ",D94)</f>
        <v>     </v>
      </c>
      <c r="C77" s="752" t="s">
        <v>746</v>
      </c>
      <c r="D77" s="753"/>
      <c r="E77" s="165">
        <f>E73+E76</f>
        <v>0</v>
      </c>
      <c r="G77" s="511"/>
      <c r="H77" s="509"/>
      <c r="I77" s="488"/>
      <c r="J77" s="634"/>
    </row>
    <row r="78" spans="2:10" ht="15.75">
      <c r="B78" s="482" t="str">
        <f>CONCATENATE(C95,"     ",D95)</f>
        <v>     </v>
      </c>
      <c r="C78" s="284"/>
      <c r="D78" s="199" t="s">
        <v>60</v>
      </c>
      <c r="E78" s="59">
        <f>IF(E77-E61&gt;0,E77-E61,0)</f>
        <v>0</v>
      </c>
      <c r="G78" s="510">
        <f>ROUND(C73*0.05+C73,0)</f>
        <v>0</v>
      </c>
      <c r="H78" s="509" t="str">
        <f>CONCATENATE("Less ",E1-2," Expenditures + 5%")</f>
        <v>Less 2011 Expenditures + 5%</v>
      </c>
      <c r="I78" s="491"/>
      <c r="J78" s="634"/>
    </row>
    <row r="79" spans="2:10" ht="15.75">
      <c r="B79" s="199"/>
      <c r="C79" s="464" t="s">
        <v>747</v>
      </c>
      <c r="D79" s="655">
        <f>inputOth!$E$61</f>
        <v>0</v>
      </c>
      <c r="E79" s="165">
        <f>ROUND(IF(D79&gt;0,(E78*D79),0),0)</f>
        <v>0</v>
      </c>
      <c r="G79" s="512">
        <f>G76-G78</f>
        <v>0</v>
      </c>
      <c r="H79" s="513" t="str">
        <f>CONCATENATE("Projected ",E1+1," carryover (est.)")</f>
        <v>Projected 2014 carryover (est.)</v>
      </c>
      <c r="I79" s="500"/>
      <c r="J79" s="637"/>
    </row>
    <row r="80" spans="2:9" ht="16.5" thickBot="1">
      <c r="B80" s="28"/>
      <c r="C80" s="748" t="str">
        <f>CONCATENATE("Amount of  ",$E$1-1," Ad Valorem Tax")</f>
        <v>Amount of  2012 Ad Valorem Tax</v>
      </c>
      <c r="D80" s="749"/>
      <c r="E80" s="563">
        <f>E78+E79</f>
        <v>0</v>
      </c>
      <c r="G80" s="633"/>
      <c r="H80" s="633"/>
      <c r="I80" s="633"/>
    </row>
    <row r="81" spans="2:10" ht="16.5" thickTop="1">
      <c r="B81" s="192" t="s">
        <v>62</v>
      </c>
      <c r="C81" s="288"/>
      <c r="D81" s="289"/>
      <c r="E81" s="28"/>
      <c r="G81" s="743" t="s">
        <v>865</v>
      </c>
      <c r="H81" s="744"/>
      <c r="I81" s="744"/>
      <c r="J81" s="745"/>
    </row>
    <row r="82" spans="7:10" ht="15.75">
      <c r="G82" s="638"/>
      <c r="H82" s="493"/>
      <c r="I82" s="639"/>
      <c r="J82" s="640"/>
    </row>
    <row r="83" spans="7:10" ht="15.75">
      <c r="G83" s="641">
        <f>summ!H18</f>
      </c>
      <c r="H83" s="493" t="str">
        <f>CONCATENATE("",E1," Fund Mill Rate")</f>
        <v>2013 Fund Mill Rate</v>
      </c>
      <c r="I83" s="639"/>
      <c r="J83" s="640"/>
    </row>
    <row r="84" spans="7:10" ht="15.75">
      <c r="G84" s="642" t="str">
        <f>summ!E22</f>
        <v>  </v>
      </c>
      <c r="H84" s="493" t="str">
        <f>CONCATENATE("",E1-1," Fund Mill Rate")</f>
        <v>2012 Fund Mill Rate</v>
      </c>
      <c r="I84" s="639"/>
      <c r="J84" s="640"/>
    </row>
    <row r="85" spans="7:10" ht="15.75">
      <c r="G85" s="643">
        <f>summ!H31</f>
        <v>40.797</v>
      </c>
      <c r="H85" s="493" t="str">
        <f>CONCATENATE("Total ",E1," Mill Rate")</f>
        <v>Total 2013 Mill Rate</v>
      </c>
      <c r="I85" s="639"/>
      <c r="J85" s="640"/>
    </row>
    <row r="86" spans="7:10" ht="15.75">
      <c r="G86" s="642">
        <f>summ!E31</f>
        <v>48.815</v>
      </c>
      <c r="H86" s="644" t="str">
        <f>CONCATENATE("Total ",E1-1," Mill Rate")</f>
        <v>Total 2012 Mill Rate</v>
      </c>
      <c r="I86" s="645"/>
      <c r="J86" s="646"/>
    </row>
    <row r="92" spans="3:4" ht="15.75" hidden="1">
      <c r="C92" s="24">
        <f>IF(C33&gt;C35,"See Tab A","")</f>
      </c>
      <c r="D92" s="24">
        <f>IF(D33&gt;D35,"See Tab C","")</f>
      </c>
    </row>
    <row r="93" spans="3:4" ht="15.75" hidden="1">
      <c r="C93" s="24">
        <f>IF(C34&lt;0,"See Tab B","")</f>
      </c>
      <c r="D93" s="24">
        <f>IF(D34&lt;0,"See Tab D","")</f>
      </c>
    </row>
    <row r="94" spans="3:4" ht="15.75" hidden="1">
      <c r="C94" s="24">
        <f>IF(C73&gt;C75,"See Tab A","")</f>
      </c>
      <c r="D94" s="24">
        <f>IF(D73&gt;D75,"See Tab C","")</f>
      </c>
    </row>
    <row r="95" spans="3:4" ht="15.75" hidden="1">
      <c r="C95" s="24">
        <f>IF(C74&lt;0,"See Tab B","")</f>
      </c>
      <c r="D95" s="24">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31">
    <cfRule type="cellIs" priority="13" dxfId="140" operator="greaterThan" stopIfTrue="1">
      <formula>$E$33*0.1</formula>
    </cfRule>
  </conditionalFormatting>
  <conditionalFormatting sqref="E36">
    <cfRule type="cellIs" priority="14" dxfId="140" operator="greaterThan" stopIfTrue="1">
      <formula>$E$33/0.95-$E$33</formula>
    </cfRule>
  </conditionalFormatting>
  <conditionalFormatting sqref="D31">
    <cfRule type="cellIs" priority="15" dxfId="1" operator="greaterThan" stopIfTrue="1">
      <formula>$D$33*0.1</formula>
    </cfRule>
  </conditionalFormatting>
  <conditionalFormatting sqref="C31">
    <cfRule type="cellIs" priority="16" dxfId="1" operator="greaterThan" stopIfTrue="1">
      <formula>$C$33*0.1</formula>
    </cfRule>
  </conditionalFormatting>
  <conditionalFormatting sqref="D33">
    <cfRule type="cellIs" priority="17" dxfId="1" operator="greaterThan" stopIfTrue="1">
      <formula>$D$35</formula>
    </cfRule>
  </conditionalFormatting>
  <conditionalFormatting sqref="C33">
    <cfRule type="cellIs" priority="18" dxfId="1" operator="greaterThan" stopIfTrue="1">
      <formula>$C$35</formula>
    </cfRule>
  </conditionalFormatting>
  <conditionalFormatting sqref="C34">
    <cfRule type="cellIs" priority="19" dxfId="1" operator="lessThan" stopIfTrue="1">
      <formula>0</formula>
    </cfRule>
  </conditionalFormatting>
  <conditionalFormatting sqref="D18">
    <cfRule type="cellIs" priority="20" dxfId="1" operator="greaterThan" stopIfTrue="1">
      <formula>$D$20*0.1</formula>
    </cfRule>
  </conditionalFormatting>
  <conditionalFormatting sqref="C18">
    <cfRule type="cellIs" priority="21" dxfId="1" operator="greaterThan" stopIfTrue="1">
      <formula>$C$20*0.1</formula>
    </cfRule>
  </conditionalFormatting>
  <conditionalFormatting sqref="E18">
    <cfRule type="cellIs" priority="22" dxfId="140" operator="greaterThan" stopIfTrue="1">
      <formula>$C$20*0.1+E40</formula>
    </cfRule>
  </conditionalFormatting>
  <conditionalFormatting sqref="D34">
    <cfRule type="cellIs" priority="12" dxfId="0" operator="lessThan" stopIfTrue="1">
      <formula>0</formula>
    </cfRule>
  </conditionalFormatting>
  <conditionalFormatting sqref="E71">
    <cfRule type="cellIs" priority="11" dxfId="140" operator="greaterThan" stopIfTrue="1">
      <formula>$E$73*0.1</formula>
    </cfRule>
  </conditionalFormatting>
  <conditionalFormatting sqref="E76">
    <cfRule type="cellIs" priority="10" dxfId="140" operator="greaterThan" stopIfTrue="1">
      <formula>$E$73/0.95-$E$73</formula>
    </cfRule>
  </conditionalFormatting>
  <conditionalFormatting sqref="C71">
    <cfRule type="cellIs" priority="9" dxfId="1" operator="greaterThan" stopIfTrue="1">
      <formula>$C$73*0.1</formula>
    </cfRule>
  </conditionalFormatting>
  <conditionalFormatting sqref="D71">
    <cfRule type="cellIs" priority="8" dxfId="1" operator="greaterThan" stopIfTrue="1">
      <formula>$D$73*0.1</formula>
    </cfRule>
  </conditionalFormatting>
  <conditionalFormatting sqref="C73">
    <cfRule type="cellIs" priority="7" dxfId="1" operator="greaterThan" stopIfTrue="1">
      <formula>$C$75</formula>
    </cfRule>
  </conditionalFormatting>
  <conditionalFormatting sqref="D73">
    <cfRule type="cellIs" priority="6" dxfId="1" operator="greaterThan" stopIfTrue="1">
      <formula>$D$75</formula>
    </cfRule>
  </conditionalFormatting>
  <conditionalFormatting sqref="C74">
    <cfRule type="cellIs" priority="5" dxfId="1" operator="lessThan" stopIfTrue="1">
      <formula>0</formula>
    </cfRule>
  </conditionalFormatting>
  <conditionalFormatting sqref="D58">
    <cfRule type="cellIs" priority="4" dxfId="1" operator="greaterThan" stopIfTrue="1">
      <formula>$D$60*0.1</formula>
    </cfRule>
  </conditionalFormatting>
  <conditionalFormatting sqref="C58">
    <cfRule type="cellIs" priority="3" dxfId="1" operator="greaterThan" stopIfTrue="1">
      <formula>$C$60*0.1</formula>
    </cfRule>
  </conditionalFormatting>
  <conditionalFormatting sqref="E58">
    <cfRule type="cellIs" priority="2" dxfId="140" operator="greaterThan" stopIfTrue="1">
      <formula>$E$60*0.1+E80</formula>
    </cfRule>
  </conditionalFormatting>
  <conditionalFormatting sqref="D7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5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3">
      <selection activeCell="J69" sqref="J69"/>
    </sheetView>
  </sheetViews>
  <sheetFormatPr defaultColWidth="8.796875" defaultRowHeight="15"/>
  <cols>
    <col min="1" max="1" width="2.3984375" style="24" customWidth="1"/>
    <col min="2" max="2" width="31.09765625" style="24" customWidth="1"/>
    <col min="3" max="4" width="15.796875" style="24" customWidth="1"/>
    <col min="5" max="5" width="16.296875" style="24" customWidth="1"/>
    <col min="6" max="6" width="8.09765625" style="24" customWidth="1"/>
    <col min="7" max="7" width="10.19921875" style="24" customWidth="1"/>
    <col min="8" max="8" width="8.8984375" style="24" customWidth="1"/>
    <col min="9" max="9" width="5" style="24" customWidth="1"/>
    <col min="10" max="10" width="10" style="24" customWidth="1"/>
    <col min="11" max="16384" width="8.8984375" style="24" customWidth="1"/>
  </cols>
  <sheetData>
    <row r="1" spans="2:5" ht="15.75">
      <c r="B1" s="183" t="str">
        <f>(inputPrYr!D3)</f>
        <v>City of Vining</v>
      </c>
      <c r="C1" s="28"/>
      <c r="D1" s="28"/>
      <c r="E1" s="139">
        <f>inputPrYr!$C$10</f>
        <v>2013</v>
      </c>
    </row>
    <row r="2" spans="2:5" ht="15.75">
      <c r="B2" s="28"/>
      <c r="C2" s="28"/>
      <c r="D2" s="28"/>
      <c r="E2" s="199"/>
    </row>
    <row r="3" spans="2:5" ht="15.75">
      <c r="B3" s="46" t="s">
        <v>107</v>
      </c>
      <c r="C3" s="266"/>
      <c r="D3" s="266"/>
      <c r="E3" s="141"/>
    </row>
    <row r="4" spans="2:5" ht="15.75">
      <c r="B4" s="34" t="s">
        <v>48</v>
      </c>
      <c r="C4" s="599" t="s">
        <v>853</v>
      </c>
      <c r="D4" s="600" t="s">
        <v>854</v>
      </c>
      <c r="E4" s="152" t="s">
        <v>855</v>
      </c>
    </row>
    <row r="5" spans="2:5" ht="15.75">
      <c r="B5" s="524">
        <f>(inputPrYr!B26)</f>
        <v>0</v>
      </c>
      <c r="C5" s="561" t="str">
        <f>CONCATENATE("Actual for ",E1-2,"")</f>
        <v>Actual for 2011</v>
      </c>
      <c r="D5" s="561" t="str">
        <f>CONCATENATE("Estimate for ",E1-1,"")</f>
        <v>Estimate for 2012</v>
      </c>
      <c r="E5" s="214" t="str">
        <f>CONCATENATE("Year for ",E1,"")</f>
        <v>Year for 2013</v>
      </c>
    </row>
    <row r="6" spans="2:5" ht="15.75">
      <c r="B6" s="113" t="s">
        <v>163</v>
      </c>
      <c r="C6" s="400"/>
      <c r="D6" s="401">
        <f>C34</f>
        <v>0</v>
      </c>
      <c r="E6" s="165">
        <f>D34</f>
        <v>0</v>
      </c>
    </row>
    <row r="7" spans="2:5" ht="15.75">
      <c r="B7" s="268" t="s">
        <v>165</v>
      </c>
      <c r="C7" s="401"/>
      <c r="D7" s="401"/>
      <c r="E7" s="165"/>
    </row>
    <row r="8" spans="2:5" ht="15.75">
      <c r="B8" s="113" t="s">
        <v>49</v>
      </c>
      <c r="C8" s="400"/>
      <c r="D8" s="401">
        <f>IF(inputPrYr!H21&gt;0,inputPrYr!G26,inputPrYr!E26)</f>
        <v>0</v>
      </c>
      <c r="E8" s="269" t="s">
        <v>36</v>
      </c>
    </row>
    <row r="9" spans="2:5" ht="15.75">
      <c r="B9" s="113" t="s">
        <v>50</v>
      </c>
      <c r="C9" s="400"/>
      <c r="D9" s="400"/>
      <c r="E9" s="52"/>
    </row>
    <row r="10" spans="2:5" ht="15.75">
      <c r="B10" s="113" t="s">
        <v>51</v>
      </c>
      <c r="C10" s="400"/>
      <c r="D10" s="400"/>
      <c r="E10" s="165" t="str">
        <f>Mvalloc!D11</f>
        <v>  </v>
      </c>
    </row>
    <row r="11" spans="2:5" ht="15.75">
      <c r="B11" s="113" t="s">
        <v>52</v>
      </c>
      <c r="C11" s="400"/>
      <c r="D11" s="400"/>
      <c r="E11" s="165" t="str">
        <f>Mvalloc!E11</f>
        <v>  </v>
      </c>
    </row>
    <row r="12" spans="2:5" ht="15.75">
      <c r="B12" s="167" t="s">
        <v>103</v>
      </c>
      <c r="C12" s="400"/>
      <c r="D12" s="400"/>
      <c r="E12" s="165" t="str">
        <f>Mvalloc!F11</f>
        <v>  </v>
      </c>
    </row>
    <row r="13" spans="2:5" ht="15.75">
      <c r="B13" s="393"/>
      <c r="C13" s="400"/>
      <c r="D13" s="400"/>
      <c r="E13" s="270"/>
    </row>
    <row r="14" spans="2:5" ht="15.75">
      <c r="B14" s="281"/>
      <c r="C14" s="400"/>
      <c r="D14" s="400"/>
      <c r="E14" s="52"/>
    </row>
    <row r="15" spans="2:5" ht="15.75">
      <c r="B15" s="281"/>
      <c r="C15" s="400"/>
      <c r="D15" s="400"/>
      <c r="E15" s="52"/>
    </row>
    <row r="16" spans="2:5" ht="15.75">
      <c r="B16" s="281"/>
      <c r="C16" s="400"/>
      <c r="D16" s="400"/>
      <c r="E16" s="52"/>
    </row>
    <row r="17" spans="2:5" ht="15.75">
      <c r="B17" s="300" t="s">
        <v>55</v>
      </c>
      <c r="C17" s="400"/>
      <c r="D17" s="400"/>
      <c r="E17" s="52"/>
    </row>
    <row r="18" spans="2:5" ht="15.75">
      <c r="B18" s="167" t="s">
        <v>143</v>
      </c>
      <c r="C18" s="400"/>
      <c r="D18" s="400"/>
      <c r="E18" s="52"/>
    </row>
    <row r="19" spans="2:5" ht="15.75">
      <c r="B19" s="167" t="s">
        <v>665</v>
      </c>
      <c r="C19" s="396">
        <f>IF(C20*0.1&lt;C18,"Exceed 10% Rule","")</f>
      </c>
      <c r="D19" s="396">
        <f>IF(D20*0.1&lt;D18,"Exceed 10% Rule","")</f>
      </c>
      <c r="E19" s="277">
        <f>IF(E20*0.1+E40&lt;E18,"Exceed 10% Rule","")</f>
      </c>
    </row>
    <row r="20" spans="2:5" ht="15.75">
      <c r="B20" s="278" t="s">
        <v>56</v>
      </c>
      <c r="C20" s="402">
        <f>SUM(C8:C18)</f>
        <v>0</v>
      </c>
      <c r="D20" s="402">
        <f>SUM(D8:D18)</f>
        <v>0</v>
      </c>
      <c r="E20" s="302">
        <f>SUM(E8:E18)</f>
        <v>0</v>
      </c>
    </row>
    <row r="21" spans="2:5" ht="15.75">
      <c r="B21" s="278" t="s">
        <v>57</v>
      </c>
      <c r="C21" s="402">
        <f>C6+C20</f>
        <v>0</v>
      </c>
      <c r="D21" s="402">
        <f>D6+D20</f>
        <v>0</v>
      </c>
      <c r="E21" s="302">
        <f>E6+E20</f>
        <v>0</v>
      </c>
    </row>
    <row r="22" spans="2:5" ht="15.75">
      <c r="B22" s="113" t="s">
        <v>58</v>
      </c>
      <c r="C22" s="401"/>
      <c r="D22" s="401"/>
      <c r="E22" s="165"/>
    </row>
    <row r="23" spans="2:5" ht="15.75">
      <c r="B23" s="281"/>
      <c r="C23" s="400"/>
      <c r="D23" s="400"/>
      <c r="E23" s="52"/>
    </row>
    <row r="24" spans="2:10" ht="15.75">
      <c r="B24" s="281"/>
      <c r="C24" s="400"/>
      <c r="D24" s="400"/>
      <c r="E24" s="52"/>
      <c r="G24" s="740" t="str">
        <f>CONCATENATE("Desired Carryover Into ",E1+1,"")</f>
        <v>Desired Carryover Into 2014</v>
      </c>
      <c r="H24" s="741"/>
      <c r="I24" s="741"/>
      <c r="J24" s="742"/>
    </row>
    <row r="25" spans="2:10" ht="15.75">
      <c r="B25" s="281"/>
      <c r="C25" s="400"/>
      <c r="D25" s="400"/>
      <c r="E25" s="52"/>
      <c r="G25" s="504"/>
      <c r="H25" s="488"/>
      <c r="I25" s="495"/>
      <c r="J25" s="505"/>
    </row>
    <row r="26" spans="2:10" ht="15.75">
      <c r="B26" s="281"/>
      <c r="C26" s="400"/>
      <c r="D26" s="400"/>
      <c r="E26" s="52"/>
      <c r="G26" s="504"/>
      <c r="H26" s="488"/>
      <c r="I26" s="495"/>
      <c r="J26" s="505"/>
    </row>
    <row r="27" spans="2:10" ht="15.75">
      <c r="B27" s="281"/>
      <c r="C27" s="400"/>
      <c r="D27" s="400"/>
      <c r="E27" s="52"/>
      <c r="G27" s="501" t="s">
        <v>758</v>
      </c>
      <c r="H27" s="495"/>
      <c r="I27" s="495"/>
      <c r="J27" s="489">
        <v>0</v>
      </c>
    </row>
    <row r="28" spans="2:10" ht="15.75">
      <c r="B28" s="281"/>
      <c r="C28" s="400"/>
      <c r="D28" s="400"/>
      <c r="E28" s="52"/>
      <c r="G28" s="504" t="s">
        <v>759</v>
      </c>
      <c r="H28" s="488"/>
      <c r="I28" s="488"/>
      <c r="J28" s="626">
        <f>IF(J27=0,"",ROUND((J27+E41-G40)/inputOth!B14*1000,3)-G45)</f>
      </c>
    </row>
    <row r="29" spans="2:10" ht="15.75">
      <c r="B29" s="281"/>
      <c r="C29" s="400"/>
      <c r="D29" s="400"/>
      <c r="E29" s="52"/>
      <c r="G29" s="627" t="str">
        <f>CONCATENATE("",E1," Tot Exp/Non-Appr Must Be:")</f>
        <v>2013 Tot Exp/Non-Appr Must Be:</v>
      </c>
      <c r="H29" s="564"/>
      <c r="I29" s="628"/>
      <c r="J29" s="629">
        <f>IF(J27&gt;0,IF(E37&lt;E21,IF(J27=G40,E37,((J27-G40)*(1-D39))+E21),E37+(J27-G40)),0)</f>
        <v>0</v>
      </c>
    </row>
    <row r="30" spans="2:10" ht="15.75">
      <c r="B30" s="167" t="s">
        <v>280</v>
      </c>
      <c r="C30" s="400"/>
      <c r="D30" s="400"/>
      <c r="E30" s="59">
        <f>nhood!E10</f>
      </c>
      <c r="G30" s="630" t="s">
        <v>864</v>
      </c>
      <c r="H30" s="631"/>
      <c r="I30" s="631"/>
      <c r="J30" s="632">
        <f>IF(J27&gt;0,J29-E37,0)</f>
        <v>0</v>
      </c>
    </row>
    <row r="31" spans="2:10" ht="15.75">
      <c r="B31" s="167" t="s">
        <v>143</v>
      </c>
      <c r="C31" s="400"/>
      <c r="D31" s="400"/>
      <c r="E31" s="52"/>
      <c r="J31" s="633"/>
    </row>
    <row r="32" spans="2:10" ht="15.75">
      <c r="B32" s="167" t="s">
        <v>666</v>
      </c>
      <c r="C32" s="396">
        <f>IF(C33*0.1&lt;C31,"Exceed 10% Rule","")</f>
      </c>
      <c r="D32" s="396">
        <f>IF(D33*0.1&lt;D31,"Exceed 10% Rule","")</f>
      </c>
      <c r="E32" s="277">
        <f>IF(E33*0.1&lt;E31,"Exceed 10% Rule","")</f>
      </c>
      <c r="G32" s="740" t="str">
        <f>CONCATENATE("Projected Carryover Into ",E1+1,"")</f>
        <v>Projected Carryover Into 2014</v>
      </c>
      <c r="H32" s="754"/>
      <c r="I32" s="754"/>
      <c r="J32" s="755"/>
    </row>
    <row r="33" spans="2:10" ht="15.75">
      <c r="B33" s="278" t="s">
        <v>59</v>
      </c>
      <c r="C33" s="403">
        <f>SUM(C23:C31)</f>
        <v>0</v>
      </c>
      <c r="D33" s="403">
        <f>SUM(D23:D31)</f>
        <v>0</v>
      </c>
      <c r="E33" s="303">
        <f>SUM(E23:E31)</f>
        <v>0</v>
      </c>
      <c r="G33" s="504"/>
      <c r="H33" s="495"/>
      <c r="I33" s="495"/>
      <c r="J33" s="634"/>
    </row>
    <row r="34" spans="2:10" ht="15.75">
      <c r="B34" s="113" t="s">
        <v>164</v>
      </c>
      <c r="C34" s="404">
        <f>C21-C33</f>
        <v>0</v>
      </c>
      <c r="D34" s="404">
        <f>D21-D33</f>
        <v>0</v>
      </c>
      <c r="E34" s="269" t="s">
        <v>36</v>
      </c>
      <c r="G34" s="492">
        <f>D34</f>
        <v>0</v>
      </c>
      <c r="H34" s="493" t="str">
        <f>CONCATENATE("",E1-1," Ending Cash Balance (est.)")</f>
        <v>2012 Ending Cash Balance (est.)</v>
      </c>
      <c r="I34" s="494"/>
      <c r="J34" s="634"/>
    </row>
    <row r="35" spans="2:10" ht="15.75">
      <c r="B35" s="192" t="str">
        <f>CONCATENATE("",E1-2,"/",E1-1," Budget Authority Amount:")</f>
        <v>2011/2012 Budget Authority Amount:</v>
      </c>
      <c r="C35" s="203">
        <f>inputOth!B78</f>
        <v>0</v>
      </c>
      <c r="D35" s="203">
        <f>inputPrYr!D26</f>
        <v>0</v>
      </c>
      <c r="E35" s="269" t="s">
        <v>36</v>
      </c>
      <c r="G35" s="492">
        <f>E20</f>
        <v>0</v>
      </c>
      <c r="H35" s="495" t="str">
        <f>CONCATENATE("",E1," Non-AV Receipts (est.)")</f>
        <v>2013 Non-AV Receipts (est.)</v>
      </c>
      <c r="I35" s="494"/>
      <c r="J35" s="634"/>
    </row>
    <row r="36" spans="2:11" ht="15.75">
      <c r="B36" s="192"/>
      <c r="C36" s="750" t="s">
        <v>745</v>
      </c>
      <c r="D36" s="751"/>
      <c r="E36" s="52"/>
      <c r="F36" s="665">
        <f>IF(E33/0.95-E33&lt;E36,"Exceeds 5%","")</f>
      </c>
      <c r="G36" s="496">
        <f>IF(E39&gt;0,E38,E40)</f>
        <v>0</v>
      </c>
      <c r="H36" s="495" t="str">
        <f>CONCATENATE("",E1," Ad Valorem Tax (est.)")</f>
        <v>2013 Ad Valorem Tax (est.)</v>
      </c>
      <c r="I36" s="494"/>
      <c r="J36" s="634"/>
      <c r="K36" s="635">
        <f>IF(G36=E40,"","Note: Does not include Delinquent Taxes")</f>
      </c>
    </row>
    <row r="37" spans="2:10" ht="15.75">
      <c r="B37" s="482" t="str">
        <f>CONCATENATE(C92,"     ",D92)</f>
        <v>     </v>
      </c>
      <c r="C37" s="752" t="s">
        <v>746</v>
      </c>
      <c r="D37" s="753"/>
      <c r="E37" s="165">
        <f>E33+E36</f>
        <v>0</v>
      </c>
      <c r="F37" s="283"/>
      <c r="G37" s="492">
        <f>SUM(G34:G36)</f>
        <v>0</v>
      </c>
      <c r="H37" s="495" t="str">
        <f>CONCATENATE("Total ",E1," Resources Available")</f>
        <v>Total 2013 Resources Available</v>
      </c>
      <c r="I37" s="494"/>
      <c r="J37" s="634"/>
    </row>
    <row r="38" spans="2:10" ht="15.75">
      <c r="B38" s="482" t="str">
        <f>CONCATENATE(C93,"     ",D93)</f>
        <v>     </v>
      </c>
      <c r="C38" s="284"/>
      <c r="D38" s="199" t="s">
        <v>60</v>
      </c>
      <c r="E38" s="59">
        <f>IF(E37-E21&gt;0,E37-E21,0)</f>
        <v>0</v>
      </c>
      <c r="G38" s="497"/>
      <c r="H38" s="495"/>
      <c r="I38" s="495"/>
      <c r="J38" s="634"/>
    </row>
    <row r="39" spans="2:10" ht="15.75">
      <c r="B39" s="199"/>
      <c r="C39" s="464" t="s">
        <v>747</v>
      </c>
      <c r="D39" s="655">
        <f>inputOth!$E$61</f>
        <v>0</v>
      </c>
      <c r="E39" s="165">
        <f>ROUND(IF(D39&gt;0,(E38*D39),0),0)</f>
        <v>0</v>
      </c>
      <c r="G39" s="496">
        <f>ROUND(C33*0.05+C33,0)</f>
        <v>0</v>
      </c>
      <c r="H39" s="495" t="str">
        <f>CONCATENATE("Less ",E1-2," Expenditures + 5%")</f>
        <v>Less 2011 Expenditures + 5%</v>
      </c>
      <c r="I39" s="494"/>
      <c r="J39" s="634"/>
    </row>
    <row r="40" spans="2:10" ht="16.5" thickBot="1">
      <c r="B40" s="28"/>
      <c r="C40" s="748" t="str">
        <f>CONCATENATE("Amount of  ",$E$1-1," Ad Valorem Tax")</f>
        <v>Amount of  2012 Ad Valorem Tax</v>
      </c>
      <c r="D40" s="749"/>
      <c r="E40" s="563">
        <f>E38+E39</f>
        <v>0</v>
      </c>
      <c r="G40" s="636">
        <f>G37-G39</f>
        <v>0</v>
      </c>
      <c r="H40" s="507" t="str">
        <f>CONCATENATE("Projected ",E1+1," carryover (est.)")</f>
        <v>Projected 2014 carryover (est.)</v>
      </c>
      <c r="I40" s="499"/>
      <c r="J40" s="637"/>
    </row>
    <row r="41" spans="2:10" ht="16.5" thickTop="1">
      <c r="B41" s="28"/>
      <c r="C41" s="562"/>
      <c r="D41" s="28"/>
      <c r="E41" s="28"/>
      <c r="G41" s="633"/>
      <c r="H41" s="633"/>
      <c r="I41" s="633"/>
      <c r="J41" s="633"/>
    </row>
    <row r="42" spans="2:10" ht="15.75">
      <c r="B42" s="28"/>
      <c r="C42" s="562"/>
      <c r="D42" s="28"/>
      <c r="E42" s="28"/>
      <c r="G42" s="743" t="s">
        <v>865</v>
      </c>
      <c r="H42" s="744"/>
      <c r="I42" s="744"/>
      <c r="J42" s="745"/>
    </row>
    <row r="43" spans="2:10" ht="15.75">
      <c r="B43" s="34"/>
      <c r="C43" s="266"/>
      <c r="D43" s="266"/>
      <c r="E43" s="266"/>
      <c r="G43" s="638"/>
      <c r="H43" s="493"/>
      <c r="I43" s="639"/>
      <c r="J43" s="640"/>
    </row>
    <row r="44" spans="2:10" ht="15.75">
      <c r="B44" s="34" t="s">
        <v>48</v>
      </c>
      <c r="C44" s="533" t="str">
        <f aca="true" t="shared" si="0" ref="C44:E45">C4</f>
        <v>Prior Year </v>
      </c>
      <c r="D44" s="534" t="str">
        <f t="shared" si="0"/>
        <v>Current Year </v>
      </c>
      <c r="E44" s="343" t="str">
        <f t="shared" si="0"/>
        <v>Proposed Budget </v>
      </c>
      <c r="G44" s="641" t="str">
        <f>summ!H19</f>
        <v>  </v>
      </c>
      <c r="H44" s="493" t="str">
        <f>CONCATENATE("",E1," Fund Mill Rate")</f>
        <v>2013 Fund Mill Rate</v>
      </c>
      <c r="I44" s="639"/>
      <c r="J44" s="640"/>
    </row>
    <row r="45" spans="2:10" ht="15.75">
      <c r="B45" s="524">
        <f>(inputPrYr!B27)</f>
        <v>0</v>
      </c>
      <c r="C45" s="561" t="str">
        <f t="shared" si="0"/>
        <v>Actual for 2011</v>
      </c>
      <c r="D45" s="561" t="str">
        <f t="shared" si="0"/>
        <v>Estimate for 2012</v>
      </c>
      <c r="E45" s="214" t="str">
        <f t="shared" si="0"/>
        <v>Year for 2013</v>
      </c>
      <c r="G45" s="642" t="str">
        <f>summ!E21</f>
        <v>  </v>
      </c>
      <c r="H45" s="493" t="str">
        <f>CONCATENATE("",E1-1," Fund Mill Rate")</f>
        <v>2012 Fund Mill Rate</v>
      </c>
      <c r="I45" s="639"/>
      <c r="J45" s="640"/>
    </row>
    <row r="46" spans="2:10" ht="15.75">
      <c r="B46" s="113" t="s">
        <v>163</v>
      </c>
      <c r="C46" s="400"/>
      <c r="D46" s="401">
        <f>C74</f>
        <v>0</v>
      </c>
      <c r="E46" s="165">
        <f>D74</f>
        <v>0</v>
      </c>
      <c r="G46" s="643">
        <f>summ!H31</f>
        <v>40.797</v>
      </c>
      <c r="H46" s="493" t="str">
        <f>CONCATENATE("Total ",E1," Mill Rate")</f>
        <v>Total 2013 Mill Rate</v>
      </c>
      <c r="I46" s="639"/>
      <c r="J46" s="640"/>
    </row>
    <row r="47" spans="2:10" ht="15.75">
      <c r="B47" s="268" t="s">
        <v>165</v>
      </c>
      <c r="C47" s="401"/>
      <c r="D47" s="401"/>
      <c r="E47" s="165"/>
      <c r="G47" s="642">
        <f>summ!E31</f>
        <v>48.815</v>
      </c>
      <c r="H47" s="644" t="str">
        <f>CONCATENATE("Total ",E1-1," Mill Rate")</f>
        <v>Total 2012 Mill Rate</v>
      </c>
      <c r="I47" s="645"/>
      <c r="J47" s="646"/>
    </row>
    <row r="48" spans="2:5" ht="15.75">
      <c r="B48" s="113" t="s">
        <v>49</v>
      </c>
      <c r="C48" s="400"/>
      <c r="D48" s="401">
        <f>IF(inputPrYr!H21&gt;0,inputPrYr!G27,inputPrYr!E27)</f>
        <v>0</v>
      </c>
      <c r="E48" s="269" t="s">
        <v>36</v>
      </c>
    </row>
    <row r="49" spans="2:5" ht="15.75">
      <c r="B49" s="113" t="s">
        <v>50</v>
      </c>
      <c r="C49" s="400"/>
      <c r="D49" s="400"/>
      <c r="E49" s="52"/>
    </row>
    <row r="50" spans="2:5" ht="15.75">
      <c r="B50" s="113" t="s">
        <v>51</v>
      </c>
      <c r="C50" s="400"/>
      <c r="D50" s="400"/>
      <c r="E50" s="165" t="str">
        <f>Mvalloc!D12</f>
        <v>  </v>
      </c>
    </row>
    <row r="51" spans="2:5" ht="15.75">
      <c r="B51" s="113" t="s">
        <v>52</v>
      </c>
      <c r="C51" s="400"/>
      <c r="D51" s="400"/>
      <c r="E51" s="165" t="str">
        <f>Mvalloc!E12</f>
        <v>  </v>
      </c>
    </row>
    <row r="52" spans="2:5" ht="15.75">
      <c r="B52" s="167" t="s">
        <v>103</v>
      </c>
      <c r="C52" s="400"/>
      <c r="D52" s="400"/>
      <c r="E52" s="165" t="str">
        <f>Mvalloc!F12</f>
        <v>  </v>
      </c>
    </row>
    <row r="53" spans="2:5" ht="15.75">
      <c r="B53" s="393"/>
      <c r="C53" s="400"/>
      <c r="D53" s="400"/>
      <c r="E53" s="270"/>
    </row>
    <row r="54" spans="2:5" ht="15.75">
      <c r="B54" s="393"/>
      <c r="C54" s="400"/>
      <c r="D54" s="400"/>
      <c r="E54" s="270"/>
    </row>
    <row r="55" spans="2:5" ht="15.75">
      <c r="B55" s="281"/>
      <c r="C55" s="400"/>
      <c r="D55" s="400"/>
      <c r="E55" s="52"/>
    </row>
    <row r="56" spans="2:5" ht="15.75">
      <c r="B56" s="281"/>
      <c r="C56" s="400"/>
      <c r="D56" s="400"/>
      <c r="E56" s="52"/>
    </row>
    <row r="57" spans="2:5" ht="15.75">
      <c r="B57" s="300" t="s">
        <v>55</v>
      </c>
      <c r="C57" s="400"/>
      <c r="D57" s="400"/>
      <c r="E57" s="52"/>
    </row>
    <row r="58" spans="2:5" ht="15.75">
      <c r="B58" s="167" t="s">
        <v>143</v>
      </c>
      <c r="C58" s="400"/>
      <c r="D58" s="400"/>
      <c r="E58" s="52"/>
    </row>
    <row r="59" spans="2:5" ht="15.75">
      <c r="B59" s="167" t="s">
        <v>665</v>
      </c>
      <c r="C59" s="396">
        <f>IF(C60*0.1&lt;C58,"Exceed 10% Rule","")</f>
      </c>
      <c r="D59" s="396">
        <f>IF(D60*0.1&lt;D58,"Exceed 10% Rule","")</f>
      </c>
      <c r="E59" s="277">
        <f>IF(E60*0.1+E80&lt;E58,"Exceed 10% Rule","")</f>
      </c>
    </row>
    <row r="60" spans="2:5" ht="15.75">
      <c r="B60" s="278" t="s">
        <v>56</v>
      </c>
      <c r="C60" s="403">
        <f>SUM(C48:C58)</f>
        <v>0</v>
      </c>
      <c r="D60" s="403">
        <f>SUM(D48:D58)</f>
        <v>0</v>
      </c>
      <c r="E60" s="303">
        <f>SUM(E48:E58)</f>
        <v>0</v>
      </c>
    </row>
    <row r="61" spans="2:5" ht="15.75">
      <c r="B61" s="278" t="s">
        <v>57</v>
      </c>
      <c r="C61" s="403">
        <f>C46+C60</f>
        <v>0</v>
      </c>
      <c r="D61" s="403">
        <f>D46+D60</f>
        <v>0</v>
      </c>
      <c r="E61" s="303">
        <f>E46+E60</f>
        <v>0</v>
      </c>
    </row>
    <row r="62" spans="2:5" ht="15.75">
      <c r="B62" s="113" t="s">
        <v>58</v>
      </c>
      <c r="C62" s="401"/>
      <c r="D62" s="401"/>
      <c r="E62" s="165"/>
    </row>
    <row r="63" spans="2:5" ht="15.75">
      <c r="B63" s="281"/>
      <c r="C63" s="400"/>
      <c r="D63" s="400"/>
      <c r="E63" s="52" t="s">
        <v>24</v>
      </c>
    </row>
    <row r="64" spans="2:10" ht="15.75">
      <c r="B64" s="281"/>
      <c r="C64" s="400"/>
      <c r="D64" s="400"/>
      <c r="E64" s="52"/>
      <c r="G64" s="740" t="str">
        <f>CONCATENATE("Desired Carryover Into ",E1+1,"")</f>
        <v>Desired Carryover Into 2014</v>
      </c>
      <c r="H64" s="741"/>
      <c r="I64" s="741"/>
      <c r="J64" s="742"/>
    </row>
    <row r="65" spans="2:10" ht="15.75">
      <c r="B65" s="281"/>
      <c r="C65" s="400"/>
      <c r="D65" s="400"/>
      <c r="E65" s="52"/>
      <c r="G65" s="504"/>
      <c r="H65" s="488"/>
      <c r="I65" s="495"/>
      <c r="J65" s="505"/>
    </row>
    <row r="66" spans="2:10" ht="15.75">
      <c r="B66" s="281"/>
      <c r="C66" s="400"/>
      <c r="D66" s="400"/>
      <c r="E66" s="52"/>
      <c r="G66" s="501" t="s">
        <v>758</v>
      </c>
      <c r="H66" s="495"/>
      <c r="I66" s="495"/>
      <c r="J66" s="489">
        <v>0</v>
      </c>
    </row>
    <row r="67" spans="2:10" ht="15.75">
      <c r="B67" s="281"/>
      <c r="C67" s="400"/>
      <c r="D67" s="400"/>
      <c r="E67" s="52"/>
      <c r="G67" s="504" t="s">
        <v>759</v>
      </c>
      <c r="H67" s="488"/>
      <c r="I67" s="488"/>
      <c r="J67" s="626">
        <f>IF(J66=0,"",ROUND((J66+E80-G79)/inputOth!B14*1000,3)-G84)</f>
      </c>
    </row>
    <row r="68" spans="2:10" ht="15.75">
      <c r="B68" s="281"/>
      <c r="C68" s="400"/>
      <c r="D68" s="400"/>
      <c r="E68" s="52"/>
      <c r="G68" s="627" t="str">
        <f>CONCATENATE("",E1," Tot Exp/Non-Appr Must Be:")</f>
        <v>2013 Tot Exp/Non-Appr Must Be:</v>
      </c>
      <c r="H68" s="564"/>
      <c r="I68" s="628"/>
      <c r="J68" s="629">
        <f>IF(J66&gt;0,IF(E77&lt;E61,IF(J66=G79,E77,((J66-G79)*(1-D79))+E61),E77+(J66-G79)),0)</f>
        <v>0</v>
      </c>
    </row>
    <row r="69" spans="2:10" ht="15.75">
      <c r="B69" s="281"/>
      <c r="C69" s="400"/>
      <c r="D69" s="400"/>
      <c r="E69" s="52"/>
      <c r="G69" s="630" t="s">
        <v>864</v>
      </c>
      <c r="H69" s="631"/>
      <c r="I69" s="631"/>
      <c r="J69" s="632">
        <f>IF(J66&gt;0,J68-E77,0)</f>
        <v>0</v>
      </c>
    </row>
    <row r="70" spans="2:10" ht="15.75">
      <c r="B70" s="167" t="s">
        <v>280</v>
      </c>
      <c r="C70" s="400"/>
      <c r="D70" s="400"/>
      <c r="E70" s="59">
        <f>nhood!E11</f>
      </c>
      <c r="J70" s="633"/>
    </row>
    <row r="71" spans="2:10" ht="15.75">
      <c r="B71" s="167" t="s">
        <v>143</v>
      </c>
      <c r="C71" s="400"/>
      <c r="D71" s="400"/>
      <c r="E71" s="52"/>
      <c r="G71" s="740" t="str">
        <f>CONCATENATE("Projected Carryover Into ",E1+1,"")</f>
        <v>Projected Carryover Into 2014</v>
      </c>
      <c r="H71" s="756"/>
      <c r="I71" s="756"/>
      <c r="J71" s="755"/>
    </row>
    <row r="72" spans="2:10" ht="15.75">
      <c r="B72" s="167" t="s">
        <v>666</v>
      </c>
      <c r="C72" s="396">
        <f>IF(C73*0.1&lt;C71,"Exceed 10% Rule","")</f>
      </c>
      <c r="D72" s="396">
        <f>IF(D73*0.1&lt;D71,"Exceed 10% Rule","")</f>
      </c>
      <c r="E72" s="277">
        <f>IF(E73*0.1&lt;E71,"Exceed 10% Rule","")</f>
      </c>
      <c r="G72" s="490"/>
      <c r="H72" s="488"/>
      <c r="I72" s="488"/>
      <c r="J72" s="634"/>
    </row>
    <row r="73" spans="2:10" ht="15.75">
      <c r="B73" s="278" t="s">
        <v>59</v>
      </c>
      <c r="C73" s="403">
        <f>SUM(C63:C71)</f>
        <v>0</v>
      </c>
      <c r="D73" s="403">
        <f>SUM(D63:D71)</f>
        <v>0</v>
      </c>
      <c r="E73" s="303">
        <f>SUM(E63:E71)</f>
        <v>0</v>
      </c>
      <c r="G73" s="492">
        <f>D74</f>
        <v>0</v>
      </c>
      <c r="H73" s="493" t="str">
        <f>CONCATENATE("",E1-1," Ending Cash Balance (est.)")</f>
        <v>2012 Ending Cash Balance (est.)</v>
      </c>
      <c r="I73" s="494"/>
      <c r="J73" s="634"/>
    </row>
    <row r="74" spans="2:10" ht="15.75">
      <c r="B74" s="113" t="s">
        <v>164</v>
      </c>
      <c r="C74" s="404">
        <f>C61-C73</f>
        <v>0</v>
      </c>
      <c r="D74" s="404">
        <f>D61-D73</f>
        <v>0</v>
      </c>
      <c r="E74" s="269" t="s">
        <v>36</v>
      </c>
      <c r="G74" s="492">
        <f>E60</f>
        <v>0</v>
      </c>
      <c r="H74" s="495" t="str">
        <f>CONCATENATE("",E1," Non-AV Receipts (est.)")</f>
        <v>2013 Non-AV Receipts (est.)</v>
      </c>
      <c r="I74" s="494"/>
      <c r="J74" s="634"/>
    </row>
    <row r="75" spans="2:11" ht="15.75">
      <c r="B75" s="192" t="str">
        <f>CONCATENATE("",E1-2,"/",E1-1," Budget Authority Amount:")</f>
        <v>2011/2012 Budget Authority Amount:</v>
      </c>
      <c r="C75" s="203">
        <f>inputOth!B79</f>
        <v>0</v>
      </c>
      <c r="D75" s="203">
        <f>inputPrYr!D27</f>
        <v>0</v>
      </c>
      <c r="E75" s="269" t="s">
        <v>36</v>
      </c>
      <c r="F75" s="283"/>
      <c r="G75" s="496">
        <f>IF(D79&gt;0,E78,E80)</f>
        <v>0</v>
      </c>
      <c r="H75" s="495" t="str">
        <f>CONCATENATE("",E1," Ad Valorem Tax (est.)")</f>
        <v>2013 Ad Valorem Tax (est.)</v>
      </c>
      <c r="I75" s="494"/>
      <c r="J75" s="634"/>
      <c r="K75" s="635">
        <f>IF(G75=E80,"","Note: Does not include Delinquent Taxes")</f>
      </c>
    </row>
    <row r="76" spans="2:10" ht="15.75">
      <c r="B76" s="192"/>
      <c r="C76" s="750" t="s">
        <v>745</v>
      </c>
      <c r="D76" s="751"/>
      <c r="E76" s="52"/>
      <c r="F76" s="665">
        <f>IF(E73/0.95-E73&lt;E76,"Exceeds 5%","")</f>
      </c>
      <c r="G76" s="508">
        <f>SUM(G73:G75)</f>
        <v>0</v>
      </c>
      <c r="H76" s="495" t="str">
        <f>CONCATENATE("Total ",E1," Resources Available")</f>
        <v>Total 2013 Resources Available</v>
      </c>
      <c r="I76" s="491"/>
      <c r="J76" s="634"/>
    </row>
    <row r="77" spans="2:10" ht="15.75">
      <c r="B77" s="482" t="str">
        <f>CONCATENATE(C94,"     ",D94)</f>
        <v>     </v>
      </c>
      <c r="C77" s="752" t="s">
        <v>746</v>
      </c>
      <c r="D77" s="753"/>
      <c r="E77" s="165">
        <f>E73+E76</f>
        <v>0</v>
      </c>
      <c r="G77" s="511"/>
      <c r="H77" s="509"/>
      <c r="I77" s="488"/>
      <c r="J77" s="634"/>
    </row>
    <row r="78" spans="2:10" ht="15.75">
      <c r="B78" s="482" t="str">
        <f>CONCATENATE(C95,"     ",D95)</f>
        <v>     </v>
      </c>
      <c r="C78" s="284"/>
      <c r="D78" s="199" t="s">
        <v>60</v>
      </c>
      <c r="E78" s="59">
        <f>IF(E77-E61&gt;0,E77-E61,0)</f>
        <v>0</v>
      </c>
      <c r="G78" s="510">
        <f>ROUND(C73*0.05+C73,0)</f>
        <v>0</v>
      </c>
      <c r="H78" s="509" t="str">
        <f>CONCATENATE("Less ",E1-2," Expenditures + 5%")</f>
        <v>Less 2011 Expenditures + 5%</v>
      </c>
      <c r="I78" s="491"/>
      <c r="J78" s="634"/>
    </row>
    <row r="79" spans="2:10" ht="15.75">
      <c r="B79" s="199"/>
      <c r="C79" s="464" t="s">
        <v>747</v>
      </c>
      <c r="D79" s="655">
        <f>inputOth!$E$61</f>
        <v>0</v>
      </c>
      <c r="E79" s="165">
        <f>ROUND(IF(D79&gt;0,(E78*D79),0),0)</f>
        <v>0</v>
      </c>
      <c r="G79" s="512">
        <f>G76-G78</f>
        <v>0</v>
      </c>
      <c r="H79" s="513" t="str">
        <f>CONCATENATE("Projected ",E1+1," carryover (est.)")</f>
        <v>Projected 2014 carryover (est.)</v>
      </c>
      <c r="I79" s="500"/>
      <c r="J79" s="637"/>
    </row>
    <row r="80" spans="2:9" ht="16.5" thickBot="1">
      <c r="B80" s="28"/>
      <c r="C80" s="748" t="str">
        <f>CONCATENATE("Amount of  ",$E$1-1," Ad Valorem Tax")</f>
        <v>Amount of  2012 Ad Valorem Tax</v>
      </c>
      <c r="D80" s="749"/>
      <c r="E80" s="563">
        <f>E78+E79</f>
        <v>0</v>
      </c>
      <c r="G80" s="633"/>
      <c r="H80" s="633"/>
      <c r="I80" s="633"/>
    </row>
    <row r="81" spans="2:10" ht="16.5" thickTop="1">
      <c r="B81" s="192" t="s">
        <v>62</v>
      </c>
      <c r="C81" s="288"/>
      <c r="D81" s="289"/>
      <c r="E81" s="28"/>
      <c r="G81" s="743" t="s">
        <v>865</v>
      </c>
      <c r="H81" s="744"/>
      <c r="I81" s="744"/>
      <c r="J81" s="745"/>
    </row>
    <row r="82" spans="7:10" ht="15.75">
      <c r="G82" s="638"/>
      <c r="H82" s="493"/>
      <c r="I82" s="639"/>
      <c r="J82" s="640"/>
    </row>
    <row r="83" spans="2:10" ht="15.75">
      <c r="B83" s="88"/>
      <c r="G83" s="641" t="str">
        <f>summ!H20</f>
        <v>  </v>
      </c>
      <c r="H83" s="493" t="str">
        <f>CONCATENATE("",E1," Fund Mill Rate")</f>
        <v>2013 Fund Mill Rate</v>
      </c>
      <c r="I83" s="639"/>
      <c r="J83" s="640"/>
    </row>
    <row r="84" spans="7:10" ht="15.75">
      <c r="G84" s="642" t="str">
        <f>summ!E22</f>
        <v>  </v>
      </c>
      <c r="H84" s="493" t="str">
        <f>CONCATENATE("",E1-1," Fund Mill Rate")</f>
        <v>2012 Fund Mill Rate</v>
      </c>
      <c r="I84" s="639"/>
      <c r="J84" s="640"/>
    </row>
    <row r="85" spans="7:10" ht="15.75">
      <c r="G85" s="643">
        <f>summ!H31</f>
        <v>40.797</v>
      </c>
      <c r="H85" s="493" t="str">
        <f>CONCATENATE("Total ",E1," Mill Rate")</f>
        <v>Total 2013 Mill Rate</v>
      </c>
      <c r="I85" s="639"/>
      <c r="J85" s="640"/>
    </row>
    <row r="86" spans="7:10" ht="15.75">
      <c r="G86" s="642">
        <f>summ!E31</f>
        <v>48.815</v>
      </c>
      <c r="H86" s="644" t="str">
        <f>CONCATENATE("Total ",E1-1," Mill Rate")</f>
        <v>Total 2012 Mill Rate</v>
      </c>
      <c r="I86" s="645"/>
      <c r="J86" s="646"/>
    </row>
    <row r="92" spans="3:4" ht="15.75" hidden="1">
      <c r="C92" s="24">
        <f>IF(C33&gt;C35,"See Tab A","")</f>
      </c>
      <c r="D92" s="24">
        <f>IF(D33&gt;D35,"See Tab C","")</f>
      </c>
    </row>
    <row r="93" spans="3:4" ht="15.75" hidden="1">
      <c r="C93" s="24">
        <f>IF(C34&lt;0,"See Tab B","")</f>
      </c>
      <c r="D93" s="24">
        <f>IF(D34&lt;0,"See Tab D","")</f>
      </c>
    </row>
    <row r="94" spans="3:4" ht="15.75" hidden="1">
      <c r="C94" s="24">
        <f>IF(C73&gt;C75,"See Tab A","")</f>
      </c>
      <c r="D94" s="24">
        <f>IF(D73&gt;D75,"See Tab C","")</f>
      </c>
    </row>
    <row r="95" spans="3:4" ht="15.75" hidden="1">
      <c r="C95" s="24">
        <f>IF(C74&lt;0,"See Tab B","")</f>
      </c>
      <c r="D95" s="24">
        <f>IF(D74&lt;0,"See Tab D","")</f>
      </c>
    </row>
  </sheetData>
  <sheetProtection sheet="1"/>
  <mergeCells count="12">
    <mergeCell ref="G24:J24"/>
    <mergeCell ref="G32:J32"/>
    <mergeCell ref="G42:J42"/>
    <mergeCell ref="G64:J64"/>
    <mergeCell ref="G71:J71"/>
    <mergeCell ref="G81:J81"/>
    <mergeCell ref="C80:D80"/>
    <mergeCell ref="C40:D40"/>
    <mergeCell ref="C36:D36"/>
    <mergeCell ref="C37:D37"/>
    <mergeCell ref="C76:D76"/>
    <mergeCell ref="C77:D77"/>
  </mergeCells>
  <conditionalFormatting sqref="E71">
    <cfRule type="cellIs" priority="3" dxfId="140" operator="greaterThan" stopIfTrue="1">
      <formula>$E$73*0.1</formula>
    </cfRule>
  </conditionalFormatting>
  <conditionalFormatting sqref="E31">
    <cfRule type="cellIs" priority="4" dxfId="140" operator="greaterThan" stopIfTrue="1">
      <formula>$E$33*0.1</formula>
    </cfRule>
  </conditionalFormatting>
  <conditionalFormatting sqref="E36">
    <cfRule type="cellIs" priority="5" dxfId="140" operator="greaterThan" stopIfTrue="1">
      <formula>$E$33/0.95-$E$33</formula>
    </cfRule>
  </conditionalFormatting>
  <conditionalFormatting sqref="E76">
    <cfRule type="cellIs" priority="6" dxfId="140" operator="greaterThan" stopIfTrue="1">
      <formula>$E$73/0.95-$E$73</formula>
    </cfRule>
  </conditionalFormatting>
  <conditionalFormatting sqref="C71">
    <cfRule type="cellIs" priority="7" dxfId="1" operator="greaterThan" stopIfTrue="1">
      <formula>$C$73*0.1</formula>
    </cfRule>
  </conditionalFormatting>
  <conditionalFormatting sqref="D71">
    <cfRule type="cellIs" priority="8" dxfId="1" operator="greaterThan" stopIfTrue="1">
      <formula>$D$73*0.1</formula>
    </cfRule>
  </conditionalFormatting>
  <conditionalFormatting sqref="C73">
    <cfRule type="cellIs" priority="9" dxfId="1" operator="greaterThan" stopIfTrue="1">
      <formula>$C$75</formula>
    </cfRule>
  </conditionalFormatting>
  <conditionalFormatting sqref="D73">
    <cfRule type="cellIs" priority="10" dxfId="1" operator="greaterThan" stopIfTrue="1">
      <formula>$D$75</formula>
    </cfRule>
  </conditionalFormatting>
  <conditionalFormatting sqref="C74 C34">
    <cfRule type="cellIs" priority="11" dxfId="1" operator="lessThan" stopIfTrue="1">
      <formula>0</formula>
    </cfRule>
  </conditionalFormatting>
  <conditionalFormatting sqref="D58">
    <cfRule type="cellIs" priority="12" dxfId="1" operator="greaterThan" stopIfTrue="1">
      <formula>$D$60*0.1</formula>
    </cfRule>
  </conditionalFormatting>
  <conditionalFormatting sqref="C58">
    <cfRule type="cellIs" priority="13" dxfId="1" operator="greaterThan" stopIfTrue="1">
      <formula>$C$60*0.1</formula>
    </cfRule>
  </conditionalFormatting>
  <conditionalFormatting sqref="D18">
    <cfRule type="cellIs" priority="14" dxfId="1" operator="greaterThan" stopIfTrue="1">
      <formula>$D$20*0.1</formula>
    </cfRule>
  </conditionalFormatting>
  <conditionalFormatting sqref="C18">
    <cfRule type="cellIs" priority="15" dxfId="1" operator="greaterThan" stopIfTrue="1">
      <formula>$C$20*0.1</formula>
    </cfRule>
  </conditionalFormatting>
  <conditionalFormatting sqref="D31">
    <cfRule type="cellIs" priority="16" dxfId="1" operator="greaterThan" stopIfTrue="1">
      <formula>$D$33*0.1</formula>
    </cfRule>
  </conditionalFormatting>
  <conditionalFormatting sqref="C31">
    <cfRule type="cellIs" priority="17" dxfId="1" operator="greaterThan" stopIfTrue="1">
      <formula>$C$33*0.1</formula>
    </cfRule>
  </conditionalFormatting>
  <conditionalFormatting sqref="D33">
    <cfRule type="cellIs" priority="18" dxfId="1" operator="greaterThan" stopIfTrue="1">
      <formula>$D$35</formula>
    </cfRule>
  </conditionalFormatting>
  <conditionalFormatting sqref="C33">
    <cfRule type="cellIs" priority="19" dxfId="1" operator="greaterThan" stopIfTrue="1">
      <formula>$C$35</formula>
    </cfRule>
  </conditionalFormatting>
  <conditionalFormatting sqref="E58">
    <cfRule type="cellIs" priority="20" dxfId="140" operator="greaterThan" stopIfTrue="1">
      <formula>$E$60*0.1+E80</formula>
    </cfRule>
  </conditionalFormatting>
  <conditionalFormatting sqref="E18">
    <cfRule type="cellIs" priority="21" dxfId="140"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J69" sqref="J69"/>
    </sheetView>
  </sheetViews>
  <sheetFormatPr defaultColWidth="8.796875" defaultRowHeight="15"/>
  <cols>
    <col min="1" max="1" width="2.3984375" style="24" customWidth="1"/>
    <col min="2" max="2" width="31.09765625" style="24" customWidth="1"/>
    <col min="3" max="4" width="15.796875" style="24" customWidth="1"/>
    <col min="5" max="5" width="16.09765625" style="24" customWidth="1"/>
    <col min="6" max="6" width="8.09765625" style="24" customWidth="1"/>
    <col min="7" max="7" width="10.19921875" style="24" customWidth="1"/>
    <col min="8" max="8" width="8.8984375" style="24" customWidth="1"/>
    <col min="9" max="9" width="5" style="24" customWidth="1"/>
    <col min="10" max="10" width="10" style="24" customWidth="1"/>
    <col min="11" max="16384" width="8.8984375" style="24" customWidth="1"/>
  </cols>
  <sheetData>
    <row r="1" spans="2:5" ht="15.75">
      <c r="B1" s="183" t="str">
        <f>(inputPrYr!D3)</f>
        <v>City of Vining</v>
      </c>
      <c r="C1" s="28"/>
      <c r="D1" s="28"/>
      <c r="E1" s="139">
        <f>inputPrYr!$C$10</f>
        <v>2013</v>
      </c>
    </row>
    <row r="2" spans="2:5" ht="15.75">
      <c r="B2" s="28"/>
      <c r="C2" s="28"/>
      <c r="D2" s="28"/>
      <c r="E2" s="199"/>
    </row>
    <row r="3" spans="2:5" ht="15.75">
      <c r="B3" s="46" t="s">
        <v>107</v>
      </c>
      <c r="C3" s="150"/>
      <c r="D3" s="150"/>
      <c r="E3" s="141"/>
    </row>
    <row r="4" spans="2:5" ht="15.75">
      <c r="B4" s="34" t="s">
        <v>48</v>
      </c>
      <c r="C4" s="599" t="s">
        <v>853</v>
      </c>
      <c r="D4" s="600" t="s">
        <v>854</v>
      </c>
      <c r="E4" s="152" t="s">
        <v>855</v>
      </c>
    </row>
    <row r="5" spans="2:5" ht="15.75">
      <c r="B5" s="524">
        <f>(inputPrYr!B28)</f>
        <v>0</v>
      </c>
      <c r="C5" s="561" t="str">
        <f>CONCATENATE("Actual for ",E1-2,"")</f>
        <v>Actual for 2011</v>
      </c>
      <c r="D5" s="561" t="str">
        <f>CONCATENATE("Estimate for ",E1-1,"")</f>
        <v>Estimate for 2012</v>
      </c>
      <c r="E5" s="214" t="str">
        <f>CONCATENATE("Year for ",E1,"")</f>
        <v>Year for 2013</v>
      </c>
    </row>
    <row r="6" spans="2:5" ht="15.75">
      <c r="B6" s="113" t="s">
        <v>163</v>
      </c>
      <c r="C6" s="400"/>
      <c r="D6" s="401">
        <f>C34</f>
        <v>0</v>
      </c>
      <c r="E6" s="165">
        <f>D34</f>
        <v>0</v>
      </c>
    </row>
    <row r="7" spans="2:5" ht="15.75">
      <c r="B7" s="268" t="s">
        <v>165</v>
      </c>
      <c r="C7" s="401"/>
      <c r="D7" s="401"/>
      <c r="E7" s="165"/>
    </row>
    <row r="8" spans="2:5" ht="15.75">
      <c r="B8" s="113" t="s">
        <v>49</v>
      </c>
      <c r="C8" s="400"/>
      <c r="D8" s="401">
        <f>IF(inputPrYr!H21,inputPrYr!G28,inputPrYr!E28)</f>
        <v>0</v>
      </c>
      <c r="E8" s="269" t="s">
        <v>36</v>
      </c>
    </row>
    <row r="9" spans="2:5" ht="15.75">
      <c r="B9" s="113" t="s">
        <v>50</v>
      </c>
      <c r="C9" s="400"/>
      <c r="D9" s="400"/>
      <c r="E9" s="52"/>
    </row>
    <row r="10" spans="2:5" ht="15.75">
      <c r="B10" s="113" t="s">
        <v>51</v>
      </c>
      <c r="C10" s="400"/>
      <c r="D10" s="400"/>
      <c r="E10" s="165" t="str">
        <f>Mvalloc!D13</f>
        <v>  </v>
      </c>
    </row>
    <row r="11" spans="2:5" ht="15.75">
      <c r="B11" s="113" t="s">
        <v>52</v>
      </c>
      <c r="C11" s="400"/>
      <c r="D11" s="400"/>
      <c r="E11" s="165" t="str">
        <f>Mvalloc!E13</f>
        <v>  </v>
      </c>
    </row>
    <row r="12" spans="2:5" ht="15.75">
      <c r="B12" s="167" t="s">
        <v>103</v>
      </c>
      <c r="C12" s="400"/>
      <c r="D12" s="400"/>
      <c r="E12" s="165" t="str">
        <f>Mvalloc!F13</f>
        <v>  </v>
      </c>
    </row>
    <row r="13" spans="2:5" ht="15.75">
      <c r="B13" s="393"/>
      <c r="C13" s="400"/>
      <c r="D13" s="400"/>
      <c r="E13" s="270"/>
    </row>
    <row r="14" spans="2:5" ht="15.75">
      <c r="B14" s="281"/>
      <c r="C14" s="400"/>
      <c r="D14" s="400"/>
      <c r="E14" s="52"/>
    </row>
    <row r="15" spans="2:5" ht="15.75">
      <c r="B15" s="281"/>
      <c r="C15" s="400"/>
      <c r="D15" s="400"/>
      <c r="E15" s="52"/>
    </row>
    <row r="16" spans="2:5" ht="15.75">
      <c r="B16" s="281"/>
      <c r="C16" s="400"/>
      <c r="D16" s="400"/>
      <c r="E16" s="52"/>
    </row>
    <row r="17" spans="2:5" ht="15.75">
      <c r="B17" s="300" t="s">
        <v>55</v>
      </c>
      <c r="C17" s="400"/>
      <c r="D17" s="400"/>
      <c r="E17" s="52"/>
    </row>
    <row r="18" spans="2:5" ht="15.75">
      <c r="B18" s="167" t="s">
        <v>143</v>
      </c>
      <c r="C18" s="400"/>
      <c r="D18" s="400"/>
      <c r="E18" s="52"/>
    </row>
    <row r="19" spans="2:5" ht="15.75">
      <c r="B19" s="167" t="s">
        <v>665</v>
      </c>
      <c r="C19" s="396">
        <f>IF(C20*0.1&lt;C18,"Exceed 10% Rule","")</f>
      </c>
      <c r="D19" s="396">
        <f>IF(D20*0.1&lt;D18,"Exceed 10% Rule","")</f>
      </c>
      <c r="E19" s="277">
        <f>IF(E20*0.1+E40&lt;E18,"Exceed 10% Rule","")</f>
      </c>
    </row>
    <row r="20" spans="2:5" ht="15.75">
      <c r="B20" s="278" t="s">
        <v>56</v>
      </c>
      <c r="C20" s="403">
        <f>SUM(C8:C18)</f>
        <v>0</v>
      </c>
      <c r="D20" s="403">
        <f>SUM(D8:D18)</f>
        <v>0</v>
      </c>
      <c r="E20" s="303">
        <f>SUM(E8:E18)</f>
        <v>0</v>
      </c>
    </row>
    <row r="21" spans="2:5" ht="15.75">
      <c r="B21" s="278" t="s">
        <v>57</v>
      </c>
      <c r="C21" s="403">
        <f>C6+C20</f>
        <v>0</v>
      </c>
      <c r="D21" s="403">
        <f>D6+D20</f>
        <v>0</v>
      </c>
      <c r="E21" s="303">
        <f>E6+E20</f>
        <v>0</v>
      </c>
    </row>
    <row r="22" spans="2:5" ht="15.75">
      <c r="B22" s="113" t="s">
        <v>58</v>
      </c>
      <c r="C22" s="401"/>
      <c r="D22" s="401"/>
      <c r="E22" s="165"/>
    </row>
    <row r="23" spans="2:5" ht="15.75">
      <c r="B23" s="281"/>
      <c r="C23" s="400"/>
      <c r="D23" s="400"/>
      <c r="E23" s="52"/>
    </row>
    <row r="24" spans="2:10" ht="15.75">
      <c r="B24" s="281"/>
      <c r="C24" s="400"/>
      <c r="D24" s="400"/>
      <c r="E24" s="52"/>
      <c r="G24" s="740" t="str">
        <f>CONCATENATE("Desired Carryover Into ",E1+1,"")</f>
        <v>Desired Carryover Into 2014</v>
      </c>
      <c r="H24" s="741"/>
      <c r="I24" s="741"/>
      <c r="J24" s="742"/>
    </row>
    <row r="25" spans="2:10" ht="15.75">
      <c r="B25" s="281"/>
      <c r="C25" s="400"/>
      <c r="D25" s="400"/>
      <c r="E25" s="52"/>
      <c r="G25" s="504"/>
      <c r="H25" s="488"/>
      <c r="I25" s="495"/>
      <c r="J25" s="505"/>
    </row>
    <row r="26" spans="2:10" ht="15.75">
      <c r="B26" s="281"/>
      <c r="C26" s="400"/>
      <c r="D26" s="400"/>
      <c r="E26" s="52"/>
      <c r="G26" s="501" t="s">
        <v>758</v>
      </c>
      <c r="H26" s="495"/>
      <c r="I26" s="495"/>
      <c r="J26" s="489">
        <v>0</v>
      </c>
    </row>
    <row r="27" spans="2:10" ht="15.75">
      <c r="B27" s="281"/>
      <c r="C27" s="400"/>
      <c r="D27" s="400"/>
      <c r="E27" s="52"/>
      <c r="G27" s="504" t="s">
        <v>759</v>
      </c>
      <c r="H27" s="488"/>
      <c r="I27" s="488"/>
      <c r="J27" s="626">
        <f>IF(J26=0,"",ROUND((J26+E40-G39)/inputOth!B14*1000,3)-G44)</f>
      </c>
    </row>
    <row r="28" spans="2:10" ht="15.75">
      <c r="B28" s="281"/>
      <c r="C28" s="400"/>
      <c r="D28" s="400"/>
      <c r="E28" s="52"/>
      <c r="G28" s="627" t="str">
        <f>CONCATENATE("",E1," Tot Exp/Non-Appr Must Be:")</f>
        <v>2013 Tot Exp/Non-Appr Must Be:</v>
      </c>
      <c r="H28" s="564"/>
      <c r="I28" s="628"/>
      <c r="J28" s="629">
        <f>IF(J26&gt;0,IF(E37&lt;E21,IF(J26=G39,E37,((J26-G39)*(1-D39))+E21),E37+(J26-G39)),0)</f>
        <v>0</v>
      </c>
    </row>
    <row r="29" spans="2:10" ht="15.75">
      <c r="B29" s="281"/>
      <c r="C29" s="400"/>
      <c r="D29" s="400"/>
      <c r="E29" s="52"/>
      <c r="G29" s="630" t="s">
        <v>864</v>
      </c>
      <c r="H29" s="631"/>
      <c r="I29" s="631"/>
      <c r="J29" s="632">
        <f>IF(J26&gt;0,J28-E37,0)</f>
        <v>0</v>
      </c>
    </row>
    <row r="30" spans="2:10" ht="15.75">
      <c r="B30" s="167" t="s">
        <v>280</v>
      </c>
      <c r="C30" s="400"/>
      <c r="D30" s="400"/>
      <c r="E30" s="59">
        <f>nhood!E12</f>
      </c>
      <c r="J30" s="633"/>
    </row>
    <row r="31" spans="2:10" ht="15.75">
      <c r="B31" s="167" t="s">
        <v>143</v>
      </c>
      <c r="C31" s="400"/>
      <c r="D31" s="400"/>
      <c r="E31" s="52"/>
      <c r="G31" s="740" t="str">
        <f>CONCATENATE("Projected Carryover Into ",E1+1,"")</f>
        <v>Projected Carryover Into 2014</v>
      </c>
      <c r="H31" s="754"/>
      <c r="I31" s="754"/>
      <c r="J31" s="755"/>
    </row>
    <row r="32" spans="2:10" ht="15.75">
      <c r="B32" s="167" t="s">
        <v>666</v>
      </c>
      <c r="C32" s="396">
        <f>IF(C33*0.1&lt;C31,"Exceed 10% Rule","")</f>
      </c>
      <c r="D32" s="396">
        <f>IF(D33*0.1&lt;D31,"Exceed 10% Rule","")</f>
      </c>
      <c r="E32" s="277">
        <f>IF(E33*0.1&lt;E31,"Exceed 10% Rule","")</f>
      </c>
      <c r="G32" s="504"/>
      <c r="H32" s="495"/>
      <c r="I32" s="495"/>
      <c r="J32" s="634"/>
    </row>
    <row r="33" spans="2:10" ht="15.75">
      <c r="B33" s="278" t="s">
        <v>59</v>
      </c>
      <c r="C33" s="403">
        <f>SUM(C23:C31)</f>
        <v>0</v>
      </c>
      <c r="D33" s="403">
        <f>SUM(D23:D31)</f>
        <v>0</v>
      </c>
      <c r="E33" s="303">
        <f>SUM(E23:E31)</f>
        <v>0</v>
      </c>
      <c r="G33" s="492">
        <f>D34</f>
        <v>0</v>
      </c>
      <c r="H33" s="493" t="str">
        <f>CONCATENATE("",E1-1," Ending Cash Balance (est.)")</f>
        <v>2012 Ending Cash Balance (est.)</v>
      </c>
      <c r="I33" s="494"/>
      <c r="J33" s="634"/>
    </row>
    <row r="34" spans="2:10" ht="15.75">
      <c r="B34" s="113" t="s">
        <v>164</v>
      </c>
      <c r="C34" s="404">
        <f>C21-C33</f>
        <v>0</v>
      </c>
      <c r="D34" s="404">
        <f>D21-D33</f>
        <v>0</v>
      </c>
      <c r="E34" s="269" t="s">
        <v>36</v>
      </c>
      <c r="G34" s="492">
        <f>E20</f>
        <v>0</v>
      </c>
      <c r="H34" s="495" t="str">
        <f>CONCATENATE("",E1," Non-AV Receipts (est.)")</f>
        <v>2013 Non-AV Receipts (est.)</v>
      </c>
      <c r="I34" s="494"/>
      <c r="J34" s="634"/>
    </row>
    <row r="35" spans="2:11" ht="15.75">
      <c r="B35" s="192" t="str">
        <f>CONCATENATE("",E1-2,"/",E1-1," Budget Authority Amount:")</f>
        <v>2011/2012 Budget Authority Amount:</v>
      </c>
      <c r="C35" s="203">
        <f>inputOth!B80</f>
        <v>0</v>
      </c>
      <c r="D35" s="203">
        <f>inputPrYr!D28</f>
        <v>0</v>
      </c>
      <c r="E35" s="269" t="s">
        <v>36</v>
      </c>
      <c r="F35" s="283"/>
      <c r="G35" s="496">
        <f>IF(D39&gt;0,E38,E40)</f>
        <v>0</v>
      </c>
      <c r="H35" s="495" t="str">
        <f>CONCATENATE("",E1," Ad Valorem Tax (est.)")</f>
        <v>2013 Ad Valorem Tax (est.)</v>
      </c>
      <c r="I35" s="494"/>
      <c r="J35" s="634"/>
      <c r="K35" s="635">
        <f>IF(G35=E40,"","Note: Does not include Delinquent Taxes")</f>
      </c>
    </row>
    <row r="36" spans="2:10" ht="15.75">
      <c r="B36" s="192"/>
      <c r="C36" s="750" t="s">
        <v>745</v>
      </c>
      <c r="D36" s="751"/>
      <c r="E36" s="52"/>
      <c r="F36" s="665">
        <f>IF(E33/0.95-E33&lt;E36,"Exceeds 5%","")</f>
      </c>
      <c r="G36" s="492">
        <f>SUM(G33:G35)</f>
        <v>0</v>
      </c>
      <c r="H36" s="495" t="str">
        <f>CONCATENATE("Total ",E1," Resources Available")</f>
        <v>Total 2013 Resources Available</v>
      </c>
      <c r="I36" s="494"/>
      <c r="J36" s="634"/>
    </row>
    <row r="37" spans="2:10" ht="15.75">
      <c r="B37" s="482" t="str">
        <f>CONCATENATE(C91,"     ",D91)</f>
        <v>     </v>
      </c>
      <c r="C37" s="752" t="s">
        <v>746</v>
      </c>
      <c r="D37" s="753"/>
      <c r="E37" s="165">
        <f>E33+E36</f>
        <v>0</v>
      </c>
      <c r="G37" s="497"/>
      <c r="H37" s="495"/>
      <c r="I37" s="495"/>
      <c r="J37" s="634"/>
    </row>
    <row r="38" spans="2:10" ht="15.75">
      <c r="B38" s="482" t="str">
        <f>CONCATENATE(C92,"     ",D92)</f>
        <v>     </v>
      </c>
      <c r="C38" s="284"/>
      <c r="D38" s="199" t="s">
        <v>60</v>
      </c>
      <c r="E38" s="59">
        <f>IF(E37-E21&gt;0,E37-E21,0)</f>
        <v>0</v>
      </c>
      <c r="G38" s="496">
        <f>ROUND(C33*0.05+C33,0)</f>
        <v>0</v>
      </c>
      <c r="H38" s="495" t="str">
        <f>CONCATENATE("Less ",E1-2," Expenditures + 5%")</f>
        <v>Less 2011 Expenditures + 5%</v>
      </c>
      <c r="I38" s="494"/>
      <c r="J38" s="634"/>
    </row>
    <row r="39" spans="2:10" ht="15.75">
      <c r="B39" s="199"/>
      <c r="C39" s="464" t="s">
        <v>747</v>
      </c>
      <c r="D39" s="655">
        <f>inputOth!$E$61</f>
        <v>0</v>
      </c>
      <c r="E39" s="165">
        <f>ROUND(IF(D39&gt;0,(E38*D39),0),0)</f>
        <v>0</v>
      </c>
      <c r="G39" s="636">
        <f>G36-G38</f>
        <v>0</v>
      </c>
      <c r="H39" s="507" t="str">
        <f>CONCATENATE("Projected ",E1+1," carryover (est.)")</f>
        <v>Projected 2014 carryover (est.)</v>
      </c>
      <c r="I39" s="499"/>
      <c r="J39" s="637"/>
    </row>
    <row r="40" spans="2:10" ht="16.5" thickBot="1">
      <c r="B40" s="28"/>
      <c r="C40" s="748" t="str">
        <f>CONCATENATE("Amount of  ",$E$1-1," Ad Valorem Tax")</f>
        <v>Amount of  2012 Ad Valorem Tax</v>
      </c>
      <c r="D40" s="749"/>
      <c r="E40" s="563">
        <f>E38+E39</f>
        <v>0</v>
      </c>
      <c r="G40" s="633"/>
      <c r="H40" s="633"/>
      <c r="I40" s="633"/>
      <c r="J40" s="633"/>
    </row>
    <row r="41" spans="2:10" ht="16.5" thickTop="1">
      <c r="B41" s="28"/>
      <c r="C41" s="562"/>
      <c r="D41" s="28"/>
      <c r="E41" s="28"/>
      <c r="G41" s="743" t="s">
        <v>865</v>
      </c>
      <c r="H41" s="744"/>
      <c r="I41" s="744"/>
      <c r="J41" s="745"/>
    </row>
    <row r="42" spans="2:10" ht="15.75">
      <c r="B42" s="28"/>
      <c r="C42" s="562"/>
      <c r="D42" s="28"/>
      <c r="E42" s="28"/>
      <c r="G42" s="638"/>
      <c r="H42" s="493"/>
      <c r="I42" s="639"/>
      <c r="J42" s="640"/>
    </row>
    <row r="43" spans="2:10" ht="15.75">
      <c r="B43" s="34"/>
      <c r="C43" s="150"/>
      <c r="D43" s="150"/>
      <c r="E43" s="150"/>
      <c r="G43" s="641" t="str">
        <f>summ!H21</f>
        <v>  </v>
      </c>
      <c r="H43" s="493" t="str">
        <f>CONCATENATE("",E1," Fund Mill Rate")</f>
        <v>2013 Fund Mill Rate</v>
      </c>
      <c r="I43" s="639"/>
      <c r="J43" s="640"/>
    </row>
    <row r="44" spans="2:10" ht="15.75">
      <c r="B44" s="34" t="s">
        <v>48</v>
      </c>
      <c r="C44" s="599" t="s">
        <v>853</v>
      </c>
      <c r="D44" s="600" t="s">
        <v>854</v>
      </c>
      <c r="E44" s="152" t="s">
        <v>855</v>
      </c>
      <c r="G44" s="642" t="str">
        <f>summ!E21</f>
        <v>  </v>
      </c>
      <c r="H44" s="493" t="str">
        <f>CONCATENATE("",E1-1," Fund Mill Rate")</f>
        <v>2012 Fund Mill Rate</v>
      </c>
      <c r="I44" s="639"/>
      <c r="J44" s="640"/>
    </row>
    <row r="45" spans="2:10" ht="15.75">
      <c r="B45" s="524">
        <f>(inputPrYr!B29)</f>
        <v>0</v>
      </c>
      <c r="C45" s="561" t="str">
        <f>C5</f>
        <v>Actual for 2011</v>
      </c>
      <c r="D45" s="561" t="str">
        <f>D5</f>
        <v>Estimate for 2012</v>
      </c>
      <c r="E45" s="214" t="str">
        <f>E5</f>
        <v>Year for 2013</v>
      </c>
      <c r="G45" s="643">
        <f>summ!H31</f>
        <v>40.797</v>
      </c>
      <c r="H45" s="493" t="str">
        <f>CONCATENATE("Total ",E1," Mill Rate")</f>
        <v>Total 2013 Mill Rate</v>
      </c>
      <c r="I45" s="639"/>
      <c r="J45" s="640"/>
    </row>
    <row r="46" spans="2:10" ht="15.75">
      <c r="B46" s="113" t="s">
        <v>163</v>
      </c>
      <c r="C46" s="400"/>
      <c r="D46" s="401">
        <f>C74</f>
        <v>0</v>
      </c>
      <c r="E46" s="165">
        <f>D74</f>
        <v>0</v>
      </c>
      <c r="G46" s="642">
        <f>summ!E31</f>
        <v>48.815</v>
      </c>
      <c r="H46" s="644" t="str">
        <f>CONCATENATE("Total ",E1-1," Mill Rate")</f>
        <v>Total 2012 Mill Rate</v>
      </c>
      <c r="I46" s="645"/>
      <c r="J46" s="646"/>
    </row>
    <row r="47" spans="2:5" ht="15.75">
      <c r="B47" s="268" t="s">
        <v>165</v>
      </c>
      <c r="C47" s="401"/>
      <c r="D47" s="401"/>
      <c r="E47" s="165"/>
    </row>
    <row r="48" spans="2:5" ht="15.75">
      <c r="B48" s="113" t="s">
        <v>49</v>
      </c>
      <c r="C48" s="400"/>
      <c r="D48" s="401">
        <f>IF(inputPrYr!H21&gt;0,inputPrYr!G29,inputPrYr!E29)</f>
        <v>0</v>
      </c>
      <c r="E48" s="269" t="s">
        <v>36</v>
      </c>
    </row>
    <row r="49" spans="2:5" ht="15.75">
      <c r="B49" s="113" t="s">
        <v>50</v>
      </c>
      <c r="C49" s="400"/>
      <c r="D49" s="400"/>
      <c r="E49" s="52"/>
    </row>
    <row r="50" spans="2:5" ht="15.75">
      <c r="B50" s="113" t="s">
        <v>51</v>
      </c>
      <c r="C50" s="400"/>
      <c r="D50" s="400"/>
      <c r="E50" s="165" t="str">
        <f>Mvalloc!D14</f>
        <v>  </v>
      </c>
    </row>
    <row r="51" spans="2:5" ht="15.75">
      <c r="B51" s="113" t="s">
        <v>52</v>
      </c>
      <c r="C51" s="400"/>
      <c r="D51" s="400"/>
      <c r="E51" s="165" t="str">
        <f>Mvalloc!E14</f>
        <v>  </v>
      </c>
    </row>
    <row r="52" spans="2:5" ht="15.75">
      <c r="B52" s="167" t="s">
        <v>103</v>
      </c>
      <c r="C52" s="400"/>
      <c r="D52" s="400"/>
      <c r="E52" s="165" t="str">
        <f>Mvalloc!F14</f>
        <v>  </v>
      </c>
    </row>
    <row r="53" spans="2:5" ht="15.75">
      <c r="B53" s="393"/>
      <c r="C53" s="400"/>
      <c r="D53" s="400"/>
      <c r="E53" s="270"/>
    </row>
    <row r="54" spans="2:5" ht="15.75">
      <c r="B54" s="281"/>
      <c r="C54" s="400"/>
      <c r="D54" s="400"/>
      <c r="E54" s="52"/>
    </row>
    <row r="55" spans="2:5" ht="15.75">
      <c r="B55" s="281"/>
      <c r="C55" s="400"/>
      <c r="D55" s="400"/>
      <c r="E55" s="52"/>
    </row>
    <row r="56" spans="2:5" ht="15.75">
      <c r="B56" s="281"/>
      <c r="C56" s="400"/>
      <c r="D56" s="400"/>
      <c r="E56" s="52"/>
    </row>
    <row r="57" spans="2:5" ht="15.75">
      <c r="B57" s="300" t="s">
        <v>55</v>
      </c>
      <c r="C57" s="400"/>
      <c r="D57" s="400"/>
      <c r="E57" s="52"/>
    </row>
    <row r="58" spans="2:5" ht="15.75">
      <c r="B58" s="167" t="s">
        <v>143</v>
      </c>
      <c r="C58" s="400"/>
      <c r="D58" s="400"/>
      <c r="E58" s="52"/>
    </row>
    <row r="59" spans="2:5" ht="15.75">
      <c r="B59" s="167" t="s">
        <v>281</v>
      </c>
      <c r="C59" s="396">
        <f>IF(C60*0.1&lt;C58,"Exceed 10% Rule","")</f>
      </c>
      <c r="D59" s="396">
        <f>IF(D60*0.1&lt;D58,"Exceed 10% Rule","")</f>
      </c>
      <c r="E59" s="277">
        <f>IF(E60*0.1+E80&lt;E58,"Exceed 10% Rule","")</f>
      </c>
    </row>
    <row r="60" spans="2:5" ht="15.75">
      <c r="B60" s="278" t="s">
        <v>56</v>
      </c>
      <c r="C60" s="403">
        <f>SUM(C48:C58)</f>
        <v>0</v>
      </c>
      <c r="D60" s="403">
        <f>SUM(D48:D58)</f>
        <v>0</v>
      </c>
      <c r="E60" s="303">
        <f>SUM(E48:E58)</f>
        <v>0</v>
      </c>
    </row>
    <row r="61" spans="2:5" ht="15.75">
      <c r="B61" s="278" t="s">
        <v>57</v>
      </c>
      <c r="C61" s="403">
        <f>C46+C60</f>
        <v>0</v>
      </c>
      <c r="D61" s="403">
        <f>D46+D60</f>
        <v>0</v>
      </c>
      <c r="E61" s="303">
        <f>E46+E60</f>
        <v>0</v>
      </c>
    </row>
    <row r="62" spans="2:5" ht="15.75">
      <c r="B62" s="113" t="s">
        <v>58</v>
      </c>
      <c r="C62" s="401"/>
      <c r="D62" s="401"/>
      <c r="E62" s="165"/>
    </row>
    <row r="63" spans="2:5" ht="15.75">
      <c r="B63" s="281"/>
      <c r="C63" s="400"/>
      <c r="D63" s="400"/>
      <c r="E63" s="52"/>
    </row>
    <row r="64" spans="2:10" ht="15.75">
      <c r="B64" s="281"/>
      <c r="C64" s="400"/>
      <c r="D64" s="400"/>
      <c r="E64" s="52"/>
      <c r="G64" s="740" t="str">
        <f>CONCATENATE("Desired Carryover Into ",E1+1,"")</f>
        <v>Desired Carryover Into 2014</v>
      </c>
      <c r="H64" s="741"/>
      <c r="I64" s="741"/>
      <c r="J64" s="742"/>
    </row>
    <row r="65" spans="2:10" ht="15.75">
      <c r="B65" s="281"/>
      <c r="C65" s="400"/>
      <c r="D65" s="400"/>
      <c r="E65" s="52"/>
      <c r="G65" s="504"/>
      <c r="H65" s="488"/>
      <c r="I65" s="495"/>
      <c r="J65" s="505"/>
    </row>
    <row r="66" spans="2:10" ht="15.75">
      <c r="B66" s="281"/>
      <c r="C66" s="400"/>
      <c r="D66" s="400"/>
      <c r="E66" s="52"/>
      <c r="G66" s="501" t="s">
        <v>758</v>
      </c>
      <c r="H66" s="495"/>
      <c r="I66" s="495"/>
      <c r="J66" s="489">
        <v>0</v>
      </c>
    </row>
    <row r="67" spans="2:10" ht="15.75">
      <c r="B67" s="281"/>
      <c r="C67" s="400"/>
      <c r="D67" s="400"/>
      <c r="E67" s="52"/>
      <c r="G67" s="504" t="s">
        <v>759</v>
      </c>
      <c r="H67" s="488"/>
      <c r="I67" s="488"/>
      <c r="J67" s="626">
        <f>IF(J66=0,"",ROUND((J66+E80-G79)/inputOth!B14*1000,3)-G84)</f>
      </c>
    </row>
    <row r="68" spans="2:10" ht="15.75">
      <c r="B68" s="281"/>
      <c r="C68" s="400"/>
      <c r="D68" s="400"/>
      <c r="E68" s="52"/>
      <c r="G68" s="627" t="str">
        <f>CONCATENATE("",E1," Tot Exp/Non-Appr Must Be:")</f>
        <v>2013 Tot Exp/Non-Appr Must Be:</v>
      </c>
      <c r="H68" s="564"/>
      <c r="I68" s="628"/>
      <c r="J68" s="629">
        <f>IF(J66&gt;0,IF(E77&lt;E61,IF(J66=G79,E77,((J66-G79)*(1-D79))+E61),E77+(J66-G79)),0)</f>
        <v>0</v>
      </c>
    </row>
    <row r="69" spans="2:10" ht="15.75">
      <c r="B69" s="281"/>
      <c r="C69" s="400"/>
      <c r="D69" s="400"/>
      <c r="E69" s="52"/>
      <c r="G69" s="630" t="s">
        <v>864</v>
      </c>
      <c r="H69" s="631"/>
      <c r="I69" s="631"/>
      <c r="J69" s="632">
        <f>IF(J66&gt;0,J68-E77,0)</f>
        <v>0</v>
      </c>
    </row>
    <row r="70" spans="2:10" ht="15.75">
      <c r="B70" s="167" t="s">
        <v>280</v>
      </c>
      <c r="C70" s="400"/>
      <c r="D70" s="400"/>
      <c r="E70" s="59">
        <f>nhood!E13</f>
      </c>
      <c r="J70" s="633"/>
    </row>
    <row r="71" spans="2:10" ht="15.75">
      <c r="B71" s="167" t="s">
        <v>143</v>
      </c>
      <c r="C71" s="400"/>
      <c r="D71" s="400"/>
      <c r="E71" s="52"/>
      <c r="G71" s="740" t="str">
        <f>CONCATENATE("Projected Carryover Into ",E1+1,"")</f>
        <v>Projected Carryover Into 2014</v>
      </c>
      <c r="H71" s="756"/>
      <c r="I71" s="756"/>
      <c r="J71" s="755"/>
    </row>
    <row r="72" spans="2:10" ht="15.75">
      <c r="B72" s="167" t="s">
        <v>282</v>
      </c>
      <c r="C72" s="396">
        <f>IF(C73*0.1&lt;C71,"Exceed 10% Rule","")</f>
      </c>
      <c r="D72" s="396">
        <f>IF(D73*0.1&lt;D71,"Exceed 10% Rule","")</f>
      </c>
      <c r="E72" s="277">
        <f>IF(E73*0.1&lt;E71,"Exceed 10% Rule","")</f>
      </c>
      <c r="G72" s="490"/>
      <c r="H72" s="488"/>
      <c r="I72" s="488"/>
      <c r="J72" s="634"/>
    </row>
    <row r="73" spans="2:10" ht="15.75">
      <c r="B73" s="278" t="s">
        <v>59</v>
      </c>
      <c r="C73" s="403">
        <f>SUM(C63:C71)</f>
        <v>0</v>
      </c>
      <c r="D73" s="403">
        <f>SUM(D63:D71)</f>
        <v>0</v>
      </c>
      <c r="E73" s="303">
        <f>SUM(E63:E71)</f>
        <v>0</v>
      </c>
      <c r="G73" s="492">
        <f>D74</f>
        <v>0</v>
      </c>
      <c r="H73" s="493" t="str">
        <f>CONCATENATE("",E1-1," Ending Cash Balance (est.)")</f>
        <v>2012 Ending Cash Balance (est.)</v>
      </c>
      <c r="I73" s="494"/>
      <c r="J73" s="634"/>
    </row>
    <row r="74" spans="2:10" ht="15.75">
      <c r="B74" s="113" t="s">
        <v>164</v>
      </c>
      <c r="C74" s="404">
        <f>C61-C73</f>
        <v>0</v>
      </c>
      <c r="D74" s="404">
        <f>D61-D73</f>
        <v>0</v>
      </c>
      <c r="E74" s="269" t="s">
        <v>36</v>
      </c>
      <c r="G74" s="492">
        <f>E60</f>
        <v>0</v>
      </c>
      <c r="H74" s="495" t="str">
        <f>CONCATENATE("",E1," Non-AV Receipts (est.)")</f>
        <v>2013 Non-AV Receipts (est.)</v>
      </c>
      <c r="I74" s="494"/>
      <c r="J74" s="634"/>
    </row>
    <row r="75" spans="2:11" ht="15.75">
      <c r="B75" s="192" t="str">
        <f>CONCATENATE("",E1-2,"/",E1-1," Budget Authority Amount:")</f>
        <v>2011/2012 Budget Authority Amount:</v>
      </c>
      <c r="C75" s="203">
        <f>inputOth!B81</f>
        <v>0</v>
      </c>
      <c r="D75" s="203">
        <f>inputPrYr!D29</f>
        <v>0</v>
      </c>
      <c r="E75" s="269" t="s">
        <v>36</v>
      </c>
      <c r="F75" s="283"/>
      <c r="G75" s="496">
        <f>IF(D79&gt;0,E78,E80)</f>
        <v>0</v>
      </c>
      <c r="H75" s="495" t="str">
        <f>CONCATENATE("",E1," Ad Valorem Tax (est.)")</f>
        <v>2013 Ad Valorem Tax (est.)</v>
      </c>
      <c r="I75" s="494"/>
      <c r="J75" s="634"/>
      <c r="K75" s="635">
        <f>IF(G75=E80,"","Note: Does not include Delinquent Taxes")</f>
      </c>
    </row>
    <row r="76" spans="2:10" ht="15.75">
      <c r="B76" s="192"/>
      <c r="C76" s="750" t="s">
        <v>745</v>
      </c>
      <c r="D76" s="751"/>
      <c r="E76" s="52"/>
      <c r="F76" s="665">
        <f>IF(E73/0.95-E73&lt;E76,"Exceeds 5%","")</f>
      </c>
      <c r="G76" s="508">
        <f>SUM(G73:G75)</f>
        <v>0</v>
      </c>
      <c r="H76" s="495" t="str">
        <f>CONCATENATE("Total ",E1," Resources Available")</f>
        <v>Total 2013 Resources Available</v>
      </c>
      <c r="I76" s="491"/>
      <c r="J76" s="634"/>
    </row>
    <row r="77" spans="2:10" ht="15.75">
      <c r="B77" s="482" t="str">
        <f>CONCATENATE(C93,"     ",D93)</f>
        <v>     </v>
      </c>
      <c r="C77" s="752" t="s">
        <v>746</v>
      </c>
      <c r="D77" s="753"/>
      <c r="E77" s="165">
        <f>E73+E76</f>
        <v>0</v>
      </c>
      <c r="G77" s="511"/>
      <c r="H77" s="509"/>
      <c r="I77" s="488"/>
      <c r="J77" s="634"/>
    </row>
    <row r="78" spans="2:10" ht="15.75">
      <c r="B78" s="482" t="str">
        <f>CONCATENATE(C94,"     ",D94)</f>
        <v>     </v>
      </c>
      <c r="C78" s="284"/>
      <c r="D78" s="199" t="s">
        <v>60</v>
      </c>
      <c r="E78" s="59">
        <f>IF(E77-E61&gt;0,E77-E61,0)</f>
        <v>0</v>
      </c>
      <c r="G78" s="510">
        <f>ROUND(C73*0.05+C73,0)</f>
        <v>0</v>
      </c>
      <c r="H78" s="509" t="str">
        <f>CONCATENATE("Less ",E1-2," Expenditures + 5%")</f>
        <v>Less 2011 Expenditures + 5%</v>
      </c>
      <c r="I78" s="491"/>
      <c r="J78" s="634"/>
    </row>
    <row r="79" spans="2:10" ht="15.75">
      <c r="B79" s="199"/>
      <c r="C79" s="464" t="s">
        <v>747</v>
      </c>
      <c r="D79" s="655">
        <f>inputOth!$E$61</f>
        <v>0</v>
      </c>
      <c r="E79" s="165">
        <f>ROUND(IF(D79&gt;0,(E78*D79),0),0)</f>
        <v>0</v>
      </c>
      <c r="G79" s="512">
        <f>G76-G78</f>
        <v>0</v>
      </c>
      <c r="H79" s="513" t="str">
        <f>CONCATENATE("Projected ",E1+1," carryover (est.)")</f>
        <v>Projected 2014 carryover (est.)</v>
      </c>
      <c r="I79" s="500"/>
      <c r="J79" s="637"/>
    </row>
    <row r="80" spans="2:9" ht="16.5" thickBot="1">
      <c r="B80" s="28"/>
      <c r="C80" s="748" t="str">
        <f>CONCATENATE("Amount of  ",$E$1-1," Ad Valorem Tax")</f>
        <v>Amount of  2012 Ad Valorem Tax</v>
      </c>
      <c r="D80" s="749"/>
      <c r="E80" s="563">
        <f>E78+E79</f>
        <v>0</v>
      </c>
      <c r="G80" s="633"/>
      <c r="H80" s="633"/>
      <c r="I80" s="633"/>
    </row>
    <row r="81" spans="2:10" ht="16.5" thickTop="1">
      <c r="B81" s="192" t="s">
        <v>62</v>
      </c>
      <c r="C81" s="288"/>
      <c r="D81" s="28"/>
      <c r="E81" s="28"/>
      <c r="G81" s="743" t="s">
        <v>865</v>
      </c>
      <c r="H81" s="744"/>
      <c r="I81" s="744"/>
      <c r="J81" s="745"/>
    </row>
    <row r="82" spans="7:10" ht="15.75">
      <c r="G82" s="638"/>
      <c r="H82" s="493"/>
      <c r="I82" s="639"/>
      <c r="J82" s="640"/>
    </row>
    <row r="83" spans="2:10" ht="15.75">
      <c r="B83" s="88"/>
      <c r="G83" s="641" t="str">
        <f>summ!H22</f>
        <v>  </v>
      </c>
      <c r="H83" s="493" t="str">
        <f>CONCATENATE("",E1," Fund Mill Rate")</f>
        <v>2013 Fund Mill Rate</v>
      </c>
      <c r="I83" s="639"/>
      <c r="J83" s="640"/>
    </row>
    <row r="84" spans="7:10" ht="15.75">
      <c r="G84" s="642" t="str">
        <f>summ!E22</f>
        <v>  </v>
      </c>
      <c r="H84" s="493" t="str">
        <f>CONCATENATE("",E1-1," Fund Mill Rate")</f>
        <v>2012 Fund Mill Rate</v>
      </c>
      <c r="I84" s="639"/>
      <c r="J84" s="640"/>
    </row>
    <row r="85" spans="7:10" ht="15.75">
      <c r="G85" s="643">
        <f>summ!H31</f>
        <v>40.797</v>
      </c>
      <c r="H85" s="493" t="str">
        <f>CONCATENATE("Total ",E1," Mill Rate")</f>
        <v>Total 2013 Mill Rate</v>
      </c>
      <c r="I85" s="639"/>
      <c r="J85" s="640"/>
    </row>
    <row r="86" spans="7:10" ht="15.75">
      <c r="G86" s="642">
        <f>summ!E31</f>
        <v>48.815</v>
      </c>
      <c r="H86" s="644" t="str">
        <f>CONCATENATE("Total ",E1-1," Mill Rate")</f>
        <v>Total 2012 Mill Rate</v>
      </c>
      <c r="I86" s="645"/>
      <c r="J86" s="646"/>
    </row>
    <row r="91" spans="3:4" ht="15.75" hidden="1">
      <c r="C91" s="24">
        <f>IF(C33&gt;C35,"See Tab A","")</f>
      </c>
      <c r="D91" s="24">
        <f>IF(D33&gt;D35,"See Tab C","")</f>
      </c>
    </row>
    <row r="92" spans="3:4" ht="15.75" hidden="1">
      <c r="C92" s="24">
        <f>IF(C34&lt;0,"See Tab B","")</f>
      </c>
      <c r="D92" s="24">
        <f>IF(D34&lt;0,"See Tab D","")</f>
      </c>
    </row>
    <row r="93" spans="3:4" ht="15.75" hidden="1">
      <c r="C93" s="24">
        <f>IF(C73&gt;C75,"See Tab A","")</f>
      </c>
      <c r="D93" s="24">
        <f>IF(D73&gt;D75,"See Tab C","")</f>
      </c>
    </row>
    <row r="94" spans="3:4" ht="15.75" hidden="1">
      <c r="C94" s="24">
        <f>IF(C74&lt;0,"See Tab B","")</f>
      </c>
      <c r="D94" s="24">
        <f>IF(D74&lt;0,"See Tab D","")</f>
      </c>
    </row>
  </sheetData>
  <sheetProtection sheet="1"/>
  <mergeCells count="12">
    <mergeCell ref="G24:J24"/>
    <mergeCell ref="G31:J31"/>
    <mergeCell ref="G41:J41"/>
    <mergeCell ref="G64:J64"/>
    <mergeCell ref="G71:J71"/>
    <mergeCell ref="G81:J81"/>
    <mergeCell ref="C40:D40"/>
    <mergeCell ref="C80:D80"/>
    <mergeCell ref="C36:D36"/>
    <mergeCell ref="C37:D37"/>
    <mergeCell ref="C76:D76"/>
    <mergeCell ref="C77:D77"/>
  </mergeCells>
  <conditionalFormatting sqref="E71">
    <cfRule type="cellIs" priority="3" dxfId="140" operator="greaterThan" stopIfTrue="1">
      <formula>$E$73*0.1</formula>
    </cfRule>
  </conditionalFormatting>
  <conditionalFormatting sqref="E31">
    <cfRule type="cellIs" priority="4" dxfId="140" operator="greaterThan" stopIfTrue="1">
      <formula>$E$33*0.1</formula>
    </cfRule>
  </conditionalFormatting>
  <conditionalFormatting sqref="E76">
    <cfRule type="cellIs" priority="5" dxfId="140" operator="greaterThan" stopIfTrue="1">
      <formula>$E$73/0.95-$E$73</formula>
    </cfRule>
  </conditionalFormatting>
  <conditionalFormatting sqref="E36">
    <cfRule type="cellIs" priority="6" dxfId="140" operator="greaterThan" stopIfTrue="1">
      <formula>$E$33/0.95-$E$33</formula>
    </cfRule>
  </conditionalFormatting>
  <conditionalFormatting sqref="D73">
    <cfRule type="cellIs" priority="7" dxfId="1" operator="greaterThan" stopIfTrue="1">
      <formula>$D$75</formula>
    </cfRule>
  </conditionalFormatting>
  <conditionalFormatting sqref="C73">
    <cfRule type="cellIs" priority="8" dxfId="1" operator="greaterThan" stopIfTrue="1">
      <formula>$C$75</formula>
    </cfRule>
  </conditionalFormatting>
  <conditionalFormatting sqref="D71">
    <cfRule type="cellIs" priority="9" dxfId="1" operator="greaterThan" stopIfTrue="1">
      <formula>$D$73*0.1</formula>
    </cfRule>
  </conditionalFormatting>
  <conditionalFormatting sqref="C71">
    <cfRule type="cellIs" priority="10" dxfId="1" operator="greaterThan" stopIfTrue="1">
      <formula>$C$73*0.1</formula>
    </cfRule>
  </conditionalFormatting>
  <conditionalFormatting sqref="D31">
    <cfRule type="cellIs" priority="11" dxfId="1" operator="greaterThan" stopIfTrue="1">
      <formula>$D$33*0.1</formula>
    </cfRule>
  </conditionalFormatting>
  <conditionalFormatting sqref="C31">
    <cfRule type="cellIs" priority="12" dxfId="1" operator="greaterThan" stopIfTrue="1">
      <formula>$C$33*0.1</formula>
    </cfRule>
  </conditionalFormatting>
  <conditionalFormatting sqref="D18">
    <cfRule type="cellIs" priority="13" dxfId="1" operator="greaterThan" stopIfTrue="1">
      <formula>$D$20*0.1</formula>
    </cfRule>
  </conditionalFormatting>
  <conditionalFormatting sqref="C18">
    <cfRule type="cellIs" priority="14" dxfId="1" operator="greaterThan" stopIfTrue="1">
      <formula>$C$20*0.1</formula>
    </cfRule>
  </conditionalFormatting>
  <conditionalFormatting sqref="D33">
    <cfRule type="cellIs" priority="15" dxfId="1" operator="greaterThan" stopIfTrue="1">
      <formula>$D$35</formula>
    </cfRule>
  </conditionalFormatting>
  <conditionalFormatting sqref="C33">
    <cfRule type="cellIs" priority="16" dxfId="1" operator="greaterThan" stopIfTrue="1">
      <formula>$C$35</formula>
    </cfRule>
  </conditionalFormatting>
  <conditionalFormatting sqref="C34 C74">
    <cfRule type="cellIs" priority="17" dxfId="1" operator="lessThan" stopIfTrue="1">
      <formula>0</formula>
    </cfRule>
  </conditionalFormatting>
  <conditionalFormatting sqref="D58">
    <cfRule type="cellIs" priority="18" dxfId="1" operator="greaterThan" stopIfTrue="1">
      <formula>$D$60*0.1</formula>
    </cfRule>
  </conditionalFormatting>
  <conditionalFormatting sqref="C58">
    <cfRule type="cellIs" priority="19" dxfId="1" operator="greaterThan" stopIfTrue="1">
      <formula>$C$60*0.1</formula>
    </cfRule>
  </conditionalFormatting>
  <conditionalFormatting sqref="E58">
    <cfRule type="cellIs" priority="20" dxfId="140" operator="greaterThan" stopIfTrue="1">
      <formula>$E$60*0.1+E80</formula>
    </cfRule>
  </conditionalFormatting>
  <conditionalFormatting sqref="E18">
    <cfRule type="cellIs" priority="21" dxfId="140"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0">
      <selection activeCell="C68" sqref="C68"/>
    </sheetView>
  </sheetViews>
  <sheetFormatPr defaultColWidth="8.796875" defaultRowHeight="15"/>
  <cols>
    <col min="1" max="1" width="2.3984375" style="24" customWidth="1"/>
    <col min="2" max="2" width="31.09765625" style="24" customWidth="1"/>
    <col min="3" max="4" width="15.796875" style="24" customWidth="1"/>
    <col min="5" max="5" width="16.19921875" style="24" customWidth="1"/>
    <col min="6" max="16384" width="8.8984375" style="24" customWidth="1"/>
  </cols>
  <sheetData>
    <row r="1" spans="2:5" ht="15.75">
      <c r="B1" s="183" t="str">
        <f>(inputPrYr!D3)</f>
        <v>City of Vining</v>
      </c>
      <c r="C1" s="28"/>
      <c r="D1" s="28"/>
      <c r="E1" s="139">
        <f>inputPrYr!$C$10</f>
        <v>2013</v>
      </c>
    </row>
    <row r="2" spans="2:5" ht="15.75">
      <c r="B2" s="28"/>
      <c r="C2" s="28"/>
      <c r="D2" s="28"/>
      <c r="E2" s="199"/>
    </row>
    <row r="3" spans="2:5" ht="15.75">
      <c r="B3" s="46" t="s">
        <v>108</v>
      </c>
      <c r="C3" s="305"/>
      <c r="D3" s="305"/>
      <c r="E3" s="306"/>
    </row>
    <row r="4" spans="2:5" ht="15.75">
      <c r="B4" s="34" t="s">
        <v>48</v>
      </c>
      <c r="C4" s="599" t="s">
        <v>853</v>
      </c>
      <c r="D4" s="600" t="s">
        <v>854</v>
      </c>
      <c r="E4" s="152" t="s">
        <v>855</v>
      </c>
    </row>
    <row r="5" spans="2:5" ht="15.75">
      <c r="B5" s="524" t="str">
        <f>(inputPrYr!B33)</f>
        <v>Special Highway</v>
      </c>
      <c r="C5" s="561" t="str">
        <f>CONCATENATE("Actual for ",E1-2,"")</f>
        <v>Actual for 2011</v>
      </c>
      <c r="D5" s="561" t="str">
        <f>CONCATENATE("Estimate for ",E1-1,"")</f>
        <v>Estimate for 2012</v>
      </c>
      <c r="E5" s="214" t="str">
        <f>CONCATENATE("Year for ",E1,"")</f>
        <v>Year for 2013</v>
      </c>
    </row>
    <row r="6" spans="2:5" ht="15.75">
      <c r="B6" s="113" t="s">
        <v>163</v>
      </c>
      <c r="C6" s="52">
        <v>3508</v>
      </c>
      <c r="D6" s="165">
        <f>C32</f>
        <v>4925</v>
      </c>
      <c r="E6" s="165">
        <f>D32</f>
        <v>4585</v>
      </c>
    </row>
    <row r="7" spans="2:5" ht="15.75">
      <c r="B7" s="268" t="s">
        <v>165</v>
      </c>
      <c r="C7" s="165"/>
      <c r="D7" s="165"/>
      <c r="E7" s="165"/>
    </row>
    <row r="8" spans="2:5" ht="15.75">
      <c r="B8" s="307" t="s">
        <v>64</v>
      </c>
      <c r="C8" s="52">
        <v>2066</v>
      </c>
      <c r="D8" s="165">
        <f>inputOth!E67</f>
        <v>1160</v>
      </c>
      <c r="E8" s="165">
        <f>inputOth!E65</f>
        <v>1170</v>
      </c>
    </row>
    <row r="9" spans="2:5" ht="15.75">
      <c r="B9" s="307" t="s">
        <v>206</v>
      </c>
      <c r="C9" s="52"/>
      <c r="D9" s="165">
        <f>inputOth!E68</f>
        <v>0</v>
      </c>
      <c r="E9" s="165">
        <f>inputOth!E66</f>
        <v>0</v>
      </c>
    </row>
    <row r="10" spans="2:5" ht="15.75">
      <c r="B10" s="281"/>
      <c r="C10" s="52"/>
      <c r="D10" s="52"/>
      <c r="E10" s="52"/>
    </row>
    <row r="11" spans="2:5" ht="15.75">
      <c r="B11" s="281"/>
      <c r="C11" s="52"/>
      <c r="D11" s="52"/>
      <c r="E11" s="52"/>
    </row>
    <row r="12" spans="2:5" ht="15.75">
      <c r="B12" s="281"/>
      <c r="C12" s="52"/>
      <c r="D12" s="52"/>
      <c r="E12" s="52"/>
    </row>
    <row r="13" spans="2:5" ht="15.75">
      <c r="B13" s="281"/>
      <c r="C13" s="52"/>
      <c r="D13" s="52"/>
      <c r="E13" s="52"/>
    </row>
    <row r="14" spans="2:5" ht="15.75">
      <c r="B14" s="300" t="s">
        <v>55</v>
      </c>
      <c r="C14" s="52"/>
      <c r="D14" s="52"/>
      <c r="E14" s="52"/>
    </row>
    <row r="15" spans="2:5" ht="15.75">
      <c r="B15" s="167" t="s">
        <v>143</v>
      </c>
      <c r="C15" s="52"/>
      <c r="D15" s="298"/>
      <c r="E15" s="298"/>
    </row>
    <row r="16" spans="2:5" ht="15.75">
      <c r="B16" s="167" t="s">
        <v>665</v>
      </c>
      <c r="C16" s="515">
        <f>IF(C17*0.1&lt;C15,"Exceed 10% Rule","")</f>
      </c>
      <c r="D16" s="301">
        <f>IF(D17*0.1&lt;D15,"Exceed 10% Rule","")</f>
      </c>
      <c r="E16" s="301">
        <f>IF(E17*0.1&lt;E15,"Exceed 10% Rule","")</f>
      </c>
    </row>
    <row r="17" spans="2:5" ht="15.75">
      <c r="B17" s="278" t="s">
        <v>56</v>
      </c>
      <c r="C17" s="303">
        <f>SUM(C8:C15)</f>
        <v>2066</v>
      </c>
      <c r="D17" s="303">
        <f>SUM(D8:D15)</f>
        <v>1160</v>
      </c>
      <c r="E17" s="303">
        <f>SUM(E8:E15)</f>
        <v>1170</v>
      </c>
    </row>
    <row r="18" spans="2:5" ht="15.75">
      <c r="B18" s="278" t="s">
        <v>57</v>
      </c>
      <c r="C18" s="303">
        <f>C6+C17</f>
        <v>5574</v>
      </c>
      <c r="D18" s="303">
        <f>D6+D17</f>
        <v>6085</v>
      </c>
      <c r="E18" s="303">
        <f>E6+E17</f>
        <v>5755</v>
      </c>
    </row>
    <row r="19" spans="2:5" ht="15.75">
      <c r="B19" s="113" t="s">
        <v>58</v>
      </c>
      <c r="C19" s="165"/>
      <c r="D19" s="165"/>
      <c r="E19" s="165"/>
    </row>
    <row r="20" spans="2:5" ht="15.75">
      <c r="B20" s="281" t="s">
        <v>966</v>
      </c>
      <c r="C20" s="52">
        <v>649</v>
      </c>
      <c r="D20" s="52">
        <v>500</v>
      </c>
      <c r="E20" s="52">
        <v>550</v>
      </c>
    </row>
    <row r="21" spans="2:5" ht="15.75">
      <c r="B21" s="281" t="s">
        <v>982</v>
      </c>
      <c r="C21" s="52"/>
      <c r="D21" s="52">
        <v>1000</v>
      </c>
      <c r="E21" s="52">
        <v>4000</v>
      </c>
    </row>
    <row r="22" spans="2:5" ht="15.75">
      <c r="B22" s="281"/>
      <c r="C22" s="52"/>
      <c r="D22" s="52"/>
      <c r="E22" s="52"/>
    </row>
    <row r="23" spans="2:5" ht="15.75">
      <c r="B23" s="281"/>
      <c r="C23" s="52"/>
      <c r="D23" s="52"/>
      <c r="E23" s="52"/>
    </row>
    <row r="24" spans="2:5" ht="15.75">
      <c r="B24" s="281"/>
      <c r="C24" s="52"/>
      <c r="D24" s="52"/>
      <c r="E24" s="52"/>
    </row>
    <row r="25" spans="2:5" ht="15.75">
      <c r="B25" s="281"/>
      <c r="C25" s="52"/>
      <c r="D25" s="52"/>
      <c r="E25" s="52"/>
    </row>
    <row r="26" spans="2:5" ht="15.75">
      <c r="B26" s="281"/>
      <c r="C26" s="52"/>
      <c r="D26" s="52"/>
      <c r="E26" s="52"/>
    </row>
    <row r="27" spans="2:5" ht="15.75">
      <c r="B27" s="281"/>
      <c r="C27" s="52"/>
      <c r="D27" s="52"/>
      <c r="E27" s="52"/>
    </row>
    <row r="28" spans="2:5" ht="15.75">
      <c r="B28" s="281"/>
      <c r="C28" s="52"/>
      <c r="D28" s="52"/>
      <c r="E28" s="52"/>
    </row>
    <row r="29" spans="2:5" ht="15.75">
      <c r="B29" s="167" t="s">
        <v>143</v>
      </c>
      <c r="C29" s="52"/>
      <c r="D29" s="298"/>
      <c r="E29" s="298"/>
    </row>
    <row r="30" spans="2:5" ht="15.75">
      <c r="B30" s="167" t="s">
        <v>666</v>
      </c>
      <c r="C30" s="515">
        <f>IF(C31*0.1&lt;C29,"Exceed 10% Rule","")</f>
      </c>
      <c r="D30" s="301">
        <f>IF(D31*0.1&lt;D29,"Exceed 10% Rule","")</f>
      </c>
      <c r="E30" s="301">
        <f>IF(E31*0.1&lt;E29,"Exceed 10% Rule","")</f>
      </c>
    </row>
    <row r="31" spans="2:5" ht="15.75">
      <c r="B31" s="278" t="s">
        <v>59</v>
      </c>
      <c r="C31" s="303">
        <f>SUM(C20:C29)</f>
        <v>649</v>
      </c>
      <c r="D31" s="303">
        <f>SUM(D20:D29)</f>
        <v>1500</v>
      </c>
      <c r="E31" s="303">
        <f>SUM(E20:E29)</f>
        <v>4550</v>
      </c>
    </row>
    <row r="32" spans="2:5" ht="15.75">
      <c r="B32" s="113" t="s">
        <v>164</v>
      </c>
      <c r="C32" s="59">
        <f>C18-C31</f>
        <v>4925</v>
      </c>
      <c r="D32" s="59">
        <f>D18-D31</f>
        <v>4585</v>
      </c>
      <c r="E32" s="59">
        <f>E18-E31</f>
        <v>1205</v>
      </c>
    </row>
    <row r="33" spans="2:5" ht="15.75">
      <c r="B33" s="514" t="str">
        <f>CONCATENATE("",E1-2,"/",E1-1," Budget Authority Amount:")</f>
        <v>2011/2012 Budget Authority Amount:</v>
      </c>
      <c r="C33" s="203">
        <f>inputOth!B82</f>
        <v>4520</v>
      </c>
      <c r="D33" s="203">
        <f>inputPrYr!D33</f>
        <v>4510</v>
      </c>
      <c r="E33" s="409">
        <f>IF(E32&lt;0,"See Tab E","")</f>
      </c>
    </row>
    <row r="34" spans="2:5" ht="15.75">
      <c r="B34" s="192"/>
      <c r="C34" s="284">
        <f>IF(C31&gt;C33,"See Tab A","")</f>
      </c>
      <c r="D34" s="284">
        <f>IF(D31&gt;D33,"See Tab C","")</f>
      </c>
      <c r="E34" s="190"/>
    </row>
    <row r="35" spans="2:5" ht="15.75">
      <c r="B35" s="192"/>
      <c r="C35" s="284">
        <f>IF(C32&lt;0,"See Tab B","")</f>
      </c>
      <c r="D35" s="284">
        <f>IF(D32&lt;0,"See Tab D","")</f>
      </c>
      <c r="E35" s="190"/>
    </row>
    <row r="36" spans="2:5" ht="15.75">
      <c r="B36" s="28"/>
      <c r="C36" s="190"/>
      <c r="D36" s="190"/>
      <c r="E36" s="190"/>
    </row>
    <row r="37" spans="2:5" ht="15.75">
      <c r="B37" s="34" t="s">
        <v>48</v>
      </c>
      <c r="C37" s="598" t="s">
        <v>853</v>
      </c>
      <c r="D37" s="152" t="s">
        <v>854</v>
      </c>
      <c r="E37" s="152" t="s">
        <v>855</v>
      </c>
    </row>
    <row r="38" spans="2:5" ht="15.75">
      <c r="B38" s="524" t="str">
        <f>(inputPrYr!B34)</f>
        <v>Parks &amp; Recreation</v>
      </c>
      <c r="C38" s="292">
        <f>inputPrYr!$C$10-2</f>
        <v>2011</v>
      </c>
      <c r="D38" s="292">
        <f>inputPrYr!$C$10-1</f>
        <v>2012</v>
      </c>
      <c r="E38" s="214">
        <f>inputPrYr!$C$10</f>
        <v>2013</v>
      </c>
    </row>
    <row r="39" spans="2:5" ht="15.75">
      <c r="B39" s="113" t="s">
        <v>163</v>
      </c>
      <c r="C39" s="52">
        <v>5000</v>
      </c>
      <c r="D39" s="165">
        <f>C63</f>
        <v>7069</v>
      </c>
      <c r="E39" s="165">
        <f>D63</f>
        <v>7719</v>
      </c>
    </row>
    <row r="40" spans="2:5" ht="15.75">
      <c r="B40" s="268" t="s">
        <v>165</v>
      </c>
      <c r="C40" s="165"/>
      <c r="D40" s="165"/>
      <c r="E40" s="165"/>
    </row>
    <row r="41" spans="2:5" ht="15.75">
      <c r="B41" s="281" t="s">
        <v>979</v>
      </c>
      <c r="C41" s="52">
        <v>2672</v>
      </c>
      <c r="D41" s="52">
        <v>2800</v>
      </c>
      <c r="E41" s="52">
        <v>3000</v>
      </c>
    </row>
    <row r="42" spans="2:5" ht="15.75">
      <c r="B42" s="281" t="s">
        <v>65</v>
      </c>
      <c r="C42" s="52"/>
      <c r="D42" s="52"/>
      <c r="E42" s="52"/>
    </row>
    <row r="43" spans="2:5" ht="15.75">
      <c r="B43" s="281"/>
      <c r="C43" s="52"/>
      <c r="D43" s="52"/>
      <c r="E43" s="52"/>
    </row>
    <row r="44" spans="2:5" ht="15.75">
      <c r="B44" s="281"/>
      <c r="C44" s="52"/>
      <c r="D44" s="52"/>
      <c r="E44" s="52"/>
    </row>
    <row r="45" spans="2:5" ht="15.75">
      <c r="B45" s="281"/>
      <c r="C45" s="52"/>
      <c r="D45" s="52"/>
      <c r="E45" s="52"/>
    </row>
    <row r="46" spans="2:5" ht="15.75">
      <c r="B46" s="167" t="s">
        <v>143</v>
      </c>
      <c r="C46" s="52"/>
      <c r="D46" s="298"/>
      <c r="E46" s="298"/>
    </row>
    <row r="47" spans="2:5" ht="15.75">
      <c r="B47" s="167" t="s">
        <v>665</v>
      </c>
      <c r="C47" s="515">
        <f>IF(C48*0.1&lt;C46,"Exceed 10% Rule","")</f>
      </c>
      <c r="D47" s="301">
        <f>IF(D48*0.1&lt;D46,"Exceed 10% Rule","")</f>
      </c>
      <c r="E47" s="301">
        <f>IF(E48*0.1&lt;E46,"Exceed 10% Rule","")</f>
      </c>
    </row>
    <row r="48" spans="2:5" ht="15.75">
      <c r="B48" s="278" t="s">
        <v>56</v>
      </c>
      <c r="C48" s="303">
        <f>SUM(C41:C46)</f>
        <v>2672</v>
      </c>
      <c r="D48" s="303">
        <f>SUM(D41:D46)</f>
        <v>2800</v>
      </c>
      <c r="E48" s="303">
        <f>SUM(E41:E46)</f>
        <v>3000</v>
      </c>
    </row>
    <row r="49" spans="2:5" ht="15.75">
      <c r="B49" s="278" t="s">
        <v>57</v>
      </c>
      <c r="C49" s="303">
        <f>C39+C48</f>
        <v>7672</v>
      </c>
      <c r="D49" s="303">
        <f>D39+D48</f>
        <v>9869</v>
      </c>
      <c r="E49" s="303">
        <f>E39+E48</f>
        <v>10719</v>
      </c>
    </row>
    <row r="50" spans="2:5" ht="15.75">
      <c r="B50" s="113" t="s">
        <v>58</v>
      </c>
      <c r="C50" s="165"/>
      <c r="D50" s="165"/>
      <c r="E50" s="165"/>
    </row>
    <row r="51" spans="2:5" ht="15.75">
      <c r="B51" s="281" t="s">
        <v>173</v>
      </c>
      <c r="C51" s="52">
        <v>595</v>
      </c>
      <c r="D51" s="52">
        <v>650</v>
      </c>
      <c r="E51" s="52">
        <v>650</v>
      </c>
    </row>
    <row r="52" spans="2:5" ht="15.75">
      <c r="B52" s="281" t="s">
        <v>174</v>
      </c>
      <c r="C52" s="52"/>
      <c r="D52" s="52"/>
      <c r="E52" s="52"/>
    </row>
    <row r="53" spans="2:5" ht="15.75">
      <c r="B53" s="281" t="s">
        <v>980</v>
      </c>
      <c r="C53" s="52">
        <v>8</v>
      </c>
      <c r="D53" s="52">
        <v>1500</v>
      </c>
      <c r="E53" s="52">
        <v>2000</v>
      </c>
    </row>
    <row r="54" spans="2:5" ht="15.75">
      <c r="B54" s="281"/>
      <c r="C54" s="52"/>
      <c r="D54" s="52"/>
      <c r="E54" s="52"/>
    </row>
    <row r="55" spans="2:5" ht="15.75">
      <c r="B55" s="281"/>
      <c r="C55" s="52"/>
      <c r="D55" s="52"/>
      <c r="E55" s="52"/>
    </row>
    <row r="56" spans="2:5" ht="15.75">
      <c r="B56" s="281"/>
      <c r="C56" s="52"/>
      <c r="D56" s="52"/>
      <c r="E56" s="52"/>
    </row>
    <row r="57" spans="2:5" ht="15.75">
      <c r="B57" s="281"/>
      <c r="C57" s="52"/>
      <c r="D57" s="52"/>
      <c r="E57" s="52"/>
    </row>
    <row r="58" spans="2:5" ht="15.75">
      <c r="B58" s="281"/>
      <c r="C58" s="52"/>
      <c r="D58" s="52"/>
      <c r="E58" s="52"/>
    </row>
    <row r="59" spans="2:5" ht="15.75">
      <c r="B59" s="281"/>
      <c r="C59" s="52"/>
      <c r="D59" s="52"/>
      <c r="E59" s="52"/>
    </row>
    <row r="60" spans="2:5" ht="15.75">
      <c r="B60" s="167" t="s">
        <v>143</v>
      </c>
      <c r="C60" s="52"/>
      <c r="D60" s="298"/>
      <c r="E60" s="298"/>
    </row>
    <row r="61" spans="2:5" ht="15.75">
      <c r="B61" s="167" t="s">
        <v>666</v>
      </c>
      <c r="C61" s="515">
        <f>IF(C62*0.1&lt;C60,"Exceed 10% Rule","")</f>
      </c>
      <c r="D61" s="301">
        <f>IF(D62*0.1&lt;D60,"Exceed 10% Rule","")</f>
      </c>
      <c r="E61" s="301">
        <f>IF(E62*0.1&lt;E60,"Exceed 10% Rule","")</f>
      </c>
    </row>
    <row r="62" spans="2:5" ht="15.75">
      <c r="B62" s="278" t="s">
        <v>59</v>
      </c>
      <c r="C62" s="303">
        <f>SUM(C51:C60)</f>
        <v>603</v>
      </c>
      <c r="D62" s="303">
        <f>SUM(D51:D60)</f>
        <v>2150</v>
      </c>
      <c r="E62" s="303">
        <f>SUM(E51:E60)</f>
        <v>2650</v>
      </c>
    </row>
    <row r="63" spans="2:5" ht="15.75">
      <c r="B63" s="113" t="s">
        <v>164</v>
      </c>
      <c r="C63" s="59">
        <f>C49-C62</f>
        <v>7069</v>
      </c>
      <c r="D63" s="59">
        <f>D49-D62</f>
        <v>7719</v>
      </c>
      <c r="E63" s="59">
        <f>E49-E62</f>
        <v>8069</v>
      </c>
    </row>
    <row r="64" spans="2:5" ht="15.75">
      <c r="B64" s="514" t="str">
        <f>CONCATENATE("",E1-2,"/",E1-1," Budget Authority Amount:")</f>
        <v>2011/2012 Budget Authority Amount:</v>
      </c>
      <c r="C64" s="203">
        <f>inputOth!B83</f>
        <v>6327</v>
      </c>
      <c r="D64" s="203">
        <f>inputPrYr!D34</f>
        <v>6456</v>
      </c>
      <c r="E64" s="409">
        <f>IF(E63&lt;0,"See Tab E","")</f>
      </c>
    </row>
    <row r="65" spans="2:5" ht="15.75">
      <c r="B65" s="192"/>
      <c r="C65" s="284">
        <f>IF(C62&gt;C64,"See Tab A","")</f>
      </c>
      <c r="D65" s="284">
        <f>IF(D62&gt;D64,"See Tab C","")</f>
      </c>
      <c r="E65" s="28"/>
    </row>
    <row r="66" spans="2:5" ht="15.75">
      <c r="B66" s="192"/>
      <c r="C66" s="284">
        <f>IF(C63&lt;0,"See Tab B","")</f>
      </c>
      <c r="D66" s="284">
        <f>IF(D63&lt;0,"See Tab D","")</f>
      </c>
      <c r="E66" s="28"/>
    </row>
    <row r="67" spans="2:5" ht="15.75">
      <c r="B67" s="28"/>
      <c r="C67" s="28"/>
      <c r="D67" s="28"/>
      <c r="E67" s="28"/>
    </row>
    <row r="68" spans="2:5" ht="15.75">
      <c r="B68" s="192" t="s">
        <v>62</v>
      </c>
      <c r="C68" s="288">
        <v>8</v>
      </c>
      <c r="D68" s="28"/>
      <c r="E68" s="28"/>
    </row>
  </sheetData>
  <sheetProtection sheet="1"/>
  <conditionalFormatting sqref="C60">
    <cfRule type="cellIs" priority="3" dxfId="140" operator="greaterThan" stopIfTrue="1">
      <formula>$C$62*0.1</formula>
    </cfRule>
  </conditionalFormatting>
  <conditionalFormatting sqref="D60">
    <cfRule type="cellIs" priority="4" dxfId="140" operator="greaterThan" stopIfTrue="1">
      <formula>$D$62*0.1</formula>
    </cfRule>
  </conditionalFormatting>
  <conditionalFormatting sqref="E60">
    <cfRule type="cellIs" priority="5" dxfId="140" operator="greaterThan" stopIfTrue="1">
      <formula>$E$62*0.1</formula>
    </cfRule>
  </conditionalFormatting>
  <conditionalFormatting sqref="C46">
    <cfRule type="cellIs" priority="6" dxfId="140" operator="greaterThan" stopIfTrue="1">
      <formula>$C$48*0.1</formula>
    </cfRule>
  </conditionalFormatting>
  <conditionalFormatting sqref="D46">
    <cfRule type="cellIs" priority="7" dxfId="140" operator="greaterThan" stopIfTrue="1">
      <formula>$D$48*0.1</formula>
    </cfRule>
  </conditionalFormatting>
  <conditionalFormatting sqref="E46">
    <cfRule type="cellIs" priority="8" dxfId="140" operator="greaterThan" stopIfTrue="1">
      <formula>$E$48*0.1</formula>
    </cfRule>
  </conditionalFormatting>
  <conditionalFormatting sqref="C29">
    <cfRule type="cellIs" priority="9" dxfId="140" operator="greaterThan" stopIfTrue="1">
      <formula>$C$31*0.1</formula>
    </cfRule>
  </conditionalFormatting>
  <conditionalFormatting sqref="D29">
    <cfRule type="cellIs" priority="10" dxfId="140" operator="greaterThan" stopIfTrue="1">
      <formula>$D$31*0.1</formula>
    </cfRule>
  </conditionalFormatting>
  <conditionalFormatting sqref="E29">
    <cfRule type="cellIs" priority="11" dxfId="140" operator="greaterThan" stopIfTrue="1">
      <formula>$E$31*0.1</formula>
    </cfRule>
  </conditionalFormatting>
  <conditionalFormatting sqref="C15">
    <cfRule type="cellIs" priority="12" dxfId="140" operator="greaterThan" stopIfTrue="1">
      <formula>$C$17*0.1</formula>
    </cfRule>
  </conditionalFormatting>
  <conditionalFormatting sqref="D15">
    <cfRule type="cellIs" priority="13" dxfId="140" operator="greaterThan" stopIfTrue="1">
      <formula>$D$17*0.1</formula>
    </cfRule>
  </conditionalFormatting>
  <conditionalFormatting sqref="E15">
    <cfRule type="cellIs" priority="14" dxfId="140" operator="greaterThan" stopIfTrue="1">
      <formula>$E$17*0.1</formula>
    </cfRule>
  </conditionalFormatting>
  <conditionalFormatting sqref="E32 C32 E63 C63">
    <cfRule type="cellIs" priority="15" dxfId="1" operator="lessThan" stopIfTrue="1">
      <formula>0</formula>
    </cfRule>
  </conditionalFormatting>
  <conditionalFormatting sqref="C31">
    <cfRule type="cellIs" priority="16" dxfId="1" operator="greaterThan" stopIfTrue="1">
      <formula>$C$33</formula>
    </cfRule>
  </conditionalFormatting>
  <conditionalFormatting sqref="D31">
    <cfRule type="cellIs" priority="17" dxfId="1" operator="greaterThan" stopIfTrue="1">
      <formula>$D$33</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2">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4"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B1">
      <selection activeCell="L24" sqref="L24"/>
    </sheetView>
  </sheetViews>
  <sheetFormatPr defaultColWidth="8.796875" defaultRowHeight="15"/>
  <cols>
    <col min="1" max="1" width="2.3984375" style="24" customWidth="1"/>
    <col min="2" max="2" width="31.09765625" style="24" customWidth="1"/>
    <col min="3" max="4" width="15.796875" style="24" customWidth="1"/>
    <col min="5" max="5" width="16.296875" style="24" customWidth="1"/>
    <col min="6" max="16384" width="8.8984375" style="24" customWidth="1"/>
  </cols>
  <sheetData>
    <row r="1" spans="2:5" ht="15.75">
      <c r="B1" s="183" t="str">
        <f>(inputPrYr!D3)</f>
        <v>City of Vining</v>
      </c>
      <c r="C1" s="28"/>
      <c r="D1" s="28"/>
      <c r="E1" s="139">
        <f>inputPrYr!$C$10</f>
        <v>2013</v>
      </c>
    </row>
    <row r="2" spans="2:5" ht="15.75">
      <c r="B2" s="28"/>
      <c r="C2" s="28"/>
      <c r="D2" s="28"/>
      <c r="E2" s="199"/>
    </row>
    <row r="3" spans="2:5" ht="15.75">
      <c r="B3" s="46" t="s">
        <v>108</v>
      </c>
      <c r="C3" s="150"/>
      <c r="D3" s="150"/>
      <c r="E3" s="141"/>
    </row>
    <row r="4" spans="2:5" ht="15.75">
      <c r="B4" s="34" t="s">
        <v>48</v>
      </c>
      <c r="C4" s="599" t="s">
        <v>853</v>
      </c>
      <c r="D4" s="600" t="s">
        <v>854</v>
      </c>
      <c r="E4" s="152" t="s">
        <v>855</v>
      </c>
    </row>
    <row r="5" spans="2:5" ht="15.75">
      <c r="B5" s="524">
        <f>(inputPrYr!B35)</f>
        <v>0</v>
      </c>
      <c r="C5" s="561" t="str">
        <f>CONCATENATE("Actual for ",E1-2,"")</f>
        <v>Actual for 2011</v>
      </c>
      <c r="D5" s="561" t="str">
        <f>CONCATENATE("Estimate for ",E1-1,"")</f>
        <v>Estimate for 2012</v>
      </c>
      <c r="E5" s="214" t="str">
        <f>CONCATENATE("Year for ",E1,"")</f>
        <v>Year for 2013</v>
      </c>
    </row>
    <row r="6" spans="2:5" ht="15.75">
      <c r="B6" s="113" t="s">
        <v>163</v>
      </c>
      <c r="C6" s="52"/>
      <c r="D6" s="165">
        <f>C30</f>
        <v>0</v>
      </c>
      <c r="E6" s="165">
        <f>D30</f>
        <v>0</v>
      </c>
    </row>
    <row r="7" spans="2:5" ht="15.75">
      <c r="B7" s="268" t="s">
        <v>165</v>
      </c>
      <c r="C7" s="165"/>
      <c r="D7" s="165"/>
      <c r="E7" s="165"/>
    </row>
    <row r="8" spans="2:5" ht="15.75">
      <c r="B8" s="281"/>
      <c r="C8" s="52"/>
      <c r="D8" s="52"/>
      <c r="E8" s="52"/>
    </row>
    <row r="9" spans="2:5" ht="15.75">
      <c r="B9" s="281"/>
      <c r="C9" s="52"/>
      <c r="D9" s="52"/>
      <c r="E9" s="52"/>
    </row>
    <row r="10" spans="2:5" ht="15.75">
      <c r="B10" s="281"/>
      <c r="C10" s="52"/>
      <c r="D10" s="52"/>
      <c r="E10" s="52"/>
    </row>
    <row r="11" spans="2:5" ht="15.75">
      <c r="B11" s="281"/>
      <c r="C11" s="52"/>
      <c r="D11" s="52"/>
      <c r="E11" s="52"/>
    </row>
    <row r="12" spans="2:5" ht="15.75">
      <c r="B12" s="300" t="s">
        <v>55</v>
      </c>
      <c r="C12" s="52"/>
      <c r="D12" s="52"/>
      <c r="E12" s="52"/>
    </row>
    <row r="13" spans="2:5" ht="15.75">
      <c r="B13" s="167" t="s">
        <v>143</v>
      </c>
      <c r="C13" s="52"/>
      <c r="D13" s="298"/>
      <c r="E13" s="298"/>
    </row>
    <row r="14" spans="2:5" ht="15.75">
      <c r="B14" s="167" t="s">
        <v>665</v>
      </c>
      <c r="C14" s="515">
        <f>IF(C15*0.1&lt;C13,"Exceed 10% Rule","")</f>
      </c>
      <c r="D14" s="301">
        <f>IF(D15*0.1&lt;D13,"Exceed 10% Rule","")</f>
      </c>
      <c r="E14" s="301">
        <f>IF(E15*0.1&lt;E13,"Exceed 10% Rule","")</f>
      </c>
    </row>
    <row r="15" spans="2:5" ht="15.75">
      <c r="B15" s="278" t="s">
        <v>56</v>
      </c>
      <c r="C15" s="303">
        <f>SUM(C8:C13)</f>
        <v>0</v>
      </c>
      <c r="D15" s="303">
        <f>SUM(D8:D13)</f>
        <v>0</v>
      </c>
      <c r="E15" s="303">
        <f>SUM(E8:E13)</f>
        <v>0</v>
      </c>
    </row>
    <row r="16" spans="2:5" ht="15.75">
      <c r="B16" s="278" t="s">
        <v>57</v>
      </c>
      <c r="C16" s="303">
        <f>C6+C15</f>
        <v>0</v>
      </c>
      <c r="D16" s="303">
        <f>D6+D15</f>
        <v>0</v>
      </c>
      <c r="E16" s="303">
        <f>E6+E15</f>
        <v>0</v>
      </c>
    </row>
    <row r="17" spans="2:5" ht="15.75">
      <c r="B17" s="113" t="s">
        <v>58</v>
      </c>
      <c r="C17" s="165"/>
      <c r="D17" s="165"/>
      <c r="E17" s="165"/>
    </row>
    <row r="18" spans="2:5" ht="15.75">
      <c r="B18" s="281" t="s">
        <v>173</v>
      </c>
      <c r="C18" s="52"/>
      <c r="D18" s="52"/>
      <c r="E18" s="52"/>
    </row>
    <row r="19" spans="2:5" ht="15.75">
      <c r="B19" s="281" t="s">
        <v>176</v>
      </c>
      <c r="C19" s="52"/>
      <c r="D19" s="52"/>
      <c r="E19" s="52"/>
    </row>
    <row r="20" spans="2:5" ht="15.75">
      <c r="B20" s="281"/>
      <c r="C20" s="52"/>
      <c r="D20" s="52"/>
      <c r="E20" s="52"/>
    </row>
    <row r="21" spans="2:5" ht="15.75">
      <c r="B21" s="281"/>
      <c r="C21" s="52"/>
      <c r="D21" s="52"/>
      <c r="E21" s="52"/>
    </row>
    <row r="22" spans="2:5" ht="15.75">
      <c r="B22" s="281"/>
      <c r="C22" s="52"/>
      <c r="D22" s="52"/>
      <c r="E22" s="52"/>
    </row>
    <row r="23" spans="2:5" ht="15.75">
      <c r="B23" s="281"/>
      <c r="C23" s="52"/>
      <c r="D23" s="52"/>
      <c r="E23" s="52"/>
    </row>
    <row r="24" spans="2:5" ht="15.75">
      <c r="B24" s="281"/>
      <c r="C24" s="52"/>
      <c r="D24" s="52"/>
      <c r="E24" s="52"/>
    </row>
    <row r="25" spans="2:5" ht="15.75">
      <c r="B25" s="281"/>
      <c r="C25" s="52"/>
      <c r="D25" s="52"/>
      <c r="E25" s="52"/>
    </row>
    <row r="26" spans="2:5" ht="15.75">
      <c r="B26" s="281"/>
      <c r="C26" s="52"/>
      <c r="D26" s="52"/>
      <c r="E26" s="52"/>
    </row>
    <row r="27" spans="2:5" ht="15.75">
      <c r="B27" s="167" t="s">
        <v>143</v>
      </c>
      <c r="C27" s="52"/>
      <c r="D27" s="298"/>
      <c r="E27" s="298"/>
    </row>
    <row r="28" spans="2:5" ht="15.75">
      <c r="B28" s="167" t="s">
        <v>666</v>
      </c>
      <c r="C28" s="515">
        <f>IF(C29*0.1&lt;C27,"Exceed 10% Rule","")</f>
      </c>
      <c r="D28" s="301">
        <f>IF(D29*0.1&lt;D27,"Exceed 10% Rule","")</f>
      </c>
      <c r="E28" s="301">
        <f>IF(E29*0.1&lt;E27,"Exceed 10% Rule","")</f>
      </c>
    </row>
    <row r="29" spans="2:5" ht="15.75">
      <c r="B29" s="278" t="s">
        <v>59</v>
      </c>
      <c r="C29" s="303">
        <f>SUM(C18:C27)</f>
        <v>0</v>
      </c>
      <c r="D29" s="303">
        <f>SUM(D18:D27)</f>
        <v>0</v>
      </c>
      <c r="E29" s="303">
        <f>SUM(E18:E27)</f>
        <v>0</v>
      </c>
    </row>
    <row r="30" spans="2:5" ht="15.75">
      <c r="B30" s="113" t="s">
        <v>164</v>
      </c>
      <c r="C30" s="59">
        <f>C16-C29</f>
        <v>0</v>
      </c>
      <c r="D30" s="59">
        <f>D16-D29</f>
        <v>0</v>
      </c>
      <c r="E30" s="59">
        <f>E16-E29</f>
        <v>0</v>
      </c>
    </row>
    <row r="31" spans="2:5" ht="15.75">
      <c r="B31" s="514" t="str">
        <f>CONCATENATE("",E1-2,"/",E1-1," Budget Authority Amount:")</f>
        <v>2011/2012 Budget Authority Amount:</v>
      </c>
      <c r="C31" s="203">
        <f>inputOth!B84</f>
        <v>0</v>
      </c>
      <c r="D31" s="203">
        <f>inputPrYr!D35</f>
        <v>0</v>
      </c>
      <c r="E31" s="409">
        <f>IF(E30&lt;0,"See Tab E","")</f>
      </c>
    </row>
    <row r="32" spans="2:5" ht="15.75">
      <c r="B32" s="192"/>
      <c r="C32" s="284">
        <f>IF(C29&gt;C31,"See Tab A","")</f>
      </c>
      <c r="D32" s="284">
        <f>IF(D29&gt;D31,"See Tab C","")</f>
      </c>
      <c r="E32" s="308"/>
    </row>
    <row r="33" spans="2:5" ht="15.75">
      <c r="B33" s="192"/>
      <c r="C33" s="284">
        <f>IF(C30&lt;0,"See Tab B","")</f>
      </c>
      <c r="D33" s="284">
        <f>IF(D30&lt;0,"See Tab D","")</f>
      </c>
      <c r="E33" s="308"/>
    </row>
    <row r="34" spans="2:5" ht="15.75">
      <c r="B34" s="28"/>
      <c r="C34" s="308"/>
      <c r="D34" s="308"/>
      <c r="E34" s="308"/>
    </row>
    <row r="35" spans="2:5" ht="15.75">
      <c r="B35" s="34" t="s">
        <v>48</v>
      </c>
      <c r="C35" s="598" t="s">
        <v>853</v>
      </c>
      <c r="D35" s="152" t="s">
        <v>854</v>
      </c>
      <c r="E35" s="152" t="s">
        <v>855</v>
      </c>
    </row>
    <row r="36" spans="2:5" ht="15.75">
      <c r="B36" s="524">
        <f>(inputPrYr!B36)</f>
        <v>0</v>
      </c>
      <c r="C36" s="214" t="str">
        <f>C5</f>
        <v>Actual for 2011</v>
      </c>
      <c r="D36" s="214" t="str">
        <f>D5</f>
        <v>Estimate for 2012</v>
      </c>
      <c r="E36" s="214" t="str">
        <f>E5</f>
        <v>Year for 2013</v>
      </c>
    </row>
    <row r="37" spans="2:5" ht="15.75">
      <c r="B37" s="113" t="s">
        <v>163</v>
      </c>
      <c r="C37" s="52"/>
      <c r="D37" s="165">
        <f>C61</f>
        <v>0</v>
      </c>
      <c r="E37" s="165">
        <f>D61</f>
        <v>0</v>
      </c>
    </row>
    <row r="38" spans="2:5" ht="15.75">
      <c r="B38" s="268" t="s">
        <v>165</v>
      </c>
      <c r="C38" s="165"/>
      <c r="D38" s="165"/>
      <c r="E38" s="165"/>
    </row>
    <row r="39" spans="2:5" ht="15.75">
      <c r="B39" s="281"/>
      <c r="C39" s="52"/>
      <c r="D39" s="52"/>
      <c r="E39" s="52"/>
    </row>
    <row r="40" spans="2:5" ht="15.75">
      <c r="B40" s="281"/>
      <c r="C40" s="52"/>
      <c r="D40" s="52"/>
      <c r="E40" s="52"/>
    </row>
    <row r="41" spans="2:5" ht="15.75">
      <c r="B41" s="281"/>
      <c r="C41" s="52"/>
      <c r="D41" s="52"/>
      <c r="E41" s="52"/>
    </row>
    <row r="42" spans="2:5" ht="15.75">
      <c r="B42" s="281"/>
      <c r="C42" s="52"/>
      <c r="D42" s="52"/>
      <c r="E42" s="52"/>
    </row>
    <row r="43" spans="2:5" ht="15.75">
      <c r="B43" s="300" t="s">
        <v>55</v>
      </c>
      <c r="C43" s="52"/>
      <c r="D43" s="52"/>
      <c r="E43" s="52"/>
    </row>
    <row r="44" spans="2:5" ht="15.75">
      <c r="B44" s="167" t="s">
        <v>143</v>
      </c>
      <c r="C44" s="52"/>
      <c r="D44" s="52"/>
      <c r="E44" s="52"/>
    </row>
    <row r="45" spans="2:5" ht="15.75">
      <c r="B45" s="167" t="s">
        <v>665</v>
      </c>
      <c r="C45" s="515">
        <f>IF(C46*0.1&lt;C44,"Exceed 10% Rule","")</f>
      </c>
      <c r="D45" s="301">
        <f>IF(D46*0.1&lt;D44,"Exceed 10% Rule","")</f>
      </c>
      <c r="E45" s="301">
        <f>IF(E46*0.1&lt;E44,"Exceed 10% Rule","")</f>
      </c>
    </row>
    <row r="46" spans="2:5" ht="15.75">
      <c r="B46" s="278" t="s">
        <v>56</v>
      </c>
      <c r="C46" s="303">
        <f>SUM(C39:C44)</f>
        <v>0</v>
      </c>
      <c r="D46" s="303">
        <f>SUM(D39:D44)</f>
        <v>0</v>
      </c>
      <c r="E46" s="303">
        <f>SUM(E39:E44)</f>
        <v>0</v>
      </c>
    </row>
    <row r="47" spans="2:5" ht="15.75">
      <c r="B47" s="278" t="s">
        <v>57</v>
      </c>
      <c r="C47" s="303">
        <f>C37+C46</f>
        <v>0</v>
      </c>
      <c r="D47" s="303">
        <f>D37+D46</f>
        <v>0</v>
      </c>
      <c r="E47" s="303">
        <f>E37+E46</f>
        <v>0</v>
      </c>
    </row>
    <row r="48" spans="2:5" ht="15.75">
      <c r="B48" s="113" t="s">
        <v>58</v>
      </c>
      <c r="C48" s="165"/>
      <c r="D48" s="165"/>
      <c r="E48" s="165"/>
    </row>
    <row r="49" spans="2:5" ht="15.75">
      <c r="B49" s="281" t="s">
        <v>173</v>
      </c>
      <c r="C49" s="52"/>
      <c r="D49" s="52"/>
      <c r="E49" s="52"/>
    </row>
    <row r="50" spans="2:5" ht="15.75">
      <c r="B50" s="281" t="s">
        <v>174</v>
      </c>
      <c r="C50" s="52"/>
      <c r="D50" s="52"/>
      <c r="E50" s="52"/>
    </row>
    <row r="51" spans="2:5" ht="15.75">
      <c r="B51" s="281"/>
      <c r="C51" s="52"/>
      <c r="D51" s="52"/>
      <c r="E51" s="52"/>
    </row>
    <row r="52" spans="2:5" ht="15.75">
      <c r="B52" s="281"/>
      <c r="C52" s="52"/>
      <c r="D52" s="52"/>
      <c r="E52" s="52"/>
    </row>
    <row r="53" spans="2:5" ht="15.75">
      <c r="B53" s="281"/>
      <c r="C53" s="52"/>
      <c r="D53" s="52"/>
      <c r="E53" s="52"/>
    </row>
    <row r="54" spans="2:5" ht="15.75">
      <c r="B54" s="281"/>
      <c r="C54" s="52"/>
      <c r="D54" s="52"/>
      <c r="E54" s="52"/>
    </row>
    <row r="55" spans="2:5" ht="15.75">
      <c r="B55" s="281"/>
      <c r="C55" s="52"/>
      <c r="D55" s="52"/>
      <c r="E55" s="52"/>
    </row>
    <row r="56" spans="2:5" ht="15.75">
      <c r="B56" s="281"/>
      <c r="C56" s="52"/>
      <c r="D56" s="52"/>
      <c r="E56" s="52"/>
    </row>
    <row r="57" spans="2:5" ht="15.75">
      <c r="B57" s="281"/>
      <c r="C57" s="52"/>
      <c r="D57" s="52"/>
      <c r="E57" s="52"/>
    </row>
    <row r="58" spans="2:5" ht="15.75">
      <c r="B58" s="167" t="s">
        <v>143</v>
      </c>
      <c r="C58" s="52"/>
      <c r="D58" s="298"/>
      <c r="E58" s="298"/>
    </row>
    <row r="59" spans="2:5" ht="15.75">
      <c r="B59" s="167" t="s">
        <v>666</v>
      </c>
      <c r="C59" s="515">
        <f>IF(C60*0.1&lt;C58,"Exceed 10% Rule","")</f>
      </c>
      <c r="D59" s="301">
        <f>IF(D60*0.1&lt;D58,"Exceed 10% Rule","")</f>
      </c>
      <c r="E59" s="301">
        <f>IF(E60*0.1&lt;E58,"Exceed 10% Rule","")</f>
      </c>
    </row>
    <row r="60" spans="2:5" ht="15.75">
      <c r="B60" s="278" t="s">
        <v>59</v>
      </c>
      <c r="C60" s="303">
        <f>SUM(C49:C58)</f>
        <v>0</v>
      </c>
      <c r="D60" s="303">
        <f>SUM(D49:D58)</f>
        <v>0</v>
      </c>
      <c r="E60" s="303">
        <f>SUM(E49:E58)</f>
        <v>0</v>
      </c>
    </row>
    <row r="61" spans="2:5" ht="15.75">
      <c r="B61" s="113" t="s">
        <v>164</v>
      </c>
      <c r="C61" s="59">
        <f>C47-C60</f>
        <v>0</v>
      </c>
      <c r="D61" s="59">
        <f>D47-D60</f>
        <v>0</v>
      </c>
      <c r="E61" s="59">
        <f>E47-E60</f>
        <v>0</v>
      </c>
    </row>
    <row r="62" spans="2:5" ht="15.75">
      <c r="B62" s="514" t="str">
        <f>CONCATENATE("",E1-2,"/",E1-1," Budget Authority Amount:")</f>
        <v>2011/2012 Budget Authority Amount:</v>
      </c>
      <c r="C62" s="203">
        <f>inputOth!B85</f>
        <v>0</v>
      </c>
      <c r="D62" s="203">
        <f>inputPrYr!D36</f>
        <v>0</v>
      </c>
      <c r="E62" s="409">
        <f>IF(E61&lt;0,"See Tab E","")</f>
      </c>
    </row>
    <row r="63" spans="2:5" ht="15.75">
      <c r="B63" s="192"/>
      <c r="C63" s="284">
        <f>IF(C60&gt;C62,"See Tab A","")</f>
      </c>
      <c r="D63" s="284">
        <f>IF(D60&gt;D62,"See Tab C","")</f>
      </c>
      <c r="E63" s="28"/>
    </row>
    <row r="64" spans="2:5" ht="15.75">
      <c r="B64" s="192"/>
      <c r="C64" s="284">
        <f>IF(C61&lt;0,"See Tab B","")</f>
      </c>
      <c r="D64" s="284">
        <f>IF(D61&lt;0,"See Tab D","")</f>
      </c>
      <c r="E64" s="28"/>
    </row>
    <row r="65" spans="2:5" ht="15.75">
      <c r="B65" s="28"/>
      <c r="C65" s="28"/>
      <c r="D65" s="28"/>
      <c r="E65" s="28"/>
    </row>
    <row r="66" spans="2:5" ht="15.75">
      <c r="B66" s="192" t="s">
        <v>62</v>
      </c>
      <c r="C66" s="288"/>
      <c r="D66" s="28"/>
      <c r="E66" s="28"/>
    </row>
  </sheetData>
  <sheetProtection sheet="1"/>
  <conditionalFormatting sqref="C58">
    <cfRule type="cellIs" priority="3" dxfId="140" operator="greaterThan" stopIfTrue="1">
      <formula>$C$60*0.1</formula>
    </cfRule>
  </conditionalFormatting>
  <conditionalFormatting sqref="D58">
    <cfRule type="cellIs" priority="4" dxfId="140" operator="greaterThan" stopIfTrue="1">
      <formula>$D$60*0.1</formula>
    </cfRule>
  </conditionalFormatting>
  <conditionalFormatting sqref="E58">
    <cfRule type="cellIs" priority="5" dxfId="140" operator="greaterThan" stopIfTrue="1">
      <formula>$E$60*0.1</formula>
    </cfRule>
  </conditionalFormatting>
  <conditionalFormatting sqref="C44">
    <cfRule type="cellIs" priority="6" dxfId="140" operator="greaterThan" stopIfTrue="1">
      <formula>$C$46*0.1</formula>
    </cfRule>
  </conditionalFormatting>
  <conditionalFormatting sqref="C27">
    <cfRule type="cellIs" priority="7" dxfId="140" operator="greaterThan" stopIfTrue="1">
      <formula>$C$29*0.1</formula>
    </cfRule>
  </conditionalFormatting>
  <conditionalFormatting sqref="D27">
    <cfRule type="cellIs" priority="8" dxfId="140" operator="greaterThan" stopIfTrue="1">
      <formula>$D$29*0.1</formula>
    </cfRule>
  </conditionalFormatting>
  <conditionalFormatting sqref="E27">
    <cfRule type="cellIs" priority="9" dxfId="140" operator="greaterThan" stopIfTrue="1">
      <formula>$E$29*0.1</formula>
    </cfRule>
  </conditionalFormatting>
  <conditionalFormatting sqref="C13">
    <cfRule type="cellIs" priority="10" dxfId="140" operator="greaterThan" stopIfTrue="1">
      <formula>$C$15*0.1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E30 C30 E61 C61">
    <cfRule type="cellIs" priority="13" dxfId="1" operator="lessThan" stopIfTrue="1">
      <formula>0</formula>
    </cfRule>
  </conditionalFormatting>
  <conditionalFormatting sqref="C29">
    <cfRule type="cellIs" priority="14" dxfId="1" operator="greaterThan" stopIfTrue="1">
      <formula>$C$31</formula>
    </cfRule>
  </conditionalFormatting>
  <conditionalFormatting sqref="D29">
    <cfRule type="cellIs" priority="15" dxfId="1" operator="greaterThan" stopIfTrue="1">
      <formula>$D$31</formula>
    </cfRule>
  </conditionalFormatting>
  <conditionalFormatting sqref="C60">
    <cfRule type="cellIs" priority="16" dxfId="1" operator="greaterThan" stopIfTrue="1">
      <formula>$C$62</formula>
    </cfRule>
  </conditionalFormatting>
  <conditionalFormatting sqref="D60">
    <cfRule type="cellIs" priority="17" dxfId="1" operator="greaterThan" stopIfTrue="1">
      <formula>$D$62</formula>
    </cfRule>
  </conditionalFormatting>
  <conditionalFormatting sqref="D44">
    <cfRule type="cellIs" priority="18" dxfId="1" operator="greaterThan" stopIfTrue="1">
      <formula>$D$46*0.1</formula>
    </cfRule>
  </conditionalFormatting>
  <conditionalFormatting sqref="E44">
    <cfRule type="cellIs" priority="19" dxfId="1" operator="greaterThan" stopIfTrue="1">
      <formula>$E$46*0.1</formula>
    </cfRule>
  </conditionalFormatting>
  <conditionalFormatting sqref="D61">
    <cfRule type="cellIs" priority="2" dxfId="0" operator="lessThan" stopIfTrue="1">
      <formula>0</formula>
    </cfRule>
  </conditionalFormatting>
  <conditionalFormatting sqref="D3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5"/>
  <sheetViews>
    <sheetView zoomScalePageLayoutView="0" workbookViewId="0" topLeftCell="A39">
      <selection activeCell="D70" sqref="D70"/>
    </sheetView>
  </sheetViews>
  <sheetFormatPr defaultColWidth="8.796875" defaultRowHeight="15"/>
  <cols>
    <col min="1" max="1" width="15.796875" style="24" customWidth="1"/>
    <col min="2" max="2" width="20.796875" style="24" customWidth="1"/>
    <col min="3" max="3" width="9.796875" style="24" customWidth="1"/>
    <col min="4" max="4" width="15.09765625" style="24" customWidth="1"/>
    <col min="5" max="5" width="15.796875" style="24" customWidth="1"/>
    <col min="6" max="6" width="1.796875" style="24" customWidth="1"/>
    <col min="7" max="7" width="18.69921875" style="24" customWidth="1"/>
    <col min="8" max="16384" width="8.8984375" style="24" customWidth="1"/>
  </cols>
  <sheetData>
    <row r="1" spans="1:5" ht="15.75">
      <c r="A1" s="673" t="s">
        <v>264</v>
      </c>
      <c r="B1" s="674"/>
      <c r="C1" s="674"/>
      <c r="D1" s="674"/>
      <c r="E1" s="674"/>
    </row>
    <row r="2" spans="1:5" ht="15.75">
      <c r="A2" s="25"/>
      <c r="B2" s="26"/>
      <c r="C2" s="26"/>
      <c r="D2" s="23"/>
      <c r="E2" s="26"/>
    </row>
    <row r="3" spans="1:5" ht="15.75">
      <c r="A3" s="27" t="s">
        <v>259</v>
      </c>
      <c r="B3" s="28"/>
      <c r="C3" s="28"/>
      <c r="D3" s="29" t="s">
        <v>957</v>
      </c>
      <c r="E3" s="30"/>
    </row>
    <row r="4" spans="1:5" ht="15.75">
      <c r="A4" s="27" t="s">
        <v>295</v>
      </c>
      <c r="B4" s="28"/>
      <c r="C4" s="28"/>
      <c r="D4" s="31" t="s">
        <v>958</v>
      </c>
      <c r="E4" s="32"/>
    </row>
    <row r="5" spans="1:5" ht="15.75">
      <c r="A5" s="27" t="s">
        <v>260</v>
      </c>
      <c r="B5" s="28"/>
      <c r="C5" s="28"/>
      <c r="D5" s="33"/>
      <c r="E5" s="28"/>
    </row>
    <row r="6" spans="1:5" ht="15.75">
      <c r="A6" s="27" t="s">
        <v>261</v>
      </c>
      <c r="B6" s="28"/>
      <c r="C6" s="28"/>
      <c r="D6" s="29" t="s">
        <v>959</v>
      </c>
      <c r="E6" s="30"/>
    </row>
    <row r="7" spans="1:5" ht="15.75">
      <c r="A7" s="27" t="s">
        <v>262</v>
      </c>
      <c r="B7" s="28"/>
      <c r="C7" s="28"/>
      <c r="D7" s="31"/>
      <c r="E7" s="32"/>
    </row>
    <row r="8" spans="1:5" ht="15.75">
      <c r="A8" s="27" t="s">
        <v>263</v>
      </c>
      <c r="B8" s="28"/>
      <c r="C8" s="28"/>
      <c r="D8" s="31"/>
      <c r="E8" s="32"/>
    </row>
    <row r="9" spans="1:5" ht="15.75">
      <c r="A9" s="34"/>
      <c r="B9" s="28"/>
      <c r="C9" s="28"/>
      <c r="D9" s="33"/>
      <c r="E9" s="28"/>
    </row>
    <row r="10" spans="1:5" ht="15.75">
      <c r="A10" s="27" t="s">
        <v>191</v>
      </c>
      <c r="B10" s="28"/>
      <c r="C10" s="35">
        <v>2013</v>
      </c>
      <c r="D10" s="33"/>
      <c r="E10" s="36"/>
    </row>
    <row r="11" spans="1:5" ht="15.75">
      <c r="A11" s="28"/>
      <c r="B11" s="28"/>
      <c r="C11" s="28"/>
      <c r="D11" s="28"/>
      <c r="E11" s="28"/>
    </row>
    <row r="12" spans="1:5" ht="15.75">
      <c r="A12" s="37" t="s">
        <v>354</v>
      </c>
      <c r="B12" s="38"/>
      <c r="C12" s="38"/>
      <c r="D12" s="38"/>
      <c r="E12" s="38"/>
    </row>
    <row r="13" spans="1:8" ht="15.75">
      <c r="A13" s="37" t="s">
        <v>353</v>
      </c>
      <c r="B13" s="38"/>
      <c r="C13" s="38"/>
      <c r="D13" s="38"/>
      <c r="E13" s="38"/>
      <c r="F13" s="28"/>
      <c r="G13" s="675" t="s">
        <v>856</v>
      </c>
      <c r="H13" s="676"/>
    </row>
    <row r="14" spans="1:8" ht="15.75">
      <c r="A14" s="39"/>
      <c r="B14" s="38"/>
      <c r="C14" s="38"/>
      <c r="D14" s="38"/>
      <c r="E14" s="38"/>
      <c r="F14" s="28"/>
      <c r="G14" s="677"/>
      <c r="H14" s="676"/>
    </row>
    <row r="15" spans="1:8" ht="15.75">
      <c r="A15" s="671" t="s">
        <v>232</v>
      </c>
      <c r="B15" s="672"/>
      <c r="C15" s="672"/>
      <c r="D15" s="672"/>
      <c r="E15" s="672"/>
      <c r="F15" s="28"/>
      <c r="G15" s="677"/>
      <c r="H15" s="676"/>
    </row>
    <row r="16" spans="1:8" ht="15.75">
      <c r="A16" s="39"/>
      <c r="B16" s="38"/>
      <c r="C16" s="38"/>
      <c r="D16" s="38"/>
      <c r="E16" s="38"/>
      <c r="F16" s="28"/>
      <c r="G16" s="677"/>
      <c r="H16" s="676"/>
    </row>
    <row r="17" spans="1:8" ht="15.75">
      <c r="A17" s="41" t="s">
        <v>233</v>
      </c>
      <c r="B17" s="42"/>
      <c r="C17" s="28"/>
      <c r="D17" s="28"/>
      <c r="E17" s="28"/>
      <c r="F17" s="28"/>
      <c r="G17" s="677"/>
      <c r="H17" s="676"/>
    </row>
    <row r="18" spans="1:8" ht="15.75">
      <c r="A18" s="43" t="str">
        <f>CONCATENATE("the ",C10-1," Budget, Certificate Page:")</f>
        <v>the 2012 Budget, Certificate Page:</v>
      </c>
      <c r="B18" s="44"/>
      <c r="C18" s="45"/>
      <c r="D18" s="28"/>
      <c r="E18" s="28"/>
      <c r="F18" s="28"/>
      <c r="G18" s="677"/>
      <c r="H18" s="676"/>
    </row>
    <row r="19" spans="1:8" ht="15.75">
      <c r="A19" s="43" t="s">
        <v>356</v>
      </c>
      <c r="B19" s="44"/>
      <c r="C19" s="45"/>
      <c r="D19" s="28"/>
      <c r="E19" s="28"/>
      <c r="F19" s="28"/>
      <c r="G19" s="36"/>
      <c r="H19" s="601"/>
    </row>
    <row r="20" spans="1:8" ht="15.75">
      <c r="A20" s="46"/>
      <c r="B20" s="28"/>
      <c r="C20" s="28"/>
      <c r="D20" s="47">
        <f>$C$10-1</f>
        <v>2012</v>
      </c>
      <c r="E20" s="47">
        <f>$C$10-2</f>
        <v>2011</v>
      </c>
      <c r="G20" s="200" t="s">
        <v>857</v>
      </c>
      <c r="H20" s="163" t="s">
        <v>61</v>
      </c>
    </row>
    <row r="21" spans="1:8" ht="15.75">
      <c r="A21" s="34" t="s">
        <v>15</v>
      </c>
      <c r="B21" s="28"/>
      <c r="C21" s="48" t="s">
        <v>16</v>
      </c>
      <c r="D21" s="49" t="s">
        <v>355</v>
      </c>
      <c r="E21" s="49" t="s">
        <v>297</v>
      </c>
      <c r="G21" s="235" t="str">
        <f>CONCATENATE("",E20," Ad Valorem Tax")</f>
        <v>2011 Ad Valorem Tax</v>
      </c>
      <c r="H21" s="603">
        <v>0</v>
      </c>
    </row>
    <row r="22" spans="1:7" ht="15.75">
      <c r="A22" s="28"/>
      <c r="B22" s="50" t="s">
        <v>17</v>
      </c>
      <c r="C22" s="163" t="s">
        <v>166</v>
      </c>
      <c r="D22" s="52">
        <v>28798</v>
      </c>
      <c r="E22" s="52">
        <v>8959</v>
      </c>
      <c r="G22" s="165">
        <f>IF(H21&gt;0,ROUND(E22-(E22*H21),0),0)</f>
        <v>0</v>
      </c>
    </row>
    <row r="23" spans="1:7" ht="15.75">
      <c r="A23" s="28"/>
      <c r="B23" s="50" t="s">
        <v>326</v>
      </c>
      <c r="C23" s="163" t="s">
        <v>192</v>
      </c>
      <c r="D23" s="52"/>
      <c r="E23" s="52"/>
      <c r="G23" s="165">
        <f>IF(H21&gt;0,ROUND(E23-(E23*H21),0),0)</f>
        <v>0</v>
      </c>
    </row>
    <row r="24" spans="1:7" ht="15.75">
      <c r="A24" s="28"/>
      <c r="B24" s="50" t="s">
        <v>851</v>
      </c>
      <c r="C24" s="163" t="s">
        <v>852</v>
      </c>
      <c r="D24" s="52"/>
      <c r="E24" s="52"/>
      <c r="G24" s="165">
        <f>IF(H21&gt;0,ROUND(E24-(E24*H21),0),0)</f>
        <v>0</v>
      </c>
    </row>
    <row r="25" spans="1:5" ht="15.75">
      <c r="A25" s="34" t="s">
        <v>18</v>
      </c>
      <c r="B25" s="28"/>
      <c r="C25" s="28"/>
      <c r="D25" s="53"/>
      <c r="E25" s="53"/>
    </row>
    <row r="26" spans="1:7" ht="15.75">
      <c r="A26" s="28"/>
      <c r="B26" s="54"/>
      <c r="C26" s="596"/>
      <c r="D26" s="52"/>
      <c r="E26" s="52"/>
      <c r="G26" s="165">
        <f>IF(H21&gt;0,ROUND(E26-(E26*H21),0),0)</f>
        <v>0</v>
      </c>
    </row>
    <row r="27" spans="1:7" ht="15.75">
      <c r="A27" s="28"/>
      <c r="B27" s="55"/>
      <c r="C27" s="597"/>
      <c r="D27" s="52"/>
      <c r="E27" s="52"/>
      <c r="G27" s="165">
        <f>IF(H21&gt;0,ROUND(E27-(E27*H21),0),0)</f>
        <v>0</v>
      </c>
    </row>
    <row r="28" spans="1:7" ht="15.75">
      <c r="A28" s="28"/>
      <c r="B28" s="55"/>
      <c r="C28" s="597"/>
      <c r="D28" s="52"/>
      <c r="E28" s="52"/>
      <c r="G28" s="165">
        <f>IF(H21&gt;0,ROUND(E28-(E28*H21),0),0)</f>
        <v>0</v>
      </c>
    </row>
    <row r="29" spans="1:7" ht="15.75">
      <c r="A29" s="28"/>
      <c r="B29" s="55"/>
      <c r="C29" s="597"/>
      <c r="D29" s="52"/>
      <c r="E29" s="52"/>
      <c r="G29" s="165">
        <f>IF(H21&gt;0,ROUND(E29-(E29*H21),0),0)</f>
        <v>0</v>
      </c>
    </row>
    <row r="30" spans="1:5" ht="15.75">
      <c r="A30" s="56" t="str">
        <f>CONCATENATE("Total Tax Levy Funds for ",C10-1," Budgeted Year")</f>
        <v>Total Tax Levy Funds for 2012 Budgeted Year</v>
      </c>
      <c r="B30" s="57"/>
      <c r="C30" s="57"/>
      <c r="D30" s="58"/>
      <c r="E30" s="59">
        <f>SUM(E22:E29)</f>
        <v>8959</v>
      </c>
    </row>
    <row r="31" spans="1:5" ht="15.75">
      <c r="A31" s="64"/>
      <c r="B31" s="36"/>
      <c r="C31" s="36"/>
      <c r="D31" s="190"/>
      <c r="E31" s="28"/>
    </row>
    <row r="32" spans="1:5" ht="15.75">
      <c r="A32" s="34" t="s">
        <v>19</v>
      </c>
      <c r="B32" s="28"/>
      <c r="C32" s="28"/>
      <c r="D32" s="28"/>
      <c r="E32" s="28"/>
    </row>
    <row r="33" spans="1:5" ht="15.75">
      <c r="A33" s="28"/>
      <c r="B33" s="60" t="s">
        <v>20</v>
      </c>
      <c r="C33" s="36"/>
      <c r="D33" s="61">
        <v>4510</v>
      </c>
      <c r="E33" s="36"/>
    </row>
    <row r="34" spans="1:5" ht="15.75">
      <c r="A34" s="28"/>
      <c r="B34" s="62" t="s">
        <v>961</v>
      </c>
      <c r="C34" s="36"/>
      <c r="D34" s="52">
        <v>6456</v>
      </c>
      <c r="E34" s="36"/>
    </row>
    <row r="35" spans="1:5" ht="15.75">
      <c r="A35" s="28"/>
      <c r="B35" s="62"/>
      <c r="C35" s="36"/>
      <c r="D35" s="52"/>
      <c r="E35" s="36"/>
    </row>
    <row r="36" spans="1:5" ht="15.75">
      <c r="A36" s="28"/>
      <c r="B36" s="62"/>
      <c r="C36" s="36"/>
      <c r="D36" s="52"/>
      <c r="E36" s="36"/>
    </row>
    <row r="37" spans="1:5" ht="15.75">
      <c r="A37" s="28"/>
      <c r="B37" s="62"/>
      <c r="C37" s="36"/>
      <c r="D37" s="52"/>
      <c r="E37" s="36"/>
    </row>
    <row r="38" spans="1:5" ht="15.75">
      <c r="A38" s="28"/>
      <c r="B38" s="62"/>
      <c r="C38" s="36"/>
      <c r="D38" s="52"/>
      <c r="E38" s="36"/>
    </row>
    <row r="39" spans="1:5" ht="15.75">
      <c r="A39" s="28" t="s">
        <v>325</v>
      </c>
      <c r="B39" s="63"/>
      <c r="C39" s="36"/>
      <c r="D39" s="36"/>
      <c r="E39" s="36"/>
    </row>
    <row r="40" spans="1:5" ht="15.75">
      <c r="A40" s="64"/>
      <c r="B40" s="54"/>
      <c r="C40" s="65"/>
      <c r="D40" s="61"/>
      <c r="E40" s="66"/>
    </row>
    <row r="41" spans="1:5" ht="15.75">
      <c r="A41" s="56" t="str">
        <f>CONCATENATE("Total Expenditures for ",C10-1," Budgeted Year")</f>
        <v>Total Expenditures for 2012 Budgeted Year</v>
      </c>
      <c r="B41" s="67"/>
      <c r="C41" s="57"/>
      <c r="D41" s="59">
        <f>SUM(D22:D23,D26:D29,D33:D38,D40)</f>
        <v>39764</v>
      </c>
      <c r="E41" s="66"/>
    </row>
    <row r="42" spans="1:5" ht="15.75">
      <c r="A42" s="64" t="s">
        <v>245</v>
      </c>
      <c r="B42" s="36"/>
      <c r="C42" s="36"/>
      <c r="D42" s="36"/>
      <c r="E42" s="28"/>
    </row>
    <row r="43" spans="1:5" ht="15.75">
      <c r="A43" s="68">
        <v>1</v>
      </c>
      <c r="B43" s="54" t="s">
        <v>962</v>
      </c>
      <c r="C43" s="36"/>
      <c r="D43" s="36"/>
      <c r="E43" s="28"/>
    </row>
    <row r="44" spans="1:5" ht="15.75">
      <c r="A44" s="68">
        <v>2</v>
      </c>
      <c r="B44" s="54"/>
      <c r="C44" s="36"/>
      <c r="D44" s="36"/>
      <c r="E44" s="28"/>
    </row>
    <row r="45" spans="1:5" ht="15.75">
      <c r="A45" s="68">
        <v>3</v>
      </c>
      <c r="B45" s="54"/>
      <c r="C45" s="36"/>
      <c r="D45" s="36"/>
      <c r="E45" s="28"/>
    </row>
    <row r="46" spans="1:5" ht="15.75">
      <c r="A46" s="68">
        <v>4</v>
      </c>
      <c r="B46" s="54"/>
      <c r="C46" s="36"/>
      <c r="D46" s="36"/>
      <c r="E46" s="28"/>
    </row>
    <row r="47" spans="1:5" ht="15.75">
      <c r="A47" s="68">
        <v>5</v>
      </c>
      <c r="B47" s="54"/>
      <c r="C47" s="36"/>
      <c r="D47" s="36"/>
      <c r="E47" s="28"/>
    </row>
    <row r="48" spans="1:5" ht="15.75">
      <c r="A48" s="69"/>
      <c r="B48" s="36"/>
      <c r="C48" s="36"/>
      <c r="D48" s="36"/>
      <c r="E48" s="28"/>
    </row>
    <row r="49" spans="1:5" ht="18" customHeight="1">
      <c r="A49" s="28"/>
      <c r="B49" s="28"/>
      <c r="C49" s="28"/>
      <c r="D49" s="28"/>
      <c r="E49" s="28"/>
    </row>
    <row r="50" spans="1:5" ht="15.75">
      <c r="A50" s="41" t="s">
        <v>233</v>
      </c>
      <c r="B50" s="42"/>
      <c r="C50" s="28"/>
      <c r="D50" s="70" t="str">
        <f>CONCATENATE("",C10-3," Tax Rate")</f>
        <v>2010 Tax Rate</v>
      </c>
      <c r="E50" s="28"/>
    </row>
    <row r="51" spans="1:5" ht="15.75">
      <c r="A51" s="43" t="str">
        <f>CONCATENATE("the ",C10-1," Budget, Budget Summary Page")</f>
        <v>the 2012 Budget, Budget Summary Page</v>
      </c>
      <c r="B51" s="44"/>
      <c r="C51" s="28"/>
      <c r="D51" s="71" t="str">
        <f>CONCATENATE("(",C10-2," Column)")</f>
        <v>(2011 Column)</v>
      </c>
      <c r="E51" s="28"/>
    </row>
    <row r="52" spans="1:5" ht="15.75">
      <c r="A52" s="28"/>
      <c r="B52" s="72" t="str">
        <f>B22</f>
        <v>General</v>
      </c>
      <c r="C52" s="158"/>
      <c r="D52" s="73">
        <v>48.97</v>
      </c>
      <c r="E52" s="28"/>
    </row>
    <row r="53" spans="1:5" ht="15.75">
      <c r="A53" s="28"/>
      <c r="B53" s="72" t="str">
        <f>B23</f>
        <v>Debt Service</v>
      </c>
      <c r="C53" s="36"/>
      <c r="D53" s="73"/>
      <c r="E53" s="28"/>
    </row>
    <row r="54" spans="1:5" ht="15.75">
      <c r="A54" s="28"/>
      <c r="B54" s="72" t="str">
        <f>B24</f>
        <v>Library</v>
      </c>
      <c r="C54" s="36"/>
      <c r="D54" s="73"/>
      <c r="E54" s="28"/>
    </row>
    <row r="55" spans="1:5" ht="15.75">
      <c r="A55" s="28"/>
      <c r="B55" s="72">
        <f>B26</f>
        <v>0</v>
      </c>
      <c r="C55" s="36"/>
      <c r="D55" s="73"/>
      <c r="E55" s="28"/>
    </row>
    <row r="56" spans="1:5" ht="15.75">
      <c r="A56" s="28"/>
      <c r="B56" s="72">
        <f>B27</f>
        <v>0</v>
      </c>
      <c r="C56" s="36"/>
      <c r="D56" s="73"/>
      <c r="E56" s="28"/>
    </row>
    <row r="57" spans="1:5" ht="15.75">
      <c r="A57" s="28"/>
      <c r="B57" s="72">
        <f>B28</f>
        <v>0</v>
      </c>
      <c r="C57" s="36"/>
      <c r="D57" s="73"/>
      <c r="E57" s="28"/>
    </row>
    <row r="58" spans="1:5" ht="15.75">
      <c r="A58" s="28"/>
      <c r="B58" s="72">
        <f>B29</f>
        <v>0</v>
      </c>
      <c r="C58" s="36"/>
      <c r="D58" s="73"/>
      <c r="E58" s="28"/>
    </row>
    <row r="59" spans="1:5" ht="15.75">
      <c r="A59" s="56" t="s">
        <v>21</v>
      </c>
      <c r="B59" s="57"/>
      <c r="C59" s="74"/>
      <c r="D59" s="75">
        <f>SUM(D52:D58)</f>
        <v>48.97</v>
      </c>
      <c r="E59" s="28"/>
    </row>
    <row r="60" spans="1:5" ht="15.75">
      <c r="A60" s="28"/>
      <c r="B60" s="28"/>
      <c r="C60" s="28"/>
      <c r="D60" s="28"/>
      <c r="E60" s="28"/>
    </row>
    <row r="61" spans="1:5" ht="15.75">
      <c r="A61" s="76" t="str">
        <f>CONCATENATE("Total Tax Levied (",C10-2," budget column)")</f>
        <v>Total Tax Levied (2011 budget column)</v>
      </c>
      <c r="B61" s="77"/>
      <c r="C61" s="57"/>
      <c r="D61" s="74"/>
      <c r="E61" s="52">
        <v>8358</v>
      </c>
    </row>
    <row r="62" spans="1:5" ht="15.75">
      <c r="A62" s="76" t="str">
        <f>CONCATENATE("Assessed Valuation  (",C10-2," budget column)")</f>
        <v>Assessed Valuation  (2011 budget column)</v>
      </c>
      <c r="B62" s="78"/>
      <c r="C62" s="79"/>
      <c r="D62" s="80"/>
      <c r="E62" s="52">
        <v>140412</v>
      </c>
    </row>
    <row r="63" spans="1:5" ht="15.75">
      <c r="A63" s="28"/>
      <c r="B63" s="28"/>
      <c r="C63" s="28"/>
      <c r="D63" s="45"/>
      <c r="E63" s="53"/>
    </row>
    <row r="64" spans="1:5" ht="15.75">
      <c r="A64" s="81" t="s">
        <v>256</v>
      </c>
      <c r="B64" s="81"/>
      <c r="C64" s="25"/>
      <c r="D64" s="82">
        <f>C10-3</f>
        <v>2010</v>
      </c>
      <c r="E64" s="83">
        <f>C10-2</f>
        <v>2011</v>
      </c>
    </row>
    <row r="65" spans="1:5" ht="15.75">
      <c r="A65" s="84" t="s">
        <v>202</v>
      </c>
      <c r="B65" s="84"/>
      <c r="C65" s="85"/>
      <c r="D65" s="61"/>
      <c r="E65" s="61"/>
    </row>
    <row r="66" spans="1:5" ht="15.75">
      <c r="A66" s="86" t="s">
        <v>203</v>
      </c>
      <c r="B66" s="86"/>
      <c r="C66" s="87"/>
      <c r="D66" s="61"/>
      <c r="E66" s="61"/>
    </row>
    <row r="67" spans="1:5" ht="15.75">
      <c r="A67" s="86" t="s">
        <v>204</v>
      </c>
      <c r="B67" s="86"/>
      <c r="C67" s="87"/>
      <c r="D67" s="61"/>
      <c r="E67" s="61"/>
    </row>
    <row r="68" spans="1:5" ht="15.75">
      <c r="A68" s="86" t="s">
        <v>205</v>
      </c>
      <c r="B68" s="86"/>
      <c r="C68" s="87"/>
      <c r="D68" s="61"/>
      <c r="E68" s="61"/>
    </row>
    <row r="75" spans="1:5" s="88" customFormat="1" ht="15.75">
      <c r="A75" s="24"/>
      <c r="B75" s="24"/>
      <c r="C75" s="24"/>
      <c r="D75" s="24"/>
      <c r="E75" s="24"/>
    </row>
  </sheetData>
  <sheetProtection sheet="1"/>
  <mergeCells count="3">
    <mergeCell ref="A15:E15"/>
    <mergeCell ref="A1:E1"/>
    <mergeCell ref="G13:H18"/>
  </mergeCells>
  <printOptions/>
  <pageMargins left="0.5" right="0.5" top="0.75" bottom="0.5" header="0.5" footer="0.5"/>
  <pageSetup blackAndWhite="1" fitToHeight="1" fitToWidth="1" horizontalDpi="120" verticalDpi="120" orientation="portrait" scale="71" r:id="rId1"/>
</worksheet>
</file>

<file path=xl/worksheets/sheet20.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B1">
      <selection activeCell="C66" sqref="C66"/>
    </sheetView>
  </sheetViews>
  <sheetFormatPr defaultColWidth="8.796875" defaultRowHeight="15"/>
  <cols>
    <col min="1" max="1" width="2.3984375" style="24" customWidth="1"/>
    <col min="2" max="2" width="31.09765625" style="24" customWidth="1"/>
    <col min="3" max="4" width="15.796875" style="24" customWidth="1"/>
    <col min="5" max="5" width="16.296875" style="24" customWidth="1"/>
    <col min="6" max="16384" width="8.8984375" style="24" customWidth="1"/>
  </cols>
  <sheetData>
    <row r="1" spans="2:5" ht="15.75">
      <c r="B1" s="183" t="str">
        <f>(inputPrYr!D3)</f>
        <v>City of Vining</v>
      </c>
      <c r="C1" s="28"/>
      <c r="D1" s="28"/>
      <c r="E1" s="139">
        <f>inputPrYr!$C$10</f>
        <v>2013</v>
      </c>
    </row>
    <row r="2" spans="2:5" ht="15.75">
      <c r="B2" s="28"/>
      <c r="C2" s="28"/>
      <c r="D2" s="28"/>
      <c r="E2" s="199"/>
    </row>
    <row r="3" spans="2:5" ht="15.75">
      <c r="B3" s="46" t="s">
        <v>108</v>
      </c>
      <c r="C3" s="305"/>
      <c r="D3" s="305"/>
      <c r="E3" s="306"/>
    </row>
    <row r="4" spans="2:5" ht="15.75">
      <c r="B4" s="34" t="s">
        <v>48</v>
      </c>
      <c r="C4" s="599" t="s">
        <v>853</v>
      </c>
      <c r="D4" s="600" t="s">
        <v>854</v>
      </c>
      <c r="E4" s="152" t="s">
        <v>855</v>
      </c>
    </row>
    <row r="5" spans="2:5" ht="15.75">
      <c r="B5" s="524">
        <f>(inputPrYr!B37)</f>
        <v>0</v>
      </c>
      <c r="C5" s="561" t="str">
        <f>CONCATENATE("Actual for ",E1-2,"")</f>
        <v>Actual for 2011</v>
      </c>
      <c r="D5" s="561" t="str">
        <f>CONCATENATE("Estimate for ",E1-1,"")</f>
        <v>Estimate for 2012</v>
      </c>
      <c r="E5" s="214" t="str">
        <f>CONCATENATE("Year for ",E1,"")</f>
        <v>Year for 2013</v>
      </c>
    </row>
    <row r="6" spans="2:5" ht="15.75">
      <c r="B6" s="113" t="s">
        <v>163</v>
      </c>
      <c r="C6" s="52"/>
      <c r="D6" s="165">
        <f>C30</f>
        <v>0</v>
      </c>
      <c r="E6" s="165">
        <f>D30</f>
        <v>0</v>
      </c>
    </row>
    <row r="7" spans="2:5" ht="15.75">
      <c r="B7" s="268" t="s">
        <v>165</v>
      </c>
      <c r="C7" s="72"/>
      <c r="D7" s="72"/>
      <c r="E7" s="72"/>
    </row>
    <row r="8" spans="2:5" ht="15.75">
      <c r="B8" s="281"/>
      <c r="C8" s="295"/>
      <c r="D8" s="295"/>
      <c r="E8" s="295"/>
    </row>
    <row r="9" spans="2:5" ht="15.75">
      <c r="B9" s="281"/>
      <c r="C9" s="295"/>
      <c r="D9" s="295"/>
      <c r="E9" s="295"/>
    </row>
    <row r="10" spans="2:5" ht="15.75">
      <c r="B10" s="310"/>
      <c r="C10" s="311"/>
      <c r="D10" s="311"/>
      <c r="E10" s="311"/>
    </row>
    <row r="11" spans="2:5" ht="15.75">
      <c r="B11" s="281"/>
      <c r="C11" s="295"/>
      <c r="D11" s="295"/>
      <c r="E11" s="295"/>
    </row>
    <row r="12" spans="2:5" ht="15.75">
      <c r="B12" s="300" t="s">
        <v>55</v>
      </c>
      <c r="C12" s="295"/>
      <c r="D12" s="295"/>
      <c r="E12" s="295"/>
    </row>
    <row r="13" spans="2:5" ht="15.75">
      <c r="B13" s="167" t="s">
        <v>143</v>
      </c>
      <c r="C13" s="295"/>
      <c r="D13" s="309"/>
      <c r="E13" s="309"/>
    </row>
    <row r="14" spans="2:5" ht="15.75">
      <c r="B14" s="167" t="s">
        <v>665</v>
      </c>
      <c r="C14" s="515">
        <f>IF(C15*0.1&lt;C13,"Exceed 10% Rule","")</f>
      </c>
      <c r="D14" s="301">
        <f>IF(D15*0.1&lt;D13,"Exceed 10% Rule","")</f>
      </c>
      <c r="E14" s="301">
        <f>IF(E15*0.1&lt;E13,"Exceed 10% Rule","")</f>
      </c>
    </row>
    <row r="15" spans="2:5" ht="15.75">
      <c r="B15" s="278" t="s">
        <v>56</v>
      </c>
      <c r="C15" s="303">
        <f>SUM(C8:C13)</f>
        <v>0</v>
      </c>
      <c r="D15" s="303">
        <f>SUM(D8:D13)</f>
        <v>0</v>
      </c>
      <c r="E15" s="303">
        <f>SUM(E8:E13)</f>
        <v>0</v>
      </c>
    </row>
    <row r="16" spans="2:5" ht="15.75">
      <c r="B16" s="278" t="s">
        <v>57</v>
      </c>
      <c r="C16" s="303">
        <f>C6+C15</f>
        <v>0</v>
      </c>
      <c r="D16" s="303">
        <f>D6+D15</f>
        <v>0</v>
      </c>
      <c r="E16" s="303">
        <f>E6+E15</f>
        <v>0</v>
      </c>
    </row>
    <row r="17" spans="2:5" ht="15.75">
      <c r="B17" s="113" t="s">
        <v>58</v>
      </c>
      <c r="C17" s="72"/>
      <c r="D17" s="72"/>
      <c r="E17" s="72"/>
    </row>
    <row r="18" spans="2:5" ht="15.75">
      <c r="B18" s="281" t="s">
        <v>173</v>
      </c>
      <c r="C18" s="295"/>
      <c r="D18" s="295"/>
      <c r="E18" s="295"/>
    </row>
    <row r="19" spans="2:5" ht="15.75">
      <c r="B19" s="281" t="s">
        <v>176</v>
      </c>
      <c r="C19" s="295"/>
      <c r="D19" s="295"/>
      <c r="E19" s="295"/>
    </row>
    <row r="20" spans="2:5" ht="15.75">
      <c r="B20" s="281"/>
      <c r="C20" s="311"/>
      <c r="D20" s="311"/>
      <c r="E20" s="311"/>
    </row>
    <row r="21" spans="2:5" ht="15.75">
      <c r="B21" s="281"/>
      <c r="C21" s="295"/>
      <c r="D21" s="295"/>
      <c r="E21" s="295"/>
    </row>
    <row r="22" spans="2:5" ht="15.75">
      <c r="B22" s="281"/>
      <c r="C22" s="295"/>
      <c r="D22" s="295"/>
      <c r="E22" s="295"/>
    </row>
    <row r="23" spans="2:5" ht="15.75">
      <c r="B23" s="281"/>
      <c r="C23" s="295"/>
      <c r="D23" s="295"/>
      <c r="E23" s="295"/>
    </row>
    <row r="24" spans="2:5" ht="15.75">
      <c r="B24" s="281"/>
      <c r="C24" s="295"/>
      <c r="D24" s="295"/>
      <c r="E24" s="295"/>
    </row>
    <row r="25" spans="2:5" ht="15.75">
      <c r="B25" s="281"/>
      <c r="C25" s="295"/>
      <c r="D25" s="295"/>
      <c r="E25" s="295"/>
    </row>
    <row r="26" spans="2:5" ht="15.75">
      <c r="B26" s="281"/>
      <c r="C26" s="295"/>
      <c r="D26" s="295"/>
      <c r="E26" s="295"/>
    </row>
    <row r="27" spans="2:5" ht="15.75">
      <c r="B27" s="167" t="s">
        <v>143</v>
      </c>
      <c r="C27" s="295"/>
      <c r="D27" s="309"/>
      <c r="E27" s="309"/>
    </row>
    <row r="28" spans="2:5" ht="15.75">
      <c r="B28" s="167" t="s">
        <v>666</v>
      </c>
      <c r="C28" s="515">
        <f>IF(C29*0.1&lt;C27,"Exceed 10% Rule","")</f>
      </c>
      <c r="D28" s="301">
        <f>IF(D29*0.1&lt;D27,"Exceed 10% Rule","")</f>
      </c>
      <c r="E28" s="301">
        <f>IF(E29*0.1&lt;E27,"Exceed 10% Rule","")</f>
      </c>
    </row>
    <row r="29" spans="2:5" ht="15.75">
      <c r="B29" s="278" t="s">
        <v>59</v>
      </c>
      <c r="C29" s="303">
        <f>SUM(C18:C27)</f>
        <v>0</v>
      </c>
      <c r="D29" s="303">
        <f>SUM(D18:D27)</f>
        <v>0</v>
      </c>
      <c r="E29" s="303">
        <f>SUM(E18:E27)</f>
        <v>0</v>
      </c>
    </row>
    <row r="30" spans="2:5" ht="15.75">
      <c r="B30" s="113" t="s">
        <v>164</v>
      </c>
      <c r="C30" s="59">
        <f>C16-C29</f>
        <v>0</v>
      </c>
      <c r="D30" s="59">
        <f>D16-D29</f>
        <v>0</v>
      </c>
      <c r="E30" s="59">
        <f>E16-E29</f>
        <v>0</v>
      </c>
    </row>
    <row r="31" spans="2:5" ht="15.75">
      <c r="B31" s="514" t="str">
        <f>CONCATENATE("",E1-2,"/",E1-1," Budget Authority Amount:")</f>
        <v>2011/2012 Budget Authority Amount:</v>
      </c>
      <c r="C31" s="203">
        <f>inputOth!B86</f>
        <v>0</v>
      </c>
      <c r="D31" s="203">
        <f>inputPrYr!D37</f>
        <v>0</v>
      </c>
      <c r="E31" s="409">
        <f>IF(E30&lt;0,"See Tab E","")</f>
      </c>
    </row>
    <row r="32" spans="2:5" ht="15.75">
      <c r="B32" s="192"/>
      <c r="C32" s="284">
        <f>IF(C29&gt;C31,"See Tab A","")</f>
      </c>
      <c r="D32" s="284">
        <f>IF(D29&gt;D31,"See Tab C","")</f>
      </c>
      <c r="E32" s="190"/>
    </row>
    <row r="33" spans="2:5" ht="15.75">
      <c r="B33" s="192"/>
      <c r="C33" s="284">
        <f>IF(C30&lt;0,"See Tab B","")</f>
      </c>
      <c r="D33" s="284">
        <f>IF(D30&lt;0,"See Tab D","")</f>
      </c>
      <c r="E33" s="190"/>
    </row>
    <row r="34" spans="2:5" ht="15.75">
      <c r="B34" s="28"/>
      <c r="C34" s="190"/>
      <c r="D34" s="190"/>
      <c r="E34" s="190"/>
    </row>
    <row r="35" spans="2:5" ht="15.75">
      <c r="B35" s="34" t="s">
        <v>48</v>
      </c>
      <c r="C35" s="598" t="s">
        <v>853</v>
      </c>
      <c r="D35" s="152" t="s">
        <v>854</v>
      </c>
      <c r="E35" s="152" t="s">
        <v>855</v>
      </c>
    </row>
    <row r="36" spans="2:5" ht="15.75">
      <c r="B36" s="524">
        <f>(inputPrYr!B38)</f>
        <v>0</v>
      </c>
      <c r="C36" s="561" t="str">
        <f>CONCATENATE("Actual for ",E1-2,"")</f>
        <v>Actual for 2011</v>
      </c>
      <c r="D36" s="561" t="str">
        <f>CONCATENATE("Estimate for ",E1-1,"")</f>
        <v>Estimate for 2012</v>
      </c>
      <c r="E36" s="214" t="str">
        <f>CONCATENATE("Year for ",E1,"")</f>
        <v>Year for 2013</v>
      </c>
    </row>
    <row r="37" spans="2:5" ht="15.75">
      <c r="B37" s="113" t="s">
        <v>163</v>
      </c>
      <c r="C37" s="52"/>
      <c r="D37" s="165">
        <f>C61</f>
        <v>0</v>
      </c>
      <c r="E37" s="165">
        <f>D61</f>
        <v>0</v>
      </c>
    </row>
    <row r="38" spans="2:5" ht="15.75">
      <c r="B38" s="268" t="s">
        <v>165</v>
      </c>
      <c r="C38" s="72"/>
      <c r="D38" s="72"/>
      <c r="E38" s="72"/>
    </row>
    <row r="39" spans="2:5" ht="15.75">
      <c r="B39" s="281"/>
      <c r="C39" s="295"/>
      <c r="D39" s="295"/>
      <c r="E39" s="295"/>
    </row>
    <row r="40" spans="2:5" ht="15.75">
      <c r="B40" s="281"/>
      <c r="C40" s="295"/>
      <c r="D40" s="295"/>
      <c r="E40" s="295"/>
    </row>
    <row r="41" spans="2:5" ht="15.75">
      <c r="B41" s="310"/>
      <c r="C41" s="311"/>
      <c r="D41" s="311"/>
      <c r="E41" s="311"/>
    </row>
    <row r="42" spans="2:5" ht="15.75">
      <c r="B42" s="281"/>
      <c r="C42" s="295"/>
      <c r="D42" s="295"/>
      <c r="E42" s="295"/>
    </row>
    <row r="43" spans="2:5" ht="15.75">
      <c r="B43" s="300" t="s">
        <v>55</v>
      </c>
      <c r="C43" s="295"/>
      <c r="D43" s="295"/>
      <c r="E43" s="295"/>
    </row>
    <row r="44" spans="2:5" ht="15.75">
      <c r="B44" s="167" t="s">
        <v>143</v>
      </c>
      <c r="C44" s="295"/>
      <c r="D44" s="309"/>
      <c r="E44" s="309"/>
    </row>
    <row r="45" spans="2:5" ht="15.75">
      <c r="B45" s="167" t="s">
        <v>665</v>
      </c>
      <c r="C45" s="515">
        <f>IF(C46*0.1&lt;C44,"Exceed 10% Rule","")</f>
      </c>
      <c r="D45" s="301">
        <f>IF(D46*0.1&lt;D44,"Exceed 10% Rule","")</f>
      </c>
      <c r="E45" s="301">
        <f>IF(E46*0.1&lt;E44,"Exceed 10% Rule","")</f>
      </c>
    </row>
    <row r="46" spans="2:5" ht="15.75">
      <c r="B46" s="278" t="s">
        <v>56</v>
      </c>
      <c r="C46" s="303">
        <f>SUM(C39:C44)</f>
        <v>0</v>
      </c>
      <c r="D46" s="303">
        <f>SUM(D39:D44)</f>
        <v>0</v>
      </c>
      <c r="E46" s="303">
        <f>SUM(E39:E44)</f>
        <v>0</v>
      </c>
    </row>
    <row r="47" spans="2:5" ht="15.75">
      <c r="B47" s="278" t="s">
        <v>57</v>
      </c>
      <c r="C47" s="303">
        <f>C37+C46</f>
        <v>0</v>
      </c>
      <c r="D47" s="303">
        <f>D37+D46</f>
        <v>0</v>
      </c>
      <c r="E47" s="303">
        <f>E37+E46</f>
        <v>0</v>
      </c>
    </row>
    <row r="48" spans="2:5" ht="15.75">
      <c r="B48" s="113" t="s">
        <v>58</v>
      </c>
      <c r="C48" s="72"/>
      <c r="D48" s="72"/>
      <c r="E48" s="72"/>
    </row>
    <row r="49" spans="2:5" ht="15.75">
      <c r="B49" s="281" t="s">
        <v>173</v>
      </c>
      <c r="C49" s="295"/>
      <c r="D49" s="295"/>
      <c r="E49" s="295"/>
    </row>
    <row r="50" spans="2:5" ht="15.75">
      <c r="B50" s="281" t="s">
        <v>174</v>
      </c>
      <c r="C50" s="295"/>
      <c r="D50" s="295"/>
      <c r="E50" s="295"/>
    </row>
    <row r="51" spans="2:5" ht="15.75">
      <c r="B51" s="281"/>
      <c r="C51" s="295"/>
      <c r="D51" s="295"/>
      <c r="E51" s="295"/>
    </row>
    <row r="52" spans="2:5" ht="15.75">
      <c r="B52" s="281"/>
      <c r="C52" s="295"/>
      <c r="D52" s="295"/>
      <c r="E52" s="295"/>
    </row>
    <row r="53" spans="2:5" ht="15.75">
      <c r="B53" s="281"/>
      <c r="C53" s="295"/>
      <c r="D53" s="295"/>
      <c r="E53" s="295"/>
    </row>
    <row r="54" spans="2:5" ht="15.75">
      <c r="B54" s="281"/>
      <c r="C54" s="295"/>
      <c r="D54" s="295"/>
      <c r="E54" s="295"/>
    </row>
    <row r="55" spans="2:5" ht="15.75">
      <c r="B55" s="281"/>
      <c r="C55" s="311"/>
      <c r="D55" s="311"/>
      <c r="E55" s="311"/>
    </row>
    <row r="56" spans="2:5" ht="15.75">
      <c r="B56" s="281"/>
      <c r="C56" s="295"/>
      <c r="D56" s="311"/>
      <c r="E56" s="311"/>
    </row>
    <row r="57" spans="2:5" ht="15.75">
      <c r="B57" s="281"/>
      <c r="C57" s="295"/>
      <c r="D57" s="311"/>
      <c r="E57" s="311"/>
    </row>
    <row r="58" spans="2:5" ht="15.75">
      <c r="B58" s="167" t="s">
        <v>143</v>
      </c>
      <c r="C58" s="295"/>
      <c r="D58" s="309"/>
      <c r="E58" s="309"/>
    </row>
    <row r="59" spans="2:5" ht="15.75">
      <c r="B59" s="167" t="s">
        <v>666</v>
      </c>
      <c r="C59" s="515">
        <f>IF(C60*0.1&lt;C58,"Exceed 10% Rule","")</f>
      </c>
      <c r="D59" s="301">
        <f>IF(D60*0.1&lt;D58,"Exceed 10% Rule","")</f>
      </c>
      <c r="E59" s="301">
        <f>IF(E60*0.1&lt;E58,"Exceed 10% Rule","")</f>
      </c>
    </row>
    <row r="60" spans="2:5" ht="15.75">
      <c r="B60" s="278" t="s">
        <v>59</v>
      </c>
      <c r="C60" s="303">
        <f>SUM(C49:C58)</f>
        <v>0</v>
      </c>
      <c r="D60" s="303">
        <f>SUM(D49:D58)</f>
        <v>0</v>
      </c>
      <c r="E60" s="303">
        <f>SUM(E49:E58)</f>
        <v>0</v>
      </c>
    </row>
    <row r="61" spans="2:5" ht="15.75">
      <c r="B61" s="113" t="s">
        <v>164</v>
      </c>
      <c r="C61" s="59">
        <f>C47-C60</f>
        <v>0</v>
      </c>
      <c r="D61" s="59">
        <f>D47-D60</f>
        <v>0</v>
      </c>
      <c r="E61" s="59">
        <f>E47-E60</f>
        <v>0</v>
      </c>
    </row>
    <row r="62" spans="2:5" ht="15.75">
      <c r="B62" s="514" t="str">
        <f>CONCATENATE("",E1-2,"/",E1-1," Budget Authority Amount:")</f>
        <v>2011/2012 Budget Authority Amount:</v>
      </c>
      <c r="C62" s="203">
        <f>inputOth!B87</f>
        <v>0</v>
      </c>
      <c r="D62" s="203">
        <f>inputPrYr!D38</f>
        <v>0</v>
      </c>
      <c r="E62" s="409">
        <f>IF(E61&lt;0,"See Tab E","")</f>
      </c>
    </row>
    <row r="63" spans="2:5" ht="15.75">
      <c r="B63" s="192"/>
      <c r="C63" s="284">
        <f>IF(C60&gt;C62,"See Tab A","")</f>
      </c>
      <c r="D63" s="284">
        <f>IF(D60&gt;D62,"See Tab C","")</f>
      </c>
      <c r="E63" s="28"/>
    </row>
    <row r="64" spans="2:5" ht="15.75">
      <c r="B64" s="192"/>
      <c r="C64" s="284">
        <f>IF(C61&lt;0,"See Tab B","")</f>
      </c>
      <c r="D64" s="284">
        <f>IF(D61&lt;0,"See Tab D","")</f>
      </c>
      <c r="E64" s="28"/>
    </row>
    <row r="65" spans="2:5" ht="15.75">
      <c r="B65" s="28"/>
      <c r="C65" s="28"/>
      <c r="D65" s="28"/>
      <c r="E65" s="28"/>
    </row>
    <row r="66" spans="2:5" ht="15.75">
      <c r="B66" s="192" t="s">
        <v>62</v>
      </c>
      <c r="C66" s="288"/>
      <c r="D66" s="28"/>
      <c r="E66" s="28"/>
    </row>
  </sheetData>
  <sheetProtection sheet="1"/>
  <conditionalFormatting sqref="C58">
    <cfRule type="cellIs" priority="3" dxfId="140" operator="greaterThan" stopIfTrue="1">
      <formula>$C$60*0.1</formula>
    </cfRule>
  </conditionalFormatting>
  <conditionalFormatting sqref="D58">
    <cfRule type="cellIs" priority="4" dxfId="140" operator="greaterThan" stopIfTrue="1">
      <formula>$D$60*0.1</formula>
    </cfRule>
  </conditionalFormatting>
  <conditionalFormatting sqref="E58">
    <cfRule type="cellIs" priority="5" dxfId="140" operator="greaterThan" stopIfTrue="1">
      <formula>$E$60*0.1</formula>
    </cfRule>
  </conditionalFormatting>
  <conditionalFormatting sqref="C44">
    <cfRule type="cellIs" priority="6" dxfId="140" operator="greaterThan" stopIfTrue="1">
      <formula>$C$46*0.1</formula>
    </cfRule>
  </conditionalFormatting>
  <conditionalFormatting sqref="D44">
    <cfRule type="cellIs" priority="7" dxfId="140" operator="greaterThan" stopIfTrue="1">
      <formula>$D$46*0.1</formula>
    </cfRule>
  </conditionalFormatting>
  <conditionalFormatting sqref="E44">
    <cfRule type="cellIs" priority="8" dxfId="140" operator="greaterThan" stopIfTrue="1">
      <formula>$E$46*0.1</formula>
    </cfRule>
  </conditionalFormatting>
  <conditionalFormatting sqref="C27">
    <cfRule type="cellIs" priority="9" dxfId="140" operator="greaterThan" stopIfTrue="1">
      <formula>$C$29*0.1</formula>
    </cfRule>
  </conditionalFormatting>
  <conditionalFormatting sqref="D27">
    <cfRule type="cellIs" priority="10" dxfId="140" operator="greaterThan" stopIfTrue="1">
      <formula>$D$29*0.1</formula>
    </cfRule>
  </conditionalFormatting>
  <conditionalFormatting sqref="E27">
    <cfRule type="cellIs" priority="11" dxfId="140" operator="greaterThan" stopIfTrue="1">
      <formula>$E$29*0.1</formula>
    </cfRule>
  </conditionalFormatting>
  <conditionalFormatting sqref="C13">
    <cfRule type="cellIs" priority="12" dxfId="140" operator="greaterThan" stopIfTrue="1">
      <formula>$C$15*0.1</formula>
    </cfRule>
  </conditionalFormatting>
  <conditionalFormatting sqref="D13">
    <cfRule type="cellIs" priority="13" dxfId="140" operator="greaterThan" stopIfTrue="1">
      <formula>$D$15*0.1</formula>
    </cfRule>
  </conditionalFormatting>
  <conditionalFormatting sqref="E13">
    <cfRule type="cellIs" priority="14" dxfId="140" operator="greaterThan" stopIfTrue="1">
      <formula>$F$15*0.1</formula>
    </cfRule>
  </conditionalFormatting>
  <conditionalFormatting sqref="C61 E61 E30 C30">
    <cfRule type="cellIs" priority="15" dxfId="1" operator="lessThan" stopIfTrue="1">
      <formula>0</formula>
    </cfRule>
  </conditionalFormatting>
  <conditionalFormatting sqref="C60">
    <cfRule type="cellIs" priority="16" dxfId="1" operator="greaterThan" stopIfTrue="1">
      <formula>$C$62</formula>
    </cfRule>
  </conditionalFormatting>
  <conditionalFormatting sqref="D60">
    <cfRule type="cellIs" priority="17" dxfId="1" operator="greaterThan" stopIfTrue="1">
      <formula>$D$62</formula>
    </cfRule>
  </conditionalFormatting>
  <conditionalFormatting sqref="C29">
    <cfRule type="cellIs" priority="18" dxfId="1" operator="greaterThan" stopIfTrue="1">
      <formula>$C$31</formula>
    </cfRule>
  </conditionalFormatting>
  <conditionalFormatting sqref="D29">
    <cfRule type="cellIs" priority="19" dxfId="1" operator="greaterThan" stopIfTrue="1">
      <formula>$D$31</formula>
    </cfRule>
  </conditionalFormatting>
  <conditionalFormatting sqref="D61">
    <cfRule type="cellIs" priority="2" dxfId="0" operator="lessThan" stopIfTrue="1">
      <formula>0</formula>
    </cfRule>
  </conditionalFormatting>
  <conditionalFormatting sqref="D3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53" sqref="C53"/>
    </sheetView>
  </sheetViews>
  <sheetFormatPr defaultColWidth="8.796875" defaultRowHeight="15"/>
  <cols>
    <col min="1" max="1" width="2.3984375" style="88" customWidth="1"/>
    <col min="2" max="2" width="31.09765625" style="88" customWidth="1"/>
    <col min="3" max="4" width="15.796875" style="88" customWidth="1"/>
    <col min="5" max="5" width="16.19921875" style="88" customWidth="1"/>
    <col min="6" max="16384" width="8.8984375" style="88" customWidth="1"/>
  </cols>
  <sheetData>
    <row r="1" spans="2:5" ht="15.75">
      <c r="B1" s="183" t="str">
        <f>(inputPrYr!D3)</f>
        <v>City of Vining</v>
      </c>
      <c r="C1" s="28"/>
      <c r="D1" s="28"/>
      <c r="E1" s="139">
        <f>inputPrYr!$C$10</f>
        <v>2013</v>
      </c>
    </row>
    <row r="2" spans="2:5" ht="15.75">
      <c r="B2" s="28"/>
      <c r="C2" s="28"/>
      <c r="D2" s="28"/>
      <c r="E2" s="199"/>
    </row>
    <row r="3" spans="2:5" ht="15.75">
      <c r="B3" s="46" t="s">
        <v>108</v>
      </c>
      <c r="C3" s="305"/>
      <c r="D3" s="305"/>
      <c r="E3" s="306"/>
    </row>
    <row r="4" spans="2:5" ht="15.75">
      <c r="B4" s="34" t="s">
        <v>48</v>
      </c>
      <c r="C4" s="599" t="s">
        <v>853</v>
      </c>
      <c r="D4" s="600" t="s">
        <v>854</v>
      </c>
      <c r="E4" s="152" t="s">
        <v>855</v>
      </c>
    </row>
    <row r="5" spans="2:5" ht="15.75">
      <c r="B5" s="524">
        <f>(inputPrYr!B40)</f>
        <v>0</v>
      </c>
      <c r="C5" s="561" t="str">
        <f>CONCATENATE("Actual for ",E1-2,"")</f>
        <v>Actual for 2011</v>
      </c>
      <c r="D5" s="561" t="str">
        <f>CONCATENATE("Estimate for ",E1-1,"")</f>
        <v>Estimate for 2012</v>
      </c>
      <c r="E5" s="214" t="str">
        <f>CONCATENATE("Year for ",E1,"")</f>
        <v>Year for 2013</v>
      </c>
    </row>
    <row r="6" spans="2:5" ht="15.75">
      <c r="B6" s="113" t="s">
        <v>163</v>
      </c>
      <c r="C6" s="52"/>
      <c r="D6" s="165">
        <f>C48</f>
        <v>0</v>
      </c>
      <c r="E6" s="165">
        <f>D48</f>
        <v>0</v>
      </c>
    </row>
    <row r="7" spans="2:5" ht="15.75">
      <c r="B7" s="268" t="s">
        <v>165</v>
      </c>
      <c r="C7" s="72"/>
      <c r="D7" s="72"/>
      <c r="E7" s="72"/>
    </row>
    <row r="8" spans="2:5" ht="15.75">
      <c r="B8" s="281"/>
      <c r="C8" s="295"/>
      <c r="D8" s="295"/>
      <c r="E8" s="295"/>
    </row>
    <row r="9" spans="2:5" ht="15.75">
      <c r="B9" s="281"/>
      <c r="C9" s="295"/>
      <c r="D9" s="295"/>
      <c r="E9" s="295"/>
    </row>
    <row r="10" spans="2:5" ht="15.75">
      <c r="B10" s="281"/>
      <c r="C10" s="295"/>
      <c r="D10" s="295"/>
      <c r="E10" s="295"/>
    </row>
    <row r="11" spans="2:5" ht="15.75">
      <c r="B11" s="281"/>
      <c r="C11" s="295"/>
      <c r="D11" s="295"/>
      <c r="E11" s="295"/>
    </row>
    <row r="12" spans="2:5" ht="15.75">
      <c r="B12" s="281"/>
      <c r="C12" s="295"/>
      <c r="D12" s="295"/>
      <c r="E12" s="295"/>
    </row>
    <row r="13" spans="2:5" ht="15.75">
      <c r="B13" s="281"/>
      <c r="C13" s="295"/>
      <c r="D13" s="295"/>
      <c r="E13" s="295"/>
    </row>
    <row r="14" spans="2:5" ht="15.75">
      <c r="B14" s="310"/>
      <c r="C14" s="311"/>
      <c r="D14" s="311"/>
      <c r="E14" s="311"/>
    </row>
    <row r="15" spans="2:5" ht="15.75">
      <c r="B15" s="281"/>
      <c r="C15" s="295"/>
      <c r="D15" s="295"/>
      <c r="E15" s="295"/>
    </row>
    <row r="16" spans="2:5" ht="15.75">
      <c r="B16" s="300" t="s">
        <v>55</v>
      </c>
      <c r="C16" s="295"/>
      <c r="D16" s="295"/>
      <c r="E16" s="295"/>
    </row>
    <row r="17" spans="2:5" ht="15.75">
      <c r="B17" s="167" t="s">
        <v>143</v>
      </c>
      <c r="C17" s="295"/>
      <c r="D17" s="309"/>
      <c r="E17" s="309"/>
    </row>
    <row r="18" spans="2:5" ht="15.75">
      <c r="B18" s="167" t="s">
        <v>665</v>
      </c>
      <c r="C18" s="515">
        <f>IF(C19*0.1&lt;C17,"Exceed 10% Rule","")</f>
      </c>
      <c r="D18" s="301">
        <f>IF(D19*0.1&lt;D17,"Exceed 10% Rule","")</f>
      </c>
      <c r="E18" s="301">
        <f>IF(E19*0.1&lt;E17,"Exceed 10% Rule","")</f>
      </c>
    </row>
    <row r="19" spans="2:5" ht="15.75">
      <c r="B19" s="278" t="s">
        <v>56</v>
      </c>
      <c r="C19" s="303">
        <f>SUM(C8:C17)</f>
        <v>0</v>
      </c>
      <c r="D19" s="303">
        <f>SUM(D8:D17)</f>
        <v>0</v>
      </c>
      <c r="E19" s="303">
        <f>SUM(E8:E17)</f>
        <v>0</v>
      </c>
    </row>
    <row r="20" spans="2:5" ht="15.75">
      <c r="B20" s="278" t="s">
        <v>57</v>
      </c>
      <c r="C20" s="303">
        <f>C6+C19</f>
        <v>0</v>
      </c>
      <c r="D20" s="303">
        <f>D6+D19</f>
        <v>0</v>
      </c>
      <c r="E20" s="303">
        <f>E6+E19</f>
        <v>0</v>
      </c>
    </row>
    <row r="21" spans="2:5" ht="15.75">
      <c r="B21" s="113" t="s">
        <v>58</v>
      </c>
      <c r="C21" s="72"/>
      <c r="D21" s="72"/>
      <c r="E21" s="72"/>
    </row>
    <row r="22" spans="2:5" ht="15.75">
      <c r="B22" s="281" t="s">
        <v>173</v>
      </c>
      <c r="C22" s="295"/>
      <c r="D22" s="295"/>
      <c r="E22" s="295"/>
    </row>
    <row r="23" spans="2:5" ht="15.75">
      <c r="B23" s="281" t="s">
        <v>176</v>
      </c>
      <c r="C23" s="295"/>
      <c r="D23" s="295"/>
      <c r="E23" s="295"/>
    </row>
    <row r="24" spans="2:5" ht="15.75">
      <c r="B24" s="281"/>
      <c r="C24" s="311"/>
      <c r="D24" s="311"/>
      <c r="E24" s="311"/>
    </row>
    <row r="25" spans="2:5" ht="15.75">
      <c r="B25" s="281"/>
      <c r="C25" s="311"/>
      <c r="D25" s="311"/>
      <c r="E25" s="311"/>
    </row>
    <row r="26" spans="2:5" ht="15.75">
      <c r="B26" s="281"/>
      <c r="C26" s="311"/>
      <c r="D26" s="311"/>
      <c r="E26" s="311"/>
    </row>
    <row r="27" spans="2:5" ht="15.75">
      <c r="B27" s="281"/>
      <c r="C27" s="311"/>
      <c r="D27" s="311"/>
      <c r="E27" s="311"/>
    </row>
    <row r="28" spans="2:5" ht="15.75">
      <c r="B28" s="281"/>
      <c r="C28" s="311"/>
      <c r="D28" s="311"/>
      <c r="E28" s="311"/>
    </row>
    <row r="29" spans="2:5" ht="15.75">
      <c r="B29" s="281"/>
      <c r="C29" s="311"/>
      <c r="D29" s="311"/>
      <c r="E29" s="311"/>
    </row>
    <row r="30" spans="2:5" ht="15.75">
      <c r="B30" s="281"/>
      <c r="C30" s="311"/>
      <c r="D30" s="311"/>
      <c r="E30" s="311"/>
    </row>
    <row r="31" spans="2:5" ht="15.75">
      <c r="B31" s="281"/>
      <c r="C31" s="311"/>
      <c r="D31" s="311"/>
      <c r="E31" s="311"/>
    </row>
    <row r="32" spans="2:5" ht="15.75">
      <c r="B32" s="281"/>
      <c r="C32" s="311"/>
      <c r="D32" s="311"/>
      <c r="E32" s="311"/>
    </row>
    <row r="33" spans="2:5" ht="15.75">
      <c r="B33" s="281"/>
      <c r="C33" s="311"/>
      <c r="D33" s="311"/>
      <c r="E33" s="311"/>
    </row>
    <row r="34" spans="2:5" ht="15.75">
      <c r="B34" s="281"/>
      <c r="C34" s="311"/>
      <c r="D34" s="311"/>
      <c r="E34" s="311"/>
    </row>
    <row r="35" spans="2:5" ht="15.75">
      <c r="B35" s="281"/>
      <c r="C35" s="295"/>
      <c r="D35" s="295"/>
      <c r="E35" s="295"/>
    </row>
    <row r="36" spans="2:5" ht="15.75">
      <c r="B36" s="281"/>
      <c r="C36" s="295"/>
      <c r="D36" s="295"/>
      <c r="E36" s="295"/>
    </row>
    <row r="37" spans="2:5" ht="15.75">
      <c r="B37" s="281"/>
      <c r="C37" s="295"/>
      <c r="D37" s="295"/>
      <c r="E37" s="295"/>
    </row>
    <row r="38" spans="2:5" ht="15.75">
      <c r="B38" s="281"/>
      <c r="C38" s="295"/>
      <c r="D38" s="295"/>
      <c r="E38" s="295"/>
    </row>
    <row r="39" spans="2:5" ht="15.75">
      <c r="B39" s="281"/>
      <c r="C39" s="295"/>
      <c r="D39" s="295"/>
      <c r="E39" s="295"/>
    </row>
    <row r="40" spans="2:5" ht="15.75">
      <c r="B40" s="281"/>
      <c r="C40" s="295"/>
      <c r="D40" s="295"/>
      <c r="E40" s="295"/>
    </row>
    <row r="41" spans="2:5" ht="15.75">
      <c r="B41" s="281"/>
      <c r="C41" s="295"/>
      <c r="D41" s="295"/>
      <c r="E41" s="295"/>
    </row>
    <row r="42" spans="2:5" ht="15.75">
      <c r="B42" s="281"/>
      <c r="C42" s="295"/>
      <c r="D42" s="295"/>
      <c r="E42" s="295"/>
    </row>
    <row r="43" spans="2:5" ht="15.75">
      <c r="B43" s="281"/>
      <c r="C43" s="295"/>
      <c r="D43" s="295"/>
      <c r="E43" s="295"/>
    </row>
    <row r="44" spans="2:5" ht="15.75">
      <c r="B44" s="281"/>
      <c r="C44" s="295"/>
      <c r="D44" s="295"/>
      <c r="E44" s="295"/>
    </row>
    <row r="45" spans="2:5" ht="15.75">
      <c r="B45" s="167" t="s">
        <v>143</v>
      </c>
      <c r="C45" s="295"/>
      <c r="D45" s="295"/>
      <c r="E45" s="295"/>
    </row>
    <row r="46" spans="2:5" ht="15.75">
      <c r="B46" s="167" t="s">
        <v>666</v>
      </c>
      <c r="C46" s="515">
        <f>IF(C47*0.1&lt;C45,"Exceed 10% Rule","")</f>
      </c>
      <c r="D46" s="301">
        <f>IF(D47*0.1&lt;D45,"Exceed 10% Rule","")</f>
      </c>
      <c r="E46" s="301">
        <f>IF(E47*0.1&lt;E45,"Exceed 10% Rule","")</f>
      </c>
    </row>
    <row r="47" spans="2:5" ht="15.75">
      <c r="B47" s="278" t="s">
        <v>59</v>
      </c>
      <c r="C47" s="303">
        <f>SUM(C22:C45)</f>
        <v>0</v>
      </c>
      <c r="D47" s="303">
        <f>SUM(D22:D45)</f>
        <v>0</v>
      </c>
      <c r="E47" s="303">
        <f>SUM(E22:E45)</f>
        <v>0</v>
      </c>
    </row>
    <row r="48" spans="2:5" ht="15.75">
      <c r="B48" s="113" t="s">
        <v>164</v>
      </c>
      <c r="C48" s="59">
        <f>C20-C47</f>
        <v>0</v>
      </c>
      <c r="D48" s="59">
        <f>D20-D47</f>
        <v>0</v>
      </c>
      <c r="E48" s="59">
        <f>E20-E47</f>
        <v>0</v>
      </c>
    </row>
    <row r="49" spans="2:5" ht="15.75">
      <c r="B49" s="514" t="str">
        <f>CONCATENATE("",E1-2,"/",E1-1," Budget Authority Amount:")</f>
        <v>2011/2012 Budget Authority Amount:</v>
      </c>
      <c r="C49" s="203">
        <f>inputOth!B88</f>
        <v>0</v>
      </c>
      <c r="D49" s="203">
        <f>inputPrYr!D40</f>
        <v>0</v>
      </c>
      <c r="E49" s="409">
        <f>IF(E48&lt;0,"See Tab E","")</f>
      </c>
    </row>
    <row r="50" spans="2:5" ht="15.75">
      <c r="B50" s="192"/>
      <c r="C50" s="284">
        <f>IF(C47&gt;C49,"See Tab A","")</f>
      </c>
      <c r="D50" s="284">
        <f>IF(D47&gt;D49,"See Tab C","")</f>
      </c>
      <c r="E50" s="90"/>
    </row>
    <row r="51" spans="2:5" ht="15.75">
      <c r="B51" s="192"/>
      <c r="C51" s="284">
        <f>IF(C48&lt;0,"See Tab B","")</f>
      </c>
      <c r="D51" s="284">
        <f>IF(D48&lt;0,"See Tab D","")</f>
      </c>
      <c r="E51" s="90"/>
    </row>
    <row r="52" spans="2:5" ht="15">
      <c r="B52" s="90"/>
      <c r="C52" s="90"/>
      <c r="D52" s="90"/>
      <c r="E52" s="90"/>
    </row>
    <row r="53" spans="2:5" ht="15.75">
      <c r="B53" s="192" t="s">
        <v>62</v>
      </c>
      <c r="C53" s="288"/>
      <c r="D53" s="90"/>
      <c r="E53" s="90"/>
    </row>
  </sheetData>
  <sheetProtection sheet="1"/>
  <conditionalFormatting sqref="C45">
    <cfRule type="cellIs" priority="2" dxfId="140" operator="greaterThan" stopIfTrue="1">
      <formula>$C$47*0.1</formula>
    </cfRule>
  </conditionalFormatting>
  <conditionalFormatting sqref="D45">
    <cfRule type="cellIs" priority="3" dxfId="140" operator="greaterThan" stopIfTrue="1">
      <formula>$D$47*0.1</formula>
    </cfRule>
  </conditionalFormatting>
  <conditionalFormatting sqref="E45">
    <cfRule type="cellIs" priority="4" dxfId="140" operator="greaterThan" stopIfTrue="1">
      <formula>$E$47*0.1</formula>
    </cfRule>
  </conditionalFormatting>
  <conditionalFormatting sqref="C17">
    <cfRule type="cellIs" priority="5" dxfId="140" operator="greaterThan" stopIfTrue="1">
      <formula>$C$19*0.1</formula>
    </cfRule>
  </conditionalFormatting>
  <conditionalFormatting sqref="D17">
    <cfRule type="cellIs" priority="6" dxfId="140" operator="greaterThan" stopIfTrue="1">
      <formula>#REF!*0.1</formula>
    </cfRule>
  </conditionalFormatting>
  <conditionalFormatting sqref="E17">
    <cfRule type="cellIs" priority="7" dxfId="140" operator="greaterThan" stopIfTrue="1">
      <formula>$E$19*0.1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7">
      <selection activeCell="F33" sqref="F33"/>
    </sheetView>
  </sheetViews>
  <sheetFormatPr defaultColWidth="8.796875" defaultRowHeight="15"/>
  <cols>
    <col min="1" max="1" width="11.59765625" style="10" customWidth="1"/>
    <col min="2" max="2" width="7.3984375" style="10" customWidth="1"/>
    <col min="3" max="3" width="11.59765625" style="10" customWidth="1"/>
    <col min="4" max="4" width="7.3984375" style="10" customWidth="1"/>
    <col min="5" max="5" width="11.59765625" style="10" customWidth="1"/>
    <col min="6" max="6" width="7.3984375" style="10" customWidth="1"/>
    <col min="7" max="7" width="11.59765625" style="10" customWidth="1"/>
    <col min="8" max="8" width="7.3984375" style="10" customWidth="1"/>
    <col min="9" max="9" width="11.59765625" style="10" customWidth="1"/>
    <col min="10" max="16384" width="8.8984375" style="10" customWidth="1"/>
  </cols>
  <sheetData>
    <row r="1" spans="1:11" ht="15.75">
      <c r="A1" s="89" t="str">
        <f>inputPrYr!$D$3</f>
        <v>City of Vining</v>
      </c>
      <c r="B1" s="118"/>
      <c r="C1" s="287"/>
      <c r="D1" s="287"/>
      <c r="E1" s="287"/>
      <c r="F1" s="312" t="s">
        <v>244</v>
      </c>
      <c r="G1" s="287"/>
      <c r="H1" s="287"/>
      <c r="I1" s="287"/>
      <c r="J1" s="287"/>
      <c r="K1" s="287">
        <f>inputPrYr!$C$10</f>
        <v>2013</v>
      </c>
    </row>
    <row r="2" spans="1:11" ht="15.75">
      <c r="A2" s="287"/>
      <c r="B2" s="287"/>
      <c r="C2" s="287"/>
      <c r="D2" s="287"/>
      <c r="E2" s="287"/>
      <c r="F2" s="118" t="str">
        <f>CONCATENATE("(Only the actual budget year for ",K1-2," is to be shown)")</f>
        <v>(Only the actual budget year for 2011 is to be shown)</v>
      </c>
      <c r="G2" s="287"/>
      <c r="H2" s="287"/>
      <c r="I2" s="287"/>
      <c r="J2" s="287"/>
      <c r="K2" s="287"/>
    </row>
    <row r="3" spans="1:11" ht="15.75">
      <c r="A3" s="287" t="s">
        <v>243</v>
      </c>
      <c r="B3" s="287"/>
      <c r="C3" s="287"/>
      <c r="D3" s="287"/>
      <c r="E3" s="287"/>
      <c r="F3" s="118"/>
      <c r="G3" s="287"/>
      <c r="H3" s="287"/>
      <c r="I3" s="287"/>
      <c r="J3" s="287"/>
      <c r="K3" s="287"/>
    </row>
    <row r="4" spans="1:11" ht="15.75">
      <c r="A4" s="287" t="s">
        <v>236</v>
      </c>
      <c r="B4" s="287"/>
      <c r="C4" s="287" t="s">
        <v>237</v>
      </c>
      <c r="D4" s="287"/>
      <c r="E4" s="287" t="s">
        <v>238</v>
      </c>
      <c r="F4" s="118"/>
      <c r="G4" s="287" t="s">
        <v>239</v>
      </c>
      <c r="H4" s="287"/>
      <c r="I4" s="287" t="s">
        <v>240</v>
      </c>
      <c r="J4" s="287"/>
      <c r="K4" s="287"/>
    </row>
    <row r="5" spans="1:11" ht="15.75">
      <c r="A5" s="757" t="str">
        <f>inputPrYr!B43</f>
        <v>Capital Outlay</v>
      </c>
      <c r="B5" s="758"/>
      <c r="C5" s="757">
        <f>inputPrYr!B44</f>
        <v>0</v>
      </c>
      <c r="D5" s="758"/>
      <c r="E5" s="757">
        <f>inputPrYr!B45</f>
        <v>0</v>
      </c>
      <c r="F5" s="758"/>
      <c r="G5" s="757">
        <f>inputPrYr!B46</f>
        <v>0</v>
      </c>
      <c r="H5" s="758"/>
      <c r="I5" s="757">
        <f>inputPrYr!B47</f>
        <v>0</v>
      </c>
      <c r="J5" s="758"/>
      <c r="K5" s="127"/>
    </row>
    <row r="6" spans="1:11" ht="15.75">
      <c r="A6" s="314" t="s">
        <v>241</v>
      </c>
      <c r="B6" s="315"/>
      <c r="C6" s="316" t="s">
        <v>241</v>
      </c>
      <c r="D6" s="317"/>
      <c r="E6" s="316" t="s">
        <v>241</v>
      </c>
      <c r="F6" s="318"/>
      <c r="G6" s="316" t="s">
        <v>241</v>
      </c>
      <c r="H6" s="313"/>
      <c r="I6" s="316" t="s">
        <v>241</v>
      </c>
      <c r="J6" s="287"/>
      <c r="K6" s="319" t="s">
        <v>21</v>
      </c>
    </row>
    <row r="7" spans="1:11" ht="15.75">
      <c r="A7" s="320" t="s">
        <v>298</v>
      </c>
      <c r="B7" s="321">
        <v>4605</v>
      </c>
      <c r="C7" s="322" t="s">
        <v>298</v>
      </c>
      <c r="D7" s="321"/>
      <c r="E7" s="322" t="s">
        <v>298</v>
      </c>
      <c r="F7" s="321"/>
      <c r="G7" s="322" t="s">
        <v>298</v>
      </c>
      <c r="H7" s="321"/>
      <c r="I7" s="322" t="s">
        <v>298</v>
      </c>
      <c r="J7" s="321"/>
      <c r="K7" s="323">
        <f>SUM(B7+D7+F7+H7+J7)</f>
        <v>4605</v>
      </c>
    </row>
    <row r="8" spans="1:11" ht="15.75">
      <c r="A8" s="324" t="s">
        <v>165</v>
      </c>
      <c r="B8" s="325"/>
      <c r="C8" s="324" t="s">
        <v>165</v>
      </c>
      <c r="D8" s="326"/>
      <c r="E8" s="324" t="s">
        <v>165</v>
      </c>
      <c r="F8" s="118"/>
      <c r="G8" s="324" t="s">
        <v>165</v>
      </c>
      <c r="H8" s="287"/>
      <c r="I8" s="324" t="s">
        <v>165</v>
      </c>
      <c r="J8" s="287"/>
      <c r="K8" s="118"/>
    </row>
    <row r="9" spans="1:11" ht="15.75">
      <c r="A9" s="327" t="s">
        <v>981</v>
      </c>
      <c r="B9" s="321">
        <v>6000</v>
      </c>
      <c r="C9" s="327"/>
      <c r="D9" s="321"/>
      <c r="E9" s="327"/>
      <c r="F9" s="321"/>
      <c r="G9" s="327"/>
      <c r="H9" s="321"/>
      <c r="I9" s="327"/>
      <c r="J9" s="321"/>
      <c r="K9" s="118"/>
    </row>
    <row r="10" spans="1:11" ht="15.75">
      <c r="A10" s="327"/>
      <c r="B10" s="321"/>
      <c r="C10" s="327"/>
      <c r="D10" s="321"/>
      <c r="E10" s="327"/>
      <c r="F10" s="321"/>
      <c r="G10" s="327"/>
      <c r="H10" s="321"/>
      <c r="I10" s="327"/>
      <c r="J10" s="321"/>
      <c r="K10" s="118"/>
    </row>
    <row r="11" spans="1:11" ht="15.75">
      <c r="A11" s="327"/>
      <c r="B11" s="321"/>
      <c r="C11" s="328"/>
      <c r="D11" s="321"/>
      <c r="E11" s="328"/>
      <c r="F11" s="321"/>
      <c r="G11" s="328"/>
      <c r="H11" s="321"/>
      <c r="I11" s="329"/>
      <c r="J11" s="321"/>
      <c r="K11" s="118"/>
    </row>
    <row r="12" spans="1:11" ht="15.75">
      <c r="A12" s="327"/>
      <c r="B12" s="330"/>
      <c r="C12" s="327"/>
      <c r="D12" s="321"/>
      <c r="E12" s="331"/>
      <c r="F12" s="321"/>
      <c r="G12" s="331"/>
      <c r="H12" s="321"/>
      <c r="I12" s="331"/>
      <c r="J12" s="321"/>
      <c r="K12" s="118"/>
    </row>
    <row r="13" spans="1:11" ht="15.75">
      <c r="A13" s="332"/>
      <c r="B13" s="333"/>
      <c r="C13" s="334"/>
      <c r="D13" s="321"/>
      <c r="E13" s="334"/>
      <c r="F13" s="321"/>
      <c r="G13" s="334"/>
      <c r="H13" s="321"/>
      <c r="I13" s="329"/>
      <c r="J13" s="321"/>
      <c r="K13" s="118"/>
    </row>
    <row r="14" spans="1:11" ht="15.75">
      <c r="A14" s="327"/>
      <c r="B14" s="321"/>
      <c r="C14" s="331"/>
      <c r="D14" s="321"/>
      <c r="E14" s="331"/>
      <c r="F14" s="321"/>
      <c r="G14" s="331"/>
      <c r="H14" s="321"/>
      <c r="I14" s="331"/>
      <c r="J14" s="321"/>
      <c r="K14" s="118"/>
    </row>
    <row r="15" spans="1:11" ht="15.75">
      <c r="A15" s="327"/>
      <c r="B15" s="321"/>
      <c r="C15" s="331"/>
      <c r="D15" s="321"/>
      <c r="E15" s="331"/>
      <c r="F15" s="321"/>
      <c r="G15" s="331"/>
      <c r="H15" s="321"/>
      <c r="I15" s="331"/>
      <c r="J15" s="321"/>
      <c r="K15" s="118"/>
    </row>
    <row r="16" spans="1:11" ht="15.75">
      <c r="A16" s="327"/>
      <c r="B16" s="333"/>
      <c r="C16" s="327"/>
      <c r="D16" s="321"/>
      <c r="E16" s="327"/>
      <c r="F16" s="321"/>
      <c r="G16" s="331"/>
      <c r="H16" s="321"/>
      <c r="I16" s="327"/>
      <c r="J16" s="321"/>
      <c r="K16" s="118"/>
    </row>
    <row r="17" spans="1:11" ht="15.75">
      <c r="A17" s="324" t="s">
        <v>56</v>
      </c>
      <c r="B17" s="323">
        <f>SUM(B9:B16)</f>
        <v>6000</v>
      </c>
      <c r="C17" s="324" t="s">
        <v>56</v>
      </c>
      <c r="D17" s="323">
        <f>SUM(D9:D16)</f>
        <v>0</v>
      </c>
      <c r="E17" s="324" t="s">
        <v>56</v>
      </c>
      <c r="F17" s="405">
        <f>SUM(F9:F16)</f>
        <v>0</v>
      </c>
      <c r="G17" s="324" t="s">
        <v>56</v>
      </c>
      <c r="H17" s="323">
        <f>SUM(H9:H16)</f>
        <v>0</v>
      </c>
      <c r="I17" s="324" t="s">
        <v>56</v>
      </c>
      <c r="J17" s="323">
        <f>SUM(J9:J16)</f>
        <v>0</v>
      </c>
      <c r="K17" s="323">
        <f>SUM(B17+D17+F17+H17+J17)</f>
        <v>6000</v>
      </c>
    </row>
    <row r="18" spans="1:11" ht="15.75">
      <c r="A18" s="324" t="s">
        <v>57</v>
      </c>
      <c r="B18" s="323">
        <f>SUM(B7+B17)</f>
        <v>10605</v>
      </c>
      <c r="C18" s="324" t="s">
        <v>57</v>
      </c>
      <c r="D18" s="323">
        <f>SUM(D7+D17)</f>
        <v>0</v>
      </c>
      <c r="E18" s="324" t="s">
        <v>57</v>
      </c>
      <c r="F18" s="323">
        <f>SUM(F7+F17)</f>
        <v>0</v>
      </c>
      <c r="G18" s="324" t="s">
        <v>57</v>
      </c>
      <c r="H18" s="323">
        <f>SUM(H7+H17)</f>
        <v>0</v>
      </c>
      <c r="I18" s="324" t="s">
        <v>57</v>
      </c>
      <c r="J18" s="323">
        <f>SUM(J7+J17)</f>
        <v>0</v>
      </c>
      <c r="K18" s="323">
        <f>SUM(B18+D18+F18+H18+J18)</f>
        <v>10605</v>
      </c>
    </row>
    <row r="19" spans="1:11" ht="15.75">
      <c r="A19" s="324" t="s">
        <v>58</v>
      </c>
      <c r="B19" s="325"/>
      <c r="C19" s="324" t="s">
        <v>58</v>
      </c>
      <c r="D19" s="326"/>
      <c r="E19" s="324" t="s">
        <v>58</v>
      </c>
      <c r="F19" s="118"/>
      <c r="G19" s="324" t="s">
        <v>58</v>
      </c>
      <c r="H19" s="287"/>
      <c r="I19" s="324" t="s">
        <v>58</v>
      </c>
      <c r="J19" s="287"/>
      <c r="K19" s="118"/>
    </row>
    <row r="20" spans="1:11" ht="15.75">
      <c r="A20" s="327"/>
      <c r="B20" s="321"/>
      <c r="C20" s="331"/>
      <c r="D20" s="321"/>
      <c r="E20" s="331"/>
      <c r="F20" s="321"/>
      <c r="G20" s="331"/>
      <c r="H20" s="321"/>
      <c r="I20" s="331"/>
      <c r="J20" s="321"/>
      <c r="K20" s="118"/>
    </row>
    <row r="21" spans="1:11" ht="15.75">
      <c r="A21" s="327"/>
      <c r="B21" s="321"/>
      <c r="C21" s="331"/>
      <c r="D21" s="321"/>
      <c r="E21" s="331"/>
      <c r="F21" s="321"/>
      <c r="G21" s="331"/>
      <c r="H21" s="321"/>
      <c r="I21" s="331"/>
      <c r="J21" s="321"/>
      <c r="K21" s="118"/>
    </row>
    <row r="22" spans="1:11" ht="15.75">
      <c r="A22" s="327"/>
      <c r="B22" s="321"/>
      <c r="C22" s="334"/>
      <c r="D22" s="321"/>
      <c r="E22" s="334"/>
      <c r="F22" s="321"/>
      <c r="G22" s="334"/>
      <c r="H22" s="321"/>
      <c r="I22" s="329"/>
      <c r="J22" s="321"/>
      <c r="K22" s="118"/>
    </row>
    <row r="23" spans="1:11" ht="15.75">
      <c r="A23" s="327"/>
      <c r="B23" s="321"/>
      <c r="C23" s="331"/>
      <c r="D23" s="321"/>
      <c r="E23" s="331"/>
      <c r="F23" s="321"/>
      <c r="G23" s="331"/>
      <c r="H23" s="321"/>
      <c r="I23" s="331"/>
      <c r="J23" s="321"/>
      <c r="K23" s="118"/>
    </row>
    <row r="24" spans="1:11" ht="15.75">
      <c r="A24" s="327"/>
      <c r="B24" s="321"/>
      <c r="C24" s="334"/>
      <c r="D24" s="321"/>
      <c r="E24" s="334"/>
      <c r="F24" s="321"/>
      <c r="G24" s="334"/>
      <c r="H24" s="321"/>
      <c r="I24" s="329"/>
      <c r="J24" s="321"/>
      <c r="K24" s="118"/>
    </row>
    <row r="25" spans="1:11" ht="15.75">
      <c r="A25" s="327"/>
      <c r="B25" s="321"/>
      <c r="C25" s="331"/>
      <c r="D25" s="321"/>
      <c r="E25" s="331"/>
      <c r="F25" s="321"/>
      <c r="G25" s="331"/>
      <c r="H25" s="321"/>
      <c r="I25" s="331"/>
      <c r="J25" s="321"/>
      <c r="K25" s="118"/>
    </row>
    <row r="26" spans="1:11" ht="15.75">
      <c r="A26" s="327"/>
      <c r="B26" s="321"/>
      <c r="C26" s="331"/>
      <c r="D26" s="321"/>
      <c r="E26" s="331"/>
      <c r="F26" s="321"/>
      <c r="G26" s="331"/>
      <c r="H26" s="321"/>
      <c r="I26" s="331"/>
      <c r="J26" s="321"/>
      <c r="K26" s="118"/>
    </row>
    <row r="27" spans="1:11" ht="15.75">
      <c r="A27" s="327"/>
      <c r="B27" s="321"/>
      <c r="C27" s="327"/>
      <c r="D27" s="321"/>
      <c r="E27" s="327"/>
      <c r="F27" s="321"/>
      <c r="G27" s="331"/>
      <c r="H27" s="321"/>
      <c r="I27" s="331"/>
      <c r="J27" s="321"/>
      <c r="K27" s="118"/>
    </row>
    <row r="28" spans="1:11" ht="15.75">
      <c r="A28" s="324" t="s">
        <v>59</v>
      </c>
      <c r="B28" s="323">
        <f>SUM(B20:B27)</f>
        <v>0</v>
      </c>
      <c r="C28" s="324" t="s">
        <v>59</v>
      </c>
      <c r="D28" s="323">
        <f>SUM(D20:D27)</f>
        <v>0</v>
      </c>
      <c r="E28" s="324" t="s">
        <v>59</v>
      </c>
      <c r="F28" s="405">
        <f>SUM(F20:F27)</f>
        <v>0</v>
      </c>
      <c r="G28" s="324" t="s">
        <v>59</v>
      </c>
      <c r="H28" s="405">
        <f>SUM(H20:H27)</f>
        <v>0</v>
      </c>
      <c r="I28" s="324" t="s">
        <v>59</v>
      </c>
      <c r="J28" s="323">
        <f>SUM(J20:J27)</f>
        <v>0</v>
      </c>
      <c r="K28" s="323">
        <f>SUM(B28+D28+F28+H28+J28)</f>
        <v>0</v>
      </c>
    </row>
    <row r="29" spans="1:12" ht="15.75">
      <c r="A29" s="324" t="s">
        <v>242</v>
      </c>
      <c r="B29" s="323">
        <f>SUM(B18-B28)</f>
        <v>10605</v>
      </c>
      <c r="C29" s="324" t="s">
        <v>242</v>
      </c>
      <c r="D29" s="323">
        <f>SUM(D18-D28)</f>
        <v>0</v>
      </c>
      <c r="E29" s="324" t="s">
        <v>242</v>
      </c>
      <c r="F29" s="323">
        <f>SUM(F18-F28)</f>
        <v>0</v>
      </c>
      <c r="G29" s="324" t="s">
        <v>242</v>
      </c>
      <c r="H29" s="323">
        <f>SUM(H18-H28)</f>
        <v>0</v>
      </c>
      <c r="I29" s="324" t="s">
        <v>242</v>
      </c>
      <c r="J29" s="323">
        <f>SUM(J18-J28)</f>
        <v>0</v>
      </c>
      <c r="K29" s="335">
        <f>SUM(B29+D29+F29+H29+J29)</f>
        <v>10605</v>
      </c>
      <c r="L29" s="10" t="s">
        <v>247</v>
      </c>
    </row>
    <row r="30" spans="1:12" ht="15.75">
      <c r="A30" s="324"/>
      <c r="B30" s="364">
        <f>IF(B29&lt;0,"See Tab B","")</f>
      </c>
      <c r="C30" s="324"/>
      <c r="D30" s="364">
        <f>IF(D29&lt;0,"See Tab B","")</f>
      </c>
      <c r="E30" s="324"/>
      <c r="F30" s="364">
        <f>IF(F29&lt;0,"See Tab B","")</f>
      </c>
      <c r="G30" s="287"/>
      <c r="H30" s="364">
        <f>IF(H29&lt;0,"See Tab B","")</f>
      </c>
      <c r="I30" s="287"/>
      <c r="J30" s="364">
        <f>IF(J29&lt;0,"See Tab B","")</f>
      </c>
      <c r="K30" s="335">
        <f>SUM(K7+K17-K28)</f>
        <v>10605</v>
      </c>
      <c r="L30" s="10" t="s">
        <v>247</v>
      </c>
    </row>
    <row r="31" spans="1:11" ht="15.75">
      <c r="A31" s="287"/>
      <c r="B31" s="336"/>
      <c r="C31" s="287"/>
      <c r="D31" s="118"/>
      <c r="E31" s="287"/>
      <c r="F31" s="287"/>
      <c r="G31" s="21" t="s">
        <v>248</v>
      </c>
      <c r="H31" s="21"/>
      <c r="I31" s="21"/>
      <c r="J31" s="21"/>
      <c r="K31" s="287"/>
    </row>
    <row r="32" spans="1:11" ht="15.75">
      <c r="A32" s="287"/>
      <c r="B32" s="336"/>
      <c r="C32" s="287"/>
      <c r="D32" s="287"/>
      <c r="E32" s="287"/>
      <c r="F32" s="287"/>
      <c r="G32" s="287"/>
      <c r="H32" s="287"/>
      <c r="I32" s="287"/>
      <c r="J32" s="287"/>
      <c r="K32" s="287"/>
    </row>
    <row r="33" spans="1:11" ht="15.75">
      <c r="A33" s="287"/>
      <c r="B33" s="336"/>
      <c r="C33" s="287"/>
      <c r="D33" s="287"/>
      <c r="E33" s="286" t="s">
        <v>62</v>
      </c>
      <c r="F33" s="288">
        <v>9</v>
      </c>
      <c r="G33" s="287"/>
      <c r="H33" s="287"/>
      <c r="I33" s="287"/>
      <c r="J33" s="287"/>
      <c r="K33" s="287"/>
    </row>
    <row r="34" ht="15.75">
      <c r="B34" s="337"/>
    </row>
    <row r="35" ht="15.75">
      <c r="B35" s="337"/>
    </row>
    <row r="36" ht="15.75">
      <c r="B36" s="337"/>
    </row>
    <row r="37" ht="15.75">
      <c r="B37" s="337"/>
    </row>
    <row r="38" ht="15.75">
      <c r="B38" s="337"/>
    </row>
    <row r="39" ht="15.75">
      <c r="B39" s="337"/>
    </row>
    <row r="40" ht="15.75">
      <c r="B40" s="337"/>
    </row>
    <row r="41" ht="15.75">
      <c r="B41" s="33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9"/>
  <sheetViews>
    <sheetView zoomScalePageLayoutView="0" workbookViewId="0" topLeftCell="A1">
      <selection activeCell="A2" sqref="A2"/>
    </sheetView>
  </sheetViews>
  <sheetFormatPr defaultColWidth="8.796875" defaultRowHeight="15"/>
  <cols>
    <col min="1" max="1" width="70.59765625" style="363" customWidth="1"/>
    <col min="2" max="16384" width="8.8984375" style="363" customWidth="1"/>
  </cols>
  <sheetData>
    <row r="1" ht="18.75">
      <c r="A1" s="220" t="s">
        <v>379</v>
      </c>
    </row>
    <row r="2" ht="15.75">
      <c r="A2" s="221"/>
    </row>
    <row r="3" ht="47.25">
      <c r="A3" s="222" t="s">
        <v>380</v>
      </c>
    </row>
    <row r="4" ht="15.75">
      <c r="A4" s="223"/>
    </row>
    <row r="5" ht="15.75">
      <c r="A5" s="221"/>
    </row>
    <row r="6" ht="31.5">
      <c r="A6" s="222" t="s">
        <v>381</v>
      </c>
    </row>
    <row r="7" ht="15.75">
      <c r="A7" s="221"/>
    </row>
    <row r="8" ht="15.75">
      <c r="A8" s="223"/>
    </row>
    <row r="9" ht="31.5">
      <c r="A9" s="222" t="s">
        <v>382</v>
      </c>
    </row>
    <row r="10" ht="15.75">
      <c r="A10" s="221"/>
    </row>
    <row r="11" ht="15.75">
      <c r="A11" s="223"/>
    </row>
    <row r="12" ht="47.25">
      <c r="A12" s="222" t="s">
        <v>383</v>
      </c>
    </row>
    <row r="13" ht="15.75">
      <c r="A13" s="221"/>
    </row>
    <row r="14" ht="15.75">
      <c r="A14" s="221"/>
    </row>
    <row r="15" ht="47.25">
      <c r="A15" s="222" t="s">
        <v>384</v>
      </c>
    </row>
    <row r="16" ht="15.75">
      <c r="A16" s="221"/>
    </row>
    <row r="17" ht="15.75">
      <c r="A17" s="221"/>
    </row>
    <row r="18" ht="47.25">
      <c r="A18" s="222" t="s">
        <v>385</v>
      </c>
    </row>
    <row r="19" ht="15.75">
      <c r="A19" s="221"/>
    </row>
    <row r="20" ht="15.75">
      <c r="A20" s="221"/>
    </row>
    <row r="21" ht="31.5">
      <c r="A21" s="222" t="s">
        <v>386</v>
      </c>
    </row>
    <row r="22" ht="15.75">
      <c r="A22" s="221"/>
    </row>
    <row r="23" ht="15.75">
      <c r="A23" s="221"/>
    </row>
    <row r="24" ht="47.25">
      <c r="A24" s="222" t="s">
        <v>387</v>
      </c>
    </row>
    <row r="25" ht="15.75">
      <c r="A25" s="223"/>
    </row>
    <row r="26" ht="15.75">
      <c r="A26" s="223"/>
    </row>
    <row r="27" ht="47.25">
      <c r="A27" s="222" t="s">
        <v>388</v>
      </c>
    </row>
    <row r="28" ht="15.75">
      <c r="A28" s="221"/>
    </row>
    <row r="29" ht="15.75">
      <c r="A29" s="221"/>
    </row>
    <row r="30" ht="31.5">
      <c r="A30" s="222" t="s">
        <v>389</v>
      </c>
    </row>
    <row r="31" ht="15.75">
      <c r="A31" s="221"/>
    </row>
    <row r="32" ht="15.75">
      <c r="A32" s="221"/>
    </row>
    <row r="33" ht="31.5">
      <c r="A33" s="222" t="s">
        <v>390</v>
      </c>
    </row>
    <row r="34" ht="15.75">
      <c r="A34" s="223"/>
    </row>
    <row r="35" ht="15.75">
      <c r="A35" s="223"/>
    </row>
    <row r="36" ht="31.5">
      <c r="A36" s="222" t="s">
        <v>391</v>
      </c>
    </row>
    <row r="37" ht="15.75">
      <c r="A37" s="223"/>
    </row>
    <row r="38" ht="15.75">
      <c r="A38" s="221"/>
    </row>
    <row r="39" ht="63">
      <c r="A39" s="222" t="s">
        <v>392</v>
      </c>
    </row>
    <row r="40" ht="15.75">
      <c r="A40" s="221"/>
    </row>
    <row r="41" ht="15.75">
      <c r="A41" s="221"/>
    </row>
    <row r="42" ht="47.25">
      <c r="A42" s="222" t="s">
        <v>393</v>
      </c>
    </row>
    <row r="43" ht="15.75">
      <c r="A43" s="223"/>
    </row>
    <row r="44" ht="15.75">
      <c r="A44" s="221"/>
    </row>
    <row r="45" ht="47.25">
      <c r="A45" s="222" t="s">
        <v>394</v>
      </c>
    </row>
    <row r="46" ht="15.75">
      <c r="A46" s="221"/>
    </row>
    <row r="47" ht="15.75">
      <c r="A47" s="221"/>
    </row>
    <row r="48" ht="31.5">
      <c r="A48" s="222" t="s">
        <v>395</v>
      </c>
    </row>
    <row r="49" ht="15.75">
      <c r="A49" s="221"/>
    </row>
    <row r="50" ht="15.75">
      <c r="A50" s="221"/>
    </row>
    <row r="51" ht="31.5">
      <c r="A51" s="222" t="s">
        <v>396</v>
      </c>
    </row>
    <row r="52" ht="15.75">
      <c r="A52" s="221"/>
    </row>
    <row r="53" ht="15.75">
      <c r="A53" s="221"/>
    </row>
    <row r="54" ht="63">
      <c r="A54" s="222" t="s">
        <v>397</v>
      </c>
    </row>
    <row r="55" ht="15.75">
      <c r="A55" s="223"/>
    </row>
    <row r="56" ht="15.75">
      <c r="A56" s="223"/>
    </row>
    <row r="57" ht="47.25">
      <c r="A57" s="222" t="s">
        <v>398</v>
      </c>
    </row>
    <row r="58" ht="15.75">
      <c r="A58" s="221"/>
    </row>
    <row r="59" ht="15.75">
      <c r="A59" s="221"/>
    </row>
    <row r="60" ht="31.5">
      <c r="A60" s="222" t="s">
        <v>399</v>
      </c>
    </row>
    <row r="61" ht="15.75">
      <c r="A61" s="221"/>
    </row>
    <row r="62" ht="15.75">
      <c r="A62" s="221"/>
    </row>
    <row r="63" ht="47.25">
      <c r="A63" s="222" t="s">
        <v>400</v>
      </c>
    </row>
    <row r="64" ht="15.75">
      <c r="A64" s="223"/>
    </row>
    <row r="65" ht="15.75">
      <c r="A65" s="223"/>
    </row>
    <row r="66" ht="47.25">
      <c r="A66" s="222" t="s">
        <v>401</v>
      </c>
    </row>
    <row r="67" ht="15.75">
      <c r="A67" s="221"/>
    </row>
    <row r="68" ht="15.75">
      <c r="A68" s="221"/>
    </row>
    <row r="69" ht="47.25">
      <c r="A69" s="222" t="s">
        <v>402</v>
      </c>
    </row>
  </sheetData>
  <sheetProtection sheet="1" objects="1" scenarios="1"/>
  <printOptions/>
  <pageMargins left="0.7" right="0.7" top="0.75" bottom="0.75" header="0.3" footer="0.3"/>
  <pageSetup horizontalDpi="600" verticalDpi="600" orientation="portrait" r:id="rId1"/>
  <headerFooter>
    <oddFooter>&amp;Lrevised 10/5/09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9">
      <selection activeCell="D51" sqref="D51"/>
    </sheetView>
  </sheetViews>
  <sheetFormatPr defaultColWidth="8.796875" defaultRowHeight="15"/>
  <cols>
    <col min="1" max="1" width="20.796875" style="24" customWidth="1"/>
    <col min="2" max="2" width="15.796875" style="24" customWidth="1"/>
    <col min="3" max="3" width="10.796875" style="24" customWidth="1"/>
    <col min="4" max="4" width="15.796875" style="24" customWidth="1"/>
    <col min="5" max="5" width="10.796875" style="24" customWidth="1"/>
    <col min="6" max="6" width="15.09765625" style="24" customWidth="1"/>
    <col min="7" max="7" width="12.19921875" style="24" customWidth="1"/>
    <col min="8" max="8" width="10.59765625" style="24" customWidth="1"/>
    <col min="9" max="9" width="8.59765625" style="24" customWidth="1"/>
    <col min="10" max="10" width="12.3984375" style="24" customWidth="1"/>
    <col min="11" max="11" width="12.296875" style="24" customWidth="1"/>
    <col min="12" max="12" width="10.59765625" style="24" customWidth="1"/>
    <col min="13" max="13" width="12.09765625" style="24" customWidth="1"/>
    <col min="14" max="16384" width="8.8984375" style="24" customWidth="1"/>
  </cols>
  <sheetData>
    <row r="1" spans="1:8" ht="15.75">
      <c r="A1" s="28"/>
      <c r="B1" s="28"/>
      <c r="C1" s="28"/>
      <c r="D1" s="28"/>
      <c r="E1" s="28"/>
      <c r="F1" s="28"/>
      <c r="G1" s="28"/>
      <c r="H1" s="139">
        <f>inputPrYr!$C$10</f>
        <v>2013</v>
      </c>
    </row>
    <row r="2" spans="1:8" ht="15.75">
      <c r="A2" s="726" t="s">
        <v>105</v>
      </c>
      <c r="B2" s="726"/>
      <c r="C2" s="726"/>
      <c r="D2" s="726"/>
      <c r="E2" s="726"/>
      <c r="F2" s="726"/>
      <c r="G2" s="726"/>
      <c r="H2" s="726"/>
    </row>
    <row r="3" spans="1:8" ht="15.75">
      <c r="A3" s="28"/>
      <c r="B3" s="28"/>
      <c r="C3" s="28"/>
      <c r="D3" s="28"/>
      <c r="E3" s="28"/>
      <c r="F3" s="28"/>
      <c r="G3" s="28"/>
      <c r="H3" s="28"/>
    </row>
    <row r="4" spans="1:8" ht="15.75">
      <c r="A4" s="715" t="s">
        <v>66</v>
      </c>
      <c r="B4" s="715"/>
      <c r="C4" s="715"/>
      <c r="D4" s="715"/>
      <c r="E4" s="715"/>
      <c r="F4" s="715"/>
      <c r="G4" s="715"/>
      <c r="H4" s="715"/>
    </row>
    <row r="5" spans="1:8" ht="15.75">
      <c r="A5" s="673" t="str">
        <f>inputPrYr!D3</f>
        <v>City of Vining</v>
      </c>
      <c r="B5" s="673"/>
      <c r="C5" s="673"/>
      <c r="D5" s="673"/>
      <c r="E5" s="673"/>
      <c r="F5" s="673"/>
      <c r="G5" s="673"/>
      <c r="H5" s="673"/>
    </row>
    <row r="6" spans="1:8" ht="15.75">
      <c r="A6" s="771" t="str">
        <f>CONCATENATE("will meet on the ",inputBudSum!B7," at ",inputBudSum!B9," at ",inputBudSum!B11," for the purpose of  hearing and")</f>
        <v>will meet on the July 31, 2012 at 8:00 P.M. at Vining City Hall for the purpose of  hearing and</v>
      </c>
      <c r="B6" s="771"/>
      <c r="C6" s="771"/>
      <c r="D6" s="771"/>
      <c r="E6" s="771"/>
      <c r="F6" s="771"/>
      <c r="G6" s="771"/>
      <c r="H6" s="771"/>
    </row>
    <row r="7" spans="1:8" ht="15.75">
      <c r="A7" s="715" t="s">
        <v>646</v>
      </c>
      <c r="B7" s="715"/>
      <c r="C7" s="715"/>
      <c r="D7" s="715"/>
      <c r="E7" s="715"/>
      <c r="F7" s="715"/>
      <c r="G7" s="715"/>
      <c r="H7" s="715"/>
    </row>
    <row r="8" spans="1:8" ht="15.75">
      <c r="A8" s="771" t="str">
        <f>CONCATENATE("Detailed budget information is available at ",inputBudSum!B14," and will be available at this hearing.")</f>
        <v>Detailed budget information is available at 109 Scribner St and will be available at this hearing.</v>
      </c>
      <c r="B8" s="771"/>
      <c r="C8" s="771"/>
      <c r="D8" s="771"/>
      <c r="E8" s="771"/>
      <c r="F8" s="771"/>
      <c r="G8" s="771"/>
      <c r="H8" s="771"/>
    </row>
    <row r="9" spans="1:8" ht="15.75">
      <c r="A9" s="37" t="s">
        <v>106</v>
      </c>
      <c r="B9" s="38"/>
      <c r="C9" s="38"/>
      <c r="D9" s="38"/>
      <c r="E9" s="38"/>
      <c r="F9" s="38"/>
      <c r="G9" s="38"/>
      <c r="H9" s="38"/>
    </row>
    <row r="10" spans="1:8" ht="15.75">
      <c r="A10" s="33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339"/>
      <c r="C10" s="339"/>
      <c r="D10" s="339"/>
      <c r="E10" s="339"/>
      <c r="F10" s="339"/>
      <c r="G10" s="339"/>
      <c r="H10" s="339"/>
    </row>
    <row r="11" spans="1:8" ht="15.75">
      <c r="A11" s="39" t="s">
        <v>170</v>
      </c>
      <c r="B11" s="38"/>
      <c r="C11" s="38"/>
      <c r="D11" s="38"/>
      <c r="E11" s="38"/>
      <c r="F11" s="38"/>
      <c r="G11" s="38"/>
      <c r="H11" s="38"/>
    </row>
    <row r="12" spans="1:8" ht="15.75">
      <c r="A12" s="28"/>
      <c r="B12" s="304"/>
      <c r="C12" s="304"/>
      <c r="D12" s="304"/>
      <c r="E12" s="304"/>
      <c r="F12" s="304"/>
      <c r="G12" s="304"/>
      <c r="H12" s="304"/>
    </row>
    <row r="13" spans="1:8" ht="15.75">
      <c r="A13" s="28"/>
      <c r="B13" s="340" t="str">
        <f>CONCATENATE("Prior Year Actual for ",H1-2,"")</f>
        <v>Prior Year Actual for 2011</v>
      </c>
      <c r="C13" s="149"/>
      <c r="D13" s="340" t="str">
        <f>CONCATENATE("Current Year Estimate for ",H1-1,"")</f>
        <v>Current Year Estimate for 2012</v>
      </c>
      <c r="E13" s="149"/>
      <c r="F13" s="341" t="str">
        <f>CONCATENATE("Proposed Budget for ",H1,"")</f>
        <v>Proposed Budget for 2013</v>
      </c>
      <c r="G13" s="342"/>
      <c r="H13" s="149"/>
    </row>
    <row r="14" spans="1:8" ht="22.5" customHeight="1">
      <c r="A14" s="28"/>
      <c r="B14" s="152"/>
      <c r="C14" s="152" t="s">
        <v>63</v>
      </c>
      <c r="D14" s="152"/>
      <c r="E14" s="152" t="s">
        <v>63</v>
      </c>
      <c r="F14" s="152" t="s">
        <v>277</v>
      </c>
      <c r="G14" s="343" t="str">
        <f>CONCATENATE("Amount of ",H1-1,"")</f>
        <v>Amount of 2012</v>
      </c>
      <c r="H14" s="152" t="s">
        <v>219</v>
      </c>
    </row>
    <row r="15" spans="1:8" ht="17.25" customHeight="1">
      <c r="A15" s="56" t="s">
        <v>67</v>
      </c>
      <c r="B15" s="155" t="s">
        <v>30</v>
      </c>
      <c r="C15" s="155" t="s">
        <v>68</v>
      </c>
      <c r="D15" s="155" t="s">
        <v>217</v>
      </c>
      <c r="E15" s="155" t="s">
        <v>68</v>
      </c>
      <c r="F15" s="155" t="s">
        <v>754</v>
      </c>
      <c r="G15" s="235" t="s">
        <v>49</v>
      </c>
      <c r="H15" s="155" t="s">
        <v>68</v>
      </c>
    </row>
    <row r="16" spans="1:8" ht="15.75">
      <c r="A16" s="50" t="s">
        <v>17</v>
      </c>
      <c r="B16" s="203">
        <f>IF((general!$C$61)&lt;&gt;0,general!$C$61,"  ")</f>
        <v>14579</v>
      </c>
      <c r="C16" s="344">
        <f>IF(inputPrYr!D52&gt;0,inputPrYr!D52,"  ")</f>
        <v>48.97</v>
      </c>
      <c r="D16" s="203">
        <f>IF((general!$D$61)&lt;&gt;0,general!$D$61,"  ")</f>
        <v>16622</v>
      </c>
      <c r="E16" s="344">
        <f>IF(inputOth!D30&gt;0,inputOth!D30,"  ")</f>
        <v>48.815</v>
      </c>
      <c r="F16" s="203">
        <f>IF((general!$E$61)&lt;&gt;0,general!$E$61,"  ")</f>
        <v>42150</v>
      </c>
      <c r="G16" s="203">
        <f>IF((general!$E$68)&lt;&gt;0,(general!$E$68),"  ")</f>
        <v>8052.990000000005</v>
      </c>
      <c r="H16" s="344">
        <f>IF((general!E68&gt;0),ROUND(G16/$F$35*1000,3),"  ")</f>
        <v>40.797</v>
      </c>
    </row>
    <row r="17" spans="1:8" ht="15.75">
      <c r="A17" s="72" t="str">
        <f>IF((inputPrYr!$B23&gt;"  "),(inputPrYr!$B23),"  ")</f>
        <v>Debt Service</v>
      </c>
      <c r="B17" s="203" t="str">
        <f>IF(('DebtSvs-Library'!$C$33)&lt;&gt;0,'DebtSvs-Library'!$C$33,"  ")</f>
        <v>  </v>
      </c>
      <c r="C17" s="344" t="str">
        <f>IF(inputPrYr!D53&gt;0,inputPrYr!D53,"  ")</f>
        <v>  </v>
      </c>
      <c r="D17" s="203" t="str">
        <f>IF(('DebtSvs-Library'!$D$33)&lt;&gt;0,'DebtSvs-Library'!$D$33,"  ")</f>
        <v>  </v>
      </c>
      <c r="E17" s="344" t="str">
        <f>IF(inputOth!D31&gt;0,inputOth!D31,"  ")</f>
        <v>  </v>
      </c>
      <c r="F17" s="203" t="str">
        <f>IF(('DebtSvs-Library'!$E$33)&lt;&gt;0,'DebtSvs-Library'!$E$33,"  ")</f>
        <v>  </v>
      </c>
      <c r="G17" s="203" t="str">
        <f>IF(('DebtSvs-Library'!$E$40)&lt;&gt;0,('DebtSvs-Library'!$E$40),"  ")</f>
        <v>  </v>
      </c>
      <c r="H17" s="344" t="str">
        <f>IF(('DebtSvs-Library'!E40&gt;0),ROUND(G17/$F$35*1000,3),"  ")</f>
        <v>  </v>
      </c>
    </row>
    <row r="18" spans="1:8" ht="15.75">
      <c r="A18" s="72" t="str">
        <f>IF((inputPrYr!$B24&gt;"  "),(inputPrYr!$B24),"  ")</f>
        <v>Library</v>
      </c>
      <c r="B18" s="203" t="str">
        <f>IF(('DebtSvs-Library'!$C$73)&lt;&gt;0,('DebtSvs-Library'!$C$73),"  ")</f>
        <v>  </v>
      </c>
      <c r="C18" s="344" t="str">
        <f>IF(inputPrYr!D54&gt;0,inputPrYr!D54,"  ")</f>
        <v>  </v>
      </c>
      <c r="D18" s="203" t="str">
        <f>IF(('DebtSvs-Library'!$D$73)&lt;&gt;0,('DebtSvs-Library'!$D$73),"  ")</f>
        <v>  </v>
      </c>
      <c r="E18" s="344" t="str">
        <f>IF(inputOth!D32&gt;0,inputOth!D32,"  ")</f>
        <v>  </v>
      </c>
      <c r="F18" s="203" t="str">
        <f>IF(('DebtSvs-Library'!$E$73)&lt;&gt;0,('DebtSvs-Library'!$E$73),"  ")</f>
        <v>  </v>
      </c>
      <c r="G18" s="203" t="str">
        <f>IF(('DebtSvs-Library'!$E$80)&lt;&gt;0,('DebtSvs-Library'!$E$80),"  ")</f>
        <v>  </v>
      </c>
      <c r="H18" s="344">
        <f>IF('DebtSvs-Library'!E80&gt;0,ROUND(G18/$F$35*1000,3),"")</f>
      </c>
    </row>
    <row r="19" spans="1:8" ht="15.75">
      <c r="A19" s="72" t="str">
        <f>IF((inputPrYr!$B26&gt;"  "),(inputPrYr!$B26),"  ")</f>
        <v>  </v>
      </c>
      <c r="B19" s="203" t="str">
        <f>IF(('levy page9'!$C$33)&lt;&gt;0,('levy page9'!$C$33),"  ")</f>
        <v>  </v>
      </c>
      <c r="C19" s="344" t="str">
        <f>IF(inputPrYr!D55&gt;0,inputPrYr!D55,"  ")</f>
        <v>  </v>
      </c>
      <c r="D19" s="203" t="str">
        <f>IF(('levy page9'!$D$33)&lt;&gt;0,('levy page9'!$D$33),"  ")</f>
        <v>  </v>
      </c>
      <c r="E19" s="344" t="str">
        <f>IF(inputOth!D33&gt;0,inputOth!D33,"  ")</f>
        <v>  </v>
      </c>
      <c r="F19" s="203" t="str">
        <f>IF(('levy page9'!$E$33)&lt;&gt;0,('levy page9'!$E$33),"  ")</f>
        <v>  </v>
      </c>
      <c r="G19" s="203" t="str">
        <f>IF(('levy page9'!$E$40)&lt;&gt;0,('levy page9'!$E$40),"  ")</f>
        <v>  </v>
      </c>
      <c r="H19" s="344" t="str">
        <f>IF('levy page9'!E40&gt;0,ROUND(G19/$F$35*1000,3),"  ")</f>
        <v>  </v>
      </c>
    </row>
    <row r="20" spans="1:13" ht="15.75">
      <c r="A20" s="72" t="str">
        <f>IF((inputPrYr!$B27&gt;"  "),(inputPrYr!$B27),"  ")</f>
        <v>  </v>
      </c>
      <c r="B20" s="203" t="str">
        <f>IF(('levy page9'!$C$73)&lt;&gt;0,('levy page9'!$C$73),"  ")</f>
        <v>  </v>
      </c>
      <c r="C20" s="344" t="str">
        <f>IF(inputPrYr!D56&gt;0,inputPrYr!D56,"  ")</f>
        <v>  </v>
      </c>
      <c r="D20" s="203" t="str">
        <f>IF(('levy page9'!$D$73)&lt;&gt;0,('levy page9'!$D$73),"  ")</f>
        <v>  </v>
      </c>
      <c r="E20" s="344" t="str">
        <f>IF(inputOth!D34&gt;0,inputOth!D34,"  ")</f>
        <v>  </v>
      </c>
      <c r="F20" s="203" t="str">
        <f>IF(('levy page9'!$E$73)&lt;&gt;0,('levy page9'!$E$73),"  ")</f>
        <v>  </v>
      </c>
      <c r="G20" s="203" t="str">
        <f>IF(('levy page9'!$E$80)&lt;&gt;0,('levy page9'!$E$80),"  ")</f>
        <v>  </v>
      </c>
      <c r="H20" s="344" t="str">
        <f>IF('levy page9'!E80&gt;0,ROUND(G20/$F$35*1000,3),"  ")</f>
        <v>  </v>
      </c>
      <c r="J20" s="761" t="str">
        <f>CONCATENATE("Estimated Value Of One Mill For ",$H$1,"")</f>
        <v>Estimated Value Of One Mill For 2013</v>
      </c>
      <c r="K20" s="768"/>
      <c r="L20" s="768"/>
      <c r="M20" s="769"/>
    </row>
    <row r="21" spans="1:13" ht="15.75">
      <c r="A21" s="72" t="str">
        <f>IF((inputPrYr!$B28&gt;"  "),(inputPrYr!$B28),"  ")</f>
        <v>  </v>
      </c>
      <c r="B21" s="203" t="str">
        <f>IF(('levy page10'!$C$33)&lt;&gt;0,('levy page10'!$C$33),"  ")</f>
        <v>  </v>
      </c>
      <c r="C21" s="344" t="str">
        <f>IF(inputPrYr!D57&gt;0,inputPrYr!D57,"  ")</f>
        <v>  </v>
      </c>
      <c r="D21" s="203" t="str">
        <f>IF(('levy page10'!$D$33)&lt;&gt;0,('levy page10'!$D$33),"  ")</f>
        <v>  </v>
      </c>
      <c r="E21" s="344" t="str">
        <f>IF(inputOth!D35&gt;0,inputOth!D35,"  ")</f>
        <v>  </v>
      </c>
      <c r="F21" s="203" t="str">
        <f>IF(('levy page10'!$E$33)&lt;&gt;0,('levy page10'!$E$33),"  ")</f>
        <v>  </v>
      </c>
      <c r="G21" s="203" t="str">
        <f>IF(('levy page10'!$E$40)&lt;&gt;0,('levy page10'!$E$40),"  ")</f>
        <v>  </v>
      </c>
      <c r="H21" s="344" t="str">
        <f>IF('levy page10'!E40&gt;0,ROUND(G21/$F$35*1000,3),"  ")</f>
        <v>  </v>
      </c>
      <c r="J21" s="481"/>
      <c r="K21" s="480"/>
      <c r="L21" s="480"/>
      <c r="M21" s="479"/>
    </row>
    <row r="22" spans="1:13" ht="15.75">
      <c r="A22" s="72" t="str">
        <f>IF((inputPrYr!B29&gt;"  "),(inputPrYr!B29),"  ")</f>
        <v>  </v>
      </c>
      <c r="B22" s="203" t="str">
        <f>IF(('levy page10'!$C$73)&lt;&gt;0,('levy page10'!$C$73),"  ")</f>
        <v>  </v>
      </c>
      <c r="C22" s="344" t="str">
        <f>IF(inputPrYr!D58&gt;0,inputPrYr!D58,"  ")</f>
        <v>  </v>
      </c>
      <c r="D22" s="203" t="str">
        <f>IF(('levy page10'!$D$73)&lt;&gt;0,('levy page10'!$D$73),"  ")</f>
        <v>  </v>
      </c>
      <c r="E22" s="344" t="str">
        <f>IF(inputOth!D36&gt;0,inputOth!D36,"  ")</f>
        <v>  </v>
      </c>
      <c r="F22" s="203" t="str">
        <f>IF(('levy page10'!$E$73)&lt;&gt;0,('levy page10'!$E$73),"  ")</f>
        <v>  </v>
      </c>
      <c r="G22" s="203" t="str">
        <f>IF(('levy page10'!$E$80)&lt;&gt;0,('levy page10'!$E$80),"  ")</f>
        <v>  </v>
      </c>
      <c r="H22" s="344" t="str">
        <f>IF('levy page10'!E80&gt;0,ROUND(G22/$F$35*1000,3),"  ")</f>
        <v>  </v>
      </c>
      <c r="J22" s="478" t="s">
        <v>748</v>
      </c>
      <c r="K22" s="477"/>
      <c r="L22" s="477"/>
      <c r="M22" s="476">
        <f>ROUND(F35/1000,0)</f>
        <v>197</v>
      </c>
    </row>
    <row r="23" spans="1:8" ht="15.75">
      <c r="A23" s="72" t="str">
        <f>IF((inputPrYr!$B33&gt;"  "),(inputPrYr!$B33),"  ")</f>
        <v>Special Highway</v>
      </c>
      <c r="B23" s="203">
        <f>IF((SpecHwy!$C$31)&lt;&gt;0,(SpecHwy!$C$31),"  ")</f>
        <v>649</v>
      </c>
      <c r="C23" s="163"/>
      <c r="D23" s="203">
        <f>IF((SpecHwy!$D$31)&lt;&gt;0,(SpecHwy!$D$31),"  ")</f>
        <v>1500</v>
      </c>
      <c r="E23" s="163"/>
      <c r="F23" s="203">
        <f>IF((SpecHwy!$E$31)&lt;&gt;0,(SpecHwy!$E$31),"  ")</f>
        <v>4550</v>
      </c>
      <c r="G23" s="163"/>
      <c r="H23" s="163"/>
    </row>
    <row r="24" spans="1:13" ht="15.75">
      <c r="A24" s="72" t="str">
        <f>IF((inputPrYr!$B34&gt;"  "),(inputPrYr!$B34),"  ")</f>
        <v>Parks &amp; Recreation</v>
      </c>
      <c r="B24" s="203">
        <f>IF((SpecHwy!$C$62)&lt;&gt;0,(SpecHwy!$C$62),"  ")</f>
        <v>603</v>
      </c>
      <c r="C24" s="163"/>
      <c r="D24" s="203">
        <f>IF((SpecHwy!$D$62)&lt;&gt;0,(SpecHwy!$D$62),"  ")</f>
        <v>2150</v>
      </c>
      <c r="E24" s="163"/>
      <c r="F24" s="203">
        <f>IF((SpecHwy!$E$62)&lt;&gt;0,(SpecHwy!$E$62),"  ")</f>
        <v>2650</v>
      </c>
      <c r="G24" s="163"/>
      <c r="H24" s="163"/>
      <c r="J24" s="761" t="str">
        <f>CONCATENATE("Want The Mill Rate The Same As For ",H1-1,"?")</f>
        <v>Want The Mill Rate The Same As For 2012?</v>
      </c>
      <c r="K24" s="768"/>
      <c r="L24" s="768"/>
      <c r="M24" s="769"/>
    </row>
    <row r="25" spans="1:13" ht="15.75">
      <c r="A25" s="72" t="str">
        <f>IF((inputPrYr!$B35&gt;"  "),(inputPrYr!$B35),"  ")</f>
        <v>  </v>
      </c>
      <c r="B25" s="203" t="str">
        <f>IF(('no levy page12'!$C$29)&lt;&gt;0,('no levy page12'!$C$29),"  ")</f>
        <v>  </v>
      </c>
      <c r="C25" s="163"/>
      <c r="D25" s="203" t="str">
        <f>IF(('no levy page12'!$D$29)&lt;&gt;0,('no levy page12'!$D$29),"  ")</f>
        <v>  </v>
      </c>
      <c r="E25" s="163"/>
      <c r="F25" s="203" t="str">
        <f>IF(('no levy page12'!$E$29)&lt;&gt;0,('no levy page12'!$E$29),"  ")</f>
        <v>  </v>
      </c>
      <c r="G25" s="163"/>
      <c r="H25" s="163"/>
      <c r="J25" s="474"/>
      <c r="K25" s="480"/>
      <c r="L25" s="480"/>
      <c r="M25" s="473"/>
    </row>
    <row r="26" spans="1:13" ht="15.75">
      <c r="A26" s="72" t="str">
        <f>IF((inputPrYr!$B36&gt;"  "),(inputPrYr!$B36),"  ")</f>
        <v>  </v>
      </c>
      <c r="B26" s="203" t="str">
        <f>IF(('no levy page12'!$C$60)&lt;&gt;0,('no levy page12'!$C$60),"  ")</f>
        <v>  </v>
      </c>
      <c r="C26" s="163"/>
      <c r="D26" s="203" t="str">
        <f>IF(('no levy page12'!$D$60)&lt;&gt;0,('no levy page12'!$D$60),"  ")</f>
        <v>  </v>
      </c>
      <c r="E26" s="163"/>
      <c r="F26" s="203" t="str">
        <f>IF(('no levy page12'!$E$60)&lt;&gt;0,('no levy page12'!$E$60),"  ")</f>
        <v>  </v>
      </c>
      <c r="G26" s="163"/>
      <c r="H26" s="163"/>
      <c r="J26" s="474" t="str">
        <f>CONCATENATE("",H1-1," Mill Rate Was:")</f>
        <v>2012 Mill Rate Was:</v>
      </c>
      <c r="K26" s="480"/>
      <c r="L26" s="480"/>
      <c r="M26" s="472">
        <f>E31</f>
        <v>48.815</v>
      </c>
    </row>
    <row r="27" spans="1:13" ht="15.75">
      <c r="A27" s="72" t="str">
        <f>IF((inputPrYr!$B37&gt;"  "),(inputPrYr!$B37),"  ")</f>
        <v>  </v>
      </c>
      <c r="B27" s="203" t="str">
        <f>IF(('no levy page13'!$C$29)&lt;&gt;0,('no levy page13'!$C$29),"  ")</f>
        <v>  </v>
      </c>
      <c r="C27" s="163"/>
      <c r="D27" s="203" t="str">
        <f>IF(('no levy page13'!$D$29)&lt;&gt;0,('no levy page13'!$D$29),"  ")</f>
        <v>  </v>
      </c>
      <c r="E27" s="163"/>
      <c r="F27" s="203" t="str">
        <f>IF(('no levy page13'!$E$29)&lt;&gt;0,('no levy page13'!$E$29),"  ")</f>
        <v>  </v>
      </c>
      <c r="G27" s="163"/>
      <c r="H27" s="163"/>
      <c r="J27" s="471" t="str">
        <f>CONCATENATE("",H1," Tax Levy Fund Expenditures Must Be")</f>
        <v>2013 Tax Levy Fund Expenditures Must Be</v>
      </c>
      <c r="K27" s="470"/>
      <c r="L27" s="470"/>
      <c r="M27" s="473"/>
    </row>
    <row r="28" spans="1:13" ht="15.75">
      <c r="A28" s="72" t="str">
        <f>IF((inputPrYr!$B38&gt;"  "),(inputPrYr!$B38),"  ")</f>
        <v>  </v>
      </c>
      <c r="B28" s="203" t="str">
        <f>IF(('no levy page13'!$C$60)&lt;&gt;0,('no levy page13'!$C$60),"  ")</f>
        <v>  </v>
      </c>
      <c r="C28" s="163"/>
      <c r="D28" s="203" t="str">
        <f>IF(('no levy page13'!$D$60)&lt;&gt;0,('no levy page13'!$D$60),"  ")</f>
        <v>  </v>
      </c>
      <c r="E28" s="163"/>
      <c r="F28" s="203" t="str">
        <f>IF(('no levy page13'!$E$60)&lt;&gt;0,('no levy page13'!$E$60),"  ")</f>
        <v>  </v>
      </c>
      <c r="G28" s="163"/>
      <c r="H28" s="163"/>
      <c r="J28" s="471" t="str">
        <f>IF(M28&gt;0,"Increased By:","")</f>
        <v>Increased By:</v>
      </c>
      <c r="K28" s="470"/>
      <c r="L28" s="470"/>
      <c r="M28" s="557">
        <f>IF(M35&lt;0,M35*-1,0)</f>
        <v>1583.0099999999948</v>
      </c>
    </row>
    <row r="29" spans="1:13" ht="15.75">
      <c r="A29" s="72" t="str">
        <f>IF((inputPrYr!$B40&gt;"  "),(inputPrYr!$B40),"  ")</f>
        <v>  </v>
      </c>
      <c r="B29" s="203" t="str">
        <f>IF((Sinnolevy14!$C$47)&lt;&gt;0,(Sinnolevy14!$C$47),"  ")</f>
        <v>  </v>
      </c>
      <c r="C29" s="163"/>
      <c r="D29" s="203" t="str">
        <f>IF((Sinnolevy14!$D$47)&lt;&gt;0,(Sinnolevy14!$D$47),"  ")</f>
        <v>  </v>
      </c>
      <c r="E29" s="163"/>
      <c r="F29" s="203" t="str">
        <f>IF((Sinnolevy14!$E$47)&lt;&gt;0,(Sinnolevy14!$E$47),"  ")</f>
        <v>  </v>
      </c>
      <c r="G29" s="163"/>
      <c r="H29" s="163"/>
      <c r="J29" s="558">
        <f>IF(M29&lt;0,"Reduced By:","")</f>
      </c>
      <c r="K29" s="506"/>
      <c r="L29" s="506"/>
      <c r="M29" s="559">
        <f>IF(M35&gt;0,M35*-1,0)</f>
        <v>0</v>
      </c>
    </row>
    <row r="30" spans="1:13" ht="16.5" thickBot="1">
      <c r="A30" s="72" t="str">
        <f>IF((inputPrYr!$B43&gt;"  "),(nonbud!$A3),"  ")</f>
        <v>Non-Budgeted Funds</v>
      </c>
      <c r="B30" s="462" t="str">
        <f>IF((nonbud!$K$28)&lt;&gt;0,(nonbud!$K$28),"  ")</f>
        <v>  </v>
      </c>
      <c r="C30" s="463"/>
      <c r="D30" s="462"/>
      <c r="E30" s="463"/>
      <c r="F30" s="462"/>
      <c r="G30" s="463"/>
      <c r="H30" s="463"/>
      <c r="J30" s="467"/>
      <c r="K30" s="467"/>
      <c r="L30" s="467"/>
      <c r="M30" s="467"/>
    </row>
    <row r="31" spans="1:13" ht="15.75">
      <c r="A31" s="527" t="s">
        <v>760</v>
      </c>
      <c r="B31" s="531">
        <f>SUM(B16:B30)</f>
        <v>15831</v>
      </c>
      <c r="C31" s="532">
        <f>SUM(C16:C22)</f>
        <v>48.97</v>
      </c>
      <c r="D31" s="531">
        <f>SUM(D16:D30)</f>
        <v>20272</v>
      </c>
      <c r="E31" s="532">
        <f>SUM(E16:E22)</f>
        <v>48.815</v>
      </c>
      <c r="F31" s="531">
        <f>SUM(F16:F30)</f>
        <v>49350</v>
      </c>
      <c r="G31" s="531">
        <f>SUM(G16:G30)</f>
        <v>8052.990000000005</v>
      </c>
      <c r="H31" s="532">
        <f>SUM(H16:H22)</f>
        <v>40.797</v>
      </c>
      <c r="J31" s="761" t="str">
        <f>CONCATENATE("Impact On Keeping The Same Mill Rate As For ",H1-1,"")</f>
        <v>Impact On Keeping The Same Mill Rate As For 2012</v>
      </c>
      <c r="K31" s="762"/>
      <c r="L31" s="762"/>
      <c r="M31" s="763"/>
    </row>
    <row r="32" spans="1:13" ht="15.75">
      <c r="A32" s="34" t="s">
        <v>69</v>
      </c>
      <c r="B32" s="519">
        <f>Transfers!$C$25</f>
        <v>6000</v>
      </c>
      <c r="C32" s="346"/>
      <c r="D32" s="519">
        <f>Transfers!$D$25</f>
        <v>6000</v>
      </c>
      <c r="E32" s="347"/>
      <c r="F32" s="519">
        <f>Transfers!$E$25</f>
        <v>10000</v>
      </c>
      <c r="G32" s="528"/>
      <c r="H32" s="529"/>
      <c r="I32" s="530"/>
      <c r="J32" s="474"/>
      <c r="K32" s="480"/>
      <c r="L32" s="480"/>
      <c r="M32" s="473"/>
    </row>
    <row r="33" spans="1:13" ht="16.5" thickBot="1">
      <c r="A33" s="34" t="s">
        <v>70</v>
      </c>
      <c r="B33" s="204">
        <f>B31-B32</f>
        <v>9831</v>
      </c>
      <c r="C33" s="117"/>
      <c r="D33" s="517">
        <f>D31-D32</f>
        <v>14272</v>
      </c>
      <c r="E33" s="346"/>
      <c r="F33" s="517">
        <f>F31-F32</f>
        <v>39350</v>
      </c>
      <c r="G33" s="28"/>
      <c r="H33" s="28"/>
      <c r="I33" s="142"/>
      <c r="J33" s="474" t="str">
        <f>CONCATENATE("",H1," Ad Valorem Tax Revenue:")</f>
        <v>2013 Ad Valorem Tax Revenue:</v>
      </c>
      <c r="K33" s="480"/>
      <c r="L33" s="480"/>
      <c r="M33" s="479">
        <f>G31</f>
        <v>8052.990000000005</v>
      </c>
    </row>
    <row r="34" spans="1:13" ht="16.5" thickTop="1">
      <c r="A34" s="34" t="s">
        <v>71</v>
      </c>
      <c r="B34" s="516">
        <f>inputPrYr!$E$61</f>
        <v>8358</v>
      </c>
      <c r="C34" s="117"/>
      <c r="D34" s="516">
        <f>inputPrYr!E30</f>
        <v>8959</v>
      </c>
      <c r="E34" s="117"/>
      <c r="F34" s="518"/>
      <c r="G34" s="117"/>
      <c r="H34" s="117"/>
      <c r="J34" s="474" t="str">
        <f>CONCATENATE("",H1-1," Ad Valorem Tax Revenue:")</f>
        <v>2012 Ad Valorem Tax Revenue:</v>
      </c>
      <c r="K34" s="480"/>
      <c r="L34" s="480"/>
      <c r="M34" s="466">
        <f>ROUND(F35*M26/1000,0)</f>
        <v>9636</v>
      </c>
    </row>
    <row r="35" spans="1:13" ht="15.75">
      <c r="A35" s="34" t="s">
        <v>72</v>
      </c>
      <c r="B35" s="203">
        <f>inputPrYr!$E$62</f>
        <v>140412</v>
      </c>
      <c r="C35" s="117"/>
      <c r="D35" s="203">
        <f>inputOth!D45</f>
        <v>183530</v>
      </c>
      <c r="E35" s="117"/>
      <c r="F35" s="519">
        <f>inputOth!B14</f>
        <v>197394</v>
      </c>
      <c r="G35" s="117"/>
      <c r="H35" s="117"/>
      <c r="J35" s="469" t="s">
        <v>749</v>
      </c>
      <c r="K35" s="468"/>
      <c r="L35" s="468"/>
      <c r="M35" s="476">
        <f>SUM(M33-M34)</f>
        <v>-1583.0099999999948</v>
      </c>
    </row>
    <row r="36" spans="1:13" ht="15.75">
      <c r="A36" s="34" t="s">
        <v>73</v>
      </c>
      <c r="B36" s="28"/>
      <c r="C36" s="28"/>
      <c r="D36" s="28"/>
      <c r="E36" s="28"/>
      <c r="F36" s="28"/>
      <c r="G36" s="117"/>
      <c r="H36" s="117"/>
      <c r="J36" s="475"/>
      <c r="K36" s="475"/>
      <c r="L36" s="475"/>
      <c r="M36" s="467"/>
    </row>
    <row r="37" spans="1:13" ht="15.75">
      <c r="A37" s="34" t="s">
        <v>74</v>
      </c>
      <c r="B37" s="348">
        <f>$H$1-3</f>
        <v>2010</v>
      </c>
      <c r="C37" s="28"/>
      <c r="D37" s="348">
        <f>$H$1-2</f>
        <v>2011</v>
      </c>
      <c r="E37" s="28"/>
      <c r="F37" s="348">
        <f>$H$1-1</f>
        <v>2012</v>
      </c>
      <c r="G37" s="117"/>
      <c r="H37" s="117"/>
      <c r="J37" s="761" t="s">
        <v>750</v>
      </c>
      <c r="K37" s="764"/>
      <c r="L37" s="764"/>
      <c r="M37" s="765"/>
    </row>
    <row r="38" spans="1:13" ht="15.75">
      <c r="A38" s="34" t="s">
        <v>75</v>
      </c>
      <c r="B38" s="203">
        <f>inputPrYr!$D$65</f>
        <v>0</v>
      </c>
      <c r="C38" s="28"/>
      <c r="D38" s="203">
        <f>inputPrYr!$E$65</f>
        <v>0</v>
      </c>
      <c r="E38" s="28"/>
      <c r="F38" s="203">
        <f>debt!$G$20</f>
        <v>0</v>
      </c>
      <c r="G38" s="28"/>
      <c r="H38" s="28"/>
      <c r="J38" s="474"/>
      <c r="K38" s="480"/>
      <c r="L38" s="480"/>
      <c r="M38" s="473"/>
    </row>
    <row r="39" spans="1:13" ht="15.75">
      <c r="A39" s="34" t="s">
        <v>76</v>
      </c>
      <c r="B39" s="203">
        <f>inputPrYr!$D$66</f>
        <v>0</v>
      </c>
      <c r="C39" s="28"/>
      <c r="D39" s="203">
        <f>inputPrYr!$E$66</f>
        <v>0</v>
      </c>
      <c r="E39" s="28"/>
      <c r="F39" s="203">
        <f>debt!$G$30</f>
        <v>0</v>
      </c>
      <c r="G39" s="28"/>
      <c r="H39" s="28"/>
      <c r="J39" s="474" t="str">
        <f>CONCATENATE("Current ",H1," Estimated Mill Rate:")</f>
        <v>Current 2013 Estimated Mill Rate:</v>
      </c>
      <c r="K39" s="480"/>
      <c r="L39" s="480"/>
      <c r="M39" s="472">
        <f>H31</f>
        <v>40.797</v>
      </c>
    </row>
    <row r="40" spans="1:13" ht="15.75">
      <c r="A40" s="33" t="s">
        <v>95</v>
      </c>
      <c r="B40" s="203">
        <f>inputPrYr!$D$67</f>
        <v>0</v>
      </c>
      <c r="C40" s="28"/>
      <c r="D40" s="203">
        <f>inputPrYr!$E$67</f>
        <v>0</v>
      </c>
      <c r="E40" s="28"/>
      <c r="F40" s="349">
        <f>debt!$G$39</f>
        <v>0</v>
      </c>
      <c r="G40" s="28"/>
      <c r="H40" s="28"/>
      <c r="J40" s="474" t="str">
        <f>CONCATENATE("Desired ",H1," Mill Rate:")</f>
        <v>Desired 2013 Mill Rate:</v>
      </c>
      <c r="K40" s="480"/>
      <c r="L40" s="480"/>
      <c r="M40" s="465">
        <v>46</v>
      </c>
    </row>
    <row r="41" spans="1:13" ht="15.75">
      <c r="A41" s="34" t="s">
        <v>171</v>
      </c>
      <c r="B41" s="203">
        <f>inputPrYr!$D$68</f>
        <v>0</v>
      </c>
      <c r="C41" s="28"/>
      <c r="D41" s="203">
        <f>inputPrYr!$E$68</f>
        <v>0</v>
      </c>
      <c r="E41" s="28"/>
      <c r="F41" s="203">
        <f>lpform!$G$32</f>
        <v>0</v>
      </c>
      <c r="G41" s="28"/>
      <c r="H41" s="28"/>
      <c r="J41" s="474" t="str">
        <f>CONCATENATE("",H1," Ad Valorem Tax:")</f>
        <v>2013 Ad Valorem Tax:</v>
      </c>
      <c r="K41" s="480"/>
      <c r="L41" s="480"/>
      <c r="M41" s="466">
        <f>ROUND(F35*M40/1000,0)</f>
        <v>9080</v>
      </c>
    </row>
    <row r="42" spans="1:13" ht="16.5" thickBot="1">
      <c r="A42" s="34" t="s">
        <v>77</v>
      </c>
      <c r="B42" s="204">
        <f>SUM(B38:B41)</f>
        <v>0</v>
      </c>
      <c r="C42" s="28"/>
      <c r="D42" s="204">
        <f>SUM(D38:D41)</f>
        <v>0</v>
      </c>
      <c r="E42" s="28"/>
      <c r="F42" s="204">
        <f>SUM(F38:F41)</f>
        <v>0</v>
      </c>
      <c r="G42" s="28"/>
      <c r="H42" s="28"/>
      <c r="J42" s="469" t="str">
        <f>CONCATENATE("",H1," Tax Levy Fund Exp. Changed By:")</f>
        <v>2013 Tax Levy Fund Exp. Changed By:</v>
      </c>
      <c r="K42" s="468"/>
      <c r="L42" s="468"/>
      <c r="M42" s="476">
        <f>IF(M40=0,0,(M41-G31))</f>
        <v>1027.0099999999948</v>
      </c>
    </row>
    <row r="43" spans="1:8" ht="16.5" thickTop="1">
      <c r="A43" s="34" t="s">
        <v>78</v>
      </c>
      <c r="B43" s="28"/>
      <c r="C43" s="28"/>
      <c r="D43" s="28"/>
      <c r="E43" s="28"/>
      <c r="F43" s="28"/>
      <c r="G43" s="28"/>
      <c r="H43" s="28"/>
    </row>
    <row r="44" spans="1:8" ht="15.75">
      <c r="A44" s="28"/>
      <c r="B44" s="28"/>
      <c r="C44" s="28"/>
      <c r="D44" s="28"/>
      <c r="E44" s="28"/>
      <c r="F44" s="28"/>
      <c r="G44" s="28"/>
      <c r="H44" s="28"/>
    </row>
    <row r="45" spans="1:8" ht="15.75">
      <c r="A45" s="759" t="str">
        <f>inputBudSum!B3</f>
        <v>Jacqueline Koch</v>
      </c>
      <c r="B45" s="760"/>
      <c r="C45" s="28"/>
      <c r="D45" s="28"/>
      <c r="E45" s="28"/>
      <c r="F45" s="28"/>
      <c r="G45" s="28"/>
      <c r="H45" s="28"/>
    </row>
    <row r="46" spans="1:8" ht="15.75">
      <c r="A46" s="770" t="str">
        <f>CONCATENATE("City Official Title: ",inputBudSum!B5,"")</f>
        <v>City Official Title: City Clerk</v>
      </c>
      <c r="B46" s="754"/>
      <c r="C46" s="28"/>
      <c r="D46" s="28"/>
      <c r="E46" s="28"/>
      <c r="F46" s="28"/>
      <c r="G46" s="28"/>
      <c r="H46" s="28"/>
    </row>
    <row r="47" spans="1:8" ht="15.75">
      <c r="A47" s="766"/>
      <c r="B47" s="767"/>
      <c r="C47" s="767"/>
      <c r="D47" s="28"/>
      <c r="E47" s="28"/>
      <c r="F47" s="28"/>
      <c r="G47" s="28"/>
      <c r="H47" s="28"/>
    </row>
    <row r="48" spans="1:8" ht="15.75">
      <c r="A48" s="199"/>
      <c r="B48" s="407"/>
      <c r="C48" s="28"/>
      <c r="D48" s="28"/>
      <c r="E48" s="28"/>
      <c r="F48" s="28"/>
      <c r="G48" s="28"/>
      <c r="H48" s="28"/>
    </row>
    <row r="49" spans="1:8" ht="15.75">
      <c r="A49" s="48"/>
      <c r="B49" s="117"/>
      <c r="C49" s="90"/>
      <c r="D49" s="28"/>
      <c r="E49" s="28"/>
      <c r="F49" s="28"/>
      <c r="G49" s="407"/>
      <c r="H49" s="28"/>
    </row>
    <row r="50" spans="1:8" ht="15.75">
      <c r="A50" s="28"/>
      <c r="B50" s="28"/>
      <c r="C50" s="28"/>
      <c r="D50" s="28"/>
      <c r="E50" s="28"/>
      <c r="F50" s="28"/>
      <c r="G50" s="28"/>
      <c r="H50" s="28"/>
    </row>
    <row r="51" spans="1:8" ht="15.75">
      <c r="A51" s="28"/>
      <c r="B51" s="28"/>
      <c r="C51" s="192" t="s">
        <v>79</v>
      </c>
      <c r="D51" s="288">
        <v>10</v>
      </c>
      <c r="E51" s="28"/>
      <c r="F51" s="28"/>
      <c r="G51" s="28"/>
      <c r="H51" s="28"/>
    </row>
    <row r="52" spans="1:8" ht="15.75">
      <c r="A52" s="10"/>
      <c r="B52" s="10"/>
      <c r="C52" s="10"/>
      <c r="D52" s="10"/>
      <c r="E52" s="10"/>
      <c r="F52" s="10"/>
      <c r="G52" s="10"/>
      <c r="H52" s="10"/>
    </row>
    <row r="53" spans="9:13" ht="15.75">
      <c r="I53" s="10"/>
      <c r="J53" s="10"/>
      <c r="K53" s="10"/>
      <c r="L53" s="10"/>
      <c r="M53" s="10"/>
    </row>
    <row r="92" spans="1:8" ht="15.75">
      <c r="A92" s="10"/>
      <c r="B92" s="10"/>
      <c r="C92" s="10"/>
      <c r="D92" s="10"/>
      <c r="E92" s="10"/>
      <c r="F92" s="10"/>
      <c r="G92" s="10"/>
      <c r="H92" s="10"/>
    </row>
    <row r="93" ht="15.75">
      <c r="I93" s="10"/>
    </row>
    <row r="103" spans="1:8" ht="15.75">
      <c r="A103" s="10"/>
      <c r="B103" s="10"/>
      <c r="C103" s="10"/>
      <c r="D103" s="10"/>
      <c r="E103" s="10"/>
      <c r="F103" s="10"/>
      <c r="G103" s="10"/>
      <c r="H103" s="10"/>
    </row>
    <row r="125" spans="1:15" ht="15.75">
      <c r="A125" s="10"/>
      <c r="B125" s="10"/>
      <c r="C125" s="10"/>
      <c r="D125" s="10"/>
      <c r="E125" s="10"/>
      <c r="F125" s="10"/>
      <c r="G125" s="10"/>
      <c r="H125" s="10"/>
      <c r="I125" s="10"/>
      <c r="J125" s="10"/>
      <c r="K125" s="10"/>
      <c r="L125" s="10"/>
      <c r="M125" s="10"/>
      <c r="N125" s="10"/>
      <c r="O125" s="10"/>
    </row>
    <row r="169" spans="1:17" ht="15.75">
      <c r="A169" s="10"/>
      <c r="B169" s="10"/>
      <c r="C169" s="10"/>
      <c r="D169" s="10"/>
      <c r="E169" s="10"/>
      <c r="F169" s="10"/>
      <c r="G169" s="10"/>
      <c r="H169" s="10"/>
      <c r="I169" s="10"/>
      <c r="J169" s="10"/>
      <c r="K169" s="10"/>
      <c r="L169" s="10"/>
      <c r="M169" s="10"/>
      <c r="N169" s="10"/>
      <c r="O169" s="10"/>
      <c r="P169" s="10"/>
      <c r="Q169" s="10"/>
    </row>
  </sheetData>
  <sheetProtection sheet="1"/>
  <mergeCells count="13">
    <mergeCell ref="A7:H7"/>
    <mergeCell ref="A8:H8"/>
    <mergeCell ref="A2:H2"/>
    <mergeCell ref="A4:H4"/>
    <mergeCell ref="A5:H5"/>
    <mergeCell ref="A6:H6"/>
    <mergeCell ref="A45:B45"/>
    <mergeCell ref="J31:M31"/>
    <mergeCell ref="J37:M37"/>
    <mergeCell ref="A47:C47"/>
    <mergeCell ref="J20:M20"/>
    <mergeCell ref="J24:M24"/>
    <mergeCell ref="A46:B46"/>
  </mergeCells>
  <printOptions/>
  <pageMargins left="0.5" right="0.5" top="1" bottom="0.5" header="0.5" footer="0.5"/>
  <pageSetup blackAndWhite="1" fitToHeight="1" fitToWidth="1" horizontalDpi="600" verticalDpi="60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3">
      <selection activeCell="C35" sqref="C35"/>
    </sheetView>
  </sheetViews>
  <sheetFormatPr defaultColWidth="8.796875" defaultRowHeight="15"/>
  <cols>
    <col min="1" max="1" width="12" style="88" customWidth="1"/>
    <col min="2" max="2" width="19.69921875" style="88" customWidth="1"/>
    <col min="3" max="5" width="11.796875" style="88" customWidth="1"/>
    <col min="6" max="16384" width="8.8984375" style="88" customWidth="1"/>
  </cols>
  <sheetData>
    <row r="1" spans="1:6" ht="15.75">
      <c r="A1" s="350" t="str">
        <f>inputPrYr!D3</f>
        <v>City of Vining</v>
      </c>
      <c r="B1" s="25"/>
      <c r="C1" s="25"/>
      <c r="D1" s="25"/>
      <c r="E1" s="25"/>
      <c r="F1" s="25">
        <f>inputPrYr!C10</f>
        <v>2013</v>
      </c>
    </row>
    <row r="2" spans="1:6" ht="15.75">
      <c r="A2" s="350"/>
      <c r="B2" s="25"/>
      <c r="C2" s="25"/>
      <c r="D2" s="25"/>
      <c r="E2" s="25"/>
      <c r="F2" s="25"/>
    </row>
    <row r="3" spans="1:6" ht="15.75">
      <c r="A3" s="25"/>
      <c r="B3" s="25"/>
      <c r="C3" s="25"/>
      <c r="D3" s="25"/>
      <c r="E3" s="25"/>
      <c r="F3" s="25"/>
    </row>
    <row r="4" spans="1:6" ht="15.75">
      <c r="A4" s="28"/>
      <c r="B4" s="727" t="str">
        <f>CONCATENATE("",F1," Neighborhood Revitalization Rebate")</f>
        <v>2013 Neighborhood Revitalization Rebate</v>
      </c>
      <c r="C4" s="773"/>
      <c r="D4" s="773"/>
      <c r="E4" s="774"/>
      <c r="F4" s="25"/>
    </row>
    <row r="5" spans="1:6" ht="15.75">
      <c r="A5" s="28"/>
      <c r="B5" s="28"/>
      <c r="C5" s="28"/>
      <c r="D5" s="28"/>
      <c r="E5" s="28"/>
      <c r="F5" s="25"/>
    </row>
    <row r="6" spans="1:6" ht="51.75" customHeight="1">
      <c r="A6" s="28"/>
      <c r="B6" s="351" t="str">
        <f>CONCATENATE("Budgeted Funds               for ",F1,"")</f>
        <v>Budgeted Funds               for 2013</v>
      </c>
      <c r="C6" s="351" t="str">
        <f>CONCATENATE("",F1-1," Ad Valorem before Rebate**")</f>
        <v>2012 Ad Valorem before Rebate**</v>
      </c>
      <c r="D6" s="352" t="str">
        <f>CONCATENATE("",F1-1," Mil Rate before Rebate")</f>
        <v>2012 Mil Rate before Rebate</v>
      </c>
      <c r="E6" s="353" t="str">
        <f>CONCATENATE("Estimate ",F1," NR Rebate")</f>
        <v>Estimate 2013 NR Rebate</v>
      </c>
      <c r="F6" s="25"/>
    </row>
    <row r="7" spans="1:6" ht="15.75">
      <c r="A7" s="28"/>
      <c r="B7" s="50" t="str">
        <f>inputPrYr!B22</f>
        <v>General</v>
      </c>
      <c r="C7" s="354"/>
      <c r="D7" s="355">
        <f aca="true" t="shared" si="0" ref="D7:D13">IF(C7&gt;0,C7/$D$19,"")</f>
      </c>
      <c r="E7" s="203">
        <f aca="true" t="shared" si="1" ref="E7:E12">IF(C7&gt;0,ROUND(D7*$D$23,0),"")</f>
      </c>
      <c r="F7" s="25"/>
    </row>
    <row r="8" spans="1:6" ht="15.75">
      <c r="A8" s="28"/>
      <c r="B8" s="50" t="str">
        <f>IF(inputPrYr!B23&gt;"",inputPrYr!B23,"")</f>
        <v>Debt Service</v>
      </c>
      <c r="C8" s="354"/>
      <c r="D8" s="355">
        <f t="shared" si="0"/>
      </c>
      <c r="E8" s="203">
        <f t="shared" si="1"/>
      </c>
      <c r="F8" s="25"/>
    </row>
    <row r="9" spans="1:6" ht="15.75">
      <c r="A9" s="28"/>
      <c r="B9" s="72" t="str">
        <f>IF((inputPrYr!$B24&gt;"  "),(inputPrYr!$B24),"  ")</f>
        <v>Library</v>
      </c>
      <c r="C9" s="354"/>
      <c r="D9" s="355">
        <f t="shared" si="0"/>
      </c>
      <c r="E9" s="203">
        <f t="shared" si="1"/>
      </c>
      <c r="F9" s="25"/>
    </row>
    <row r="10" spans="1:6" ht="15.75">
      <c r="A10" s="28"/>
      <c r="B10" s="72" t="str">
        <f>IF((inputPrYr!$B26&gt;"  "),(inputPrYr!$B26),"  ")</f>
        <v>  </v>
      </c>
      <c r="C10" s="354"/>
      <c r="D10" s="355">
        <f t="shared" si="0"/>
      </c>
      <c r="E10" s="203">
        <f t="shared" si="1"/>
      </c>
      <c r="F10" s="25"/>
    </row>
    <row r="11" spans="1:6" ht="15.75">
      <c r="A11" s="28"/>
      <c r="B11" s="72" t="str">
        <f>IF((inputPrYr!$B27&gt;"  "),(inputPrYr!$B27),"  ")</f>
        <v>  </v>
      </c>
      <c r="C11" s="354"/>
      <c r="D11" s="355">
        <f t="shared" si="0"/>
      </c>
      <c r="E11" s="203">
        <f t="shared" si="1"/>
      </c>
      <c r="F11" s="25"/>
    </row>
    <row r="12" spans="1:6" ht="15.75">
      <c r="A12" s="28"/>
      <c r="B12" s="72" t="str">
        <f>IF((inputPrYr!$B28&gt;"  "),(inputPrYr!$B28),"  ")</f>
        <v>  </v>
      </c>
      <c r="C12" s="354"/>
      <c r="D12" s="355">
        <f t="shared" si="0"/>
      </c>
      <c r="E12" s="203">
        <f t="shared" si="1"/>
      </c>
      <c r="F12" s="25"/>
    </row>
    <row r="13" spans="1:6" ht="15.75">
      <c r="A13" s="28"/>
      <c r="B13" s="72" t="str">
        <f>IF((inputPrYr!B29&gt;"  "),(inputPrYr!B29),"  ")</f>
        <v>  </v>
      </c>
      <c r="C13" s="406"/>
      <c r="D13" s="355">
        <f t="shared" si="0"/>
      </c>
      <c r="E13" s="203">
        <f>IF(C13&gt;0,ROUND(D13*$D$23,0),"")</f>
      </c>
      <c r="F13" s="25"/>
    </row>
    <row r="14" spans="1:6" ht="16.5" thickBot="1">
      <c r="A14" s="28"/>
      <c r="B14" s="51" t="s">
        <v>42</v>
      </c>
      <c r="C14" s="356">
        <f>SUM(C7:C13)</f>
        <v>0</v>
      </c>
      <c r="D14" s="357">
        <f>SUM(D7:D13)</f>
        <v>0</v>
      </c>
      <c r="E14" s="356">
        <f>SUM(E7:E13)</f>
        <v>0</v>
      </c>
      <c r="F14" s="25"/>
    </row>
    <row r="15" spans="1:6" ht="16.5" thickTop="1">
      <c r="A15" s="28"/>
      <c r="B15" s="28"/>
      <c r="C15" s="28"/>
      <c r="D15" s="28"/>
      <c r="E15" s="28"/>
      <c r="F15" s="25"/>
    </row>
    <row r="16" spans="1:6" ht="15.75">
      <c r="A16" s="28"/>
      <c r="B16" s="28"/>
      <c r="C16" s="28"/>
      <c r="D16" s="28"/>
      <c r="E16" s="28"/>
      <c r="F16" s="25"/>
    </row>
    <row r="17" spans="1:6" ht="15.75">
      <c r="A17" s="775" t="str">
        <f>CONCATENATE("",F1-1," July 1 Valuation:")</f>
        <v>2012 July 1 Valuation:</v>
      </c>
      <c r="B17" s="749"/>
      <c r="C17" s="775"/>
      <c r="D17" s="345">
        <f>(inputOth!B14)</f>
        <v>197394</v>
      </c>
      <c r="E17" s="28"/>
      <c r="F17" s="25"/>
    </row>
    <row r="18" spans="1:6" ht="15.75">
      <c r="A18" s="28"/>
      <c r="B18" s="28"/>
      <c r="C18" s="28"/>
      <c r="D18" s="28"/>
      <c r="E18" s="28"/>
      <c r="F18" s="25"/>
    </row>
    <row r="19" spans="1:6" ht="15.75">
      <c r="A19" s="28"/>
      <c r="B19" s="775" t="s">
        <v>376</v>
      </c>
      <c r="C19" s="775"/>
      <c r="D19" s="358">
        <f>IF(D17&gt;0,(D17*0.001),"")</f>
        <v>197.394</v>
      </c>
      <c r="E19" s="28"/>
      <c r="F19" s="25"/>
    </row>
    <row r="20" spans="1:6" ht="15.75">
      <c r="A20" s="28"/>
      <c r="B20" s="192"/>
      <c r="C20" s="192"/>
      <c r="D20" s="359"/>
      <c r="E20" s="28"/>
      <c r="F20" s="25"/>
    </row>
    <row r="21" spans="1:6" ht="15.75">
      <c r="A21" s="772" t="s">
        <v>377</v>
      </c>
      <c r="B21" s="774"/>
      <c r="C21" s="774"/>
      <c r="D21" s="360">
        <f>inputOth!E25</f>
        <v>13662</v>
      </c>
      <c r="E21" s="90"/>
      <c r="F21" s="90"/>
    </row>
    <row r="22" spans="1:6" ht="15">
      <c r="A22" s="90"/>
      <c r="B22" s="90"/>
      <c r="C22" s="90"/>
      <c r="D22" s="26"/>
      <c r="E22" s="90"/>
      <c r="F22" s="90"/>
    </row>
    <row r="23" spans="1:6" ht="15.75">
      <c r="A23" s="90"/>
      <c r="B23" s="772" t="s">
        <v>378</v>
      </c>
      <c r="C23" s="749"/>
      <c r="D23" s="361">
        <f>IF(D21&gt;0,(D21*0.001),"")</f>
        <v>13.662</v>
      </c>
      <c r="E23" s="90"/>
      <c r="F23" s="90"/>
    </row>
    <row r="24" spans="1:6" ht="15">
      <c r="A24" s="90"/>
      <c r="B24" s="90"/>
      <c r="C24" s="90"/>
      <c r="D24" s="90"/>
      <c r="E24" s="90"/>
      <c r="F24" s="90"/>
    </row>
    <row r="25" spans="1:6" ht="15">
      <c r="A25" s="90"/>
      <c r="B25" s="90"/>
      <c r="C25" s="90"/>
      <c r="D25" s="90"/>
      <c r="E25" s="90"/>
      <c r="F25" s="90"/>
    </row>
    <row r="26" spans="1:6" ht="15">
      <c r="A26" s="90"/>
      <c r="B26" s="90"/>
      <c r="C26" s="90"/>
      <c r="D26" s="90"/>
      <c r="E26" s="90"/>
      <c r="F26" s="90"/>
    </row>
    <row r="27" spans="1:6" ht="15.75">
      <c r="A27" s="389" t="str">
        <f>CONCATENATE("**This information comes from the ",F1," Budget Summary page.  See instructions tab #13 for completing")</f>
        <v>**This information comes from the 2013 Budget Summary page.  See instructions tab #13 for completing</v>
      </c>
      <c r="B27" s="90"/>
      <c r="C27" s="90"/>
      <c r="D27" s="90"/>
      <c r="E27" s="90"/>
      <c r="F27" s="90"/>
    </row>
    <row r="28" spans="1:6" ht="15.75">
      <c r="A28" s="389" t="s">
        <v>648</v>
      </c>
      <c r="B28" s="90"/>
      <c r="C28" s="90"/>
      <c r="D28" s="90"/>
      <c r="E28" s="90"/>
      <c r="F28" s="90"/>
    </row>
    <row r="29" spans="1:6" ht="15.75">
      <c r="A29" s="389"/>
      <c r="B29" s="90"/>
      <c r="C29" s="90"/>
      <c r="D29" s="90"/>
      <c r="E29" s="90"/>
      <c r="F29" s="90"/>
    </row>
    <row r="30" spans="1:6" ht="15.75">
      <c r="A30" s="389"/>
      <c r="B30" s="90"/>
      <c r="C30" s="90"/>
      <c r="D30" s="90"/>
      <c r="E30" s="90"/>
      <c r="F30" s="90"/>
    </row>
    <row r="31" spans="1:6" ht="15.75">
      <c r="A31" s="389"/>
      <c r="B31" s="90"/>
      <c r="C31" s="90"/>
      <c r="D31" s="90"/>
      <c r="E31" s="90"/>
      <c r="F31" s="90"/>
    </row>
    <row r="32" spans="1:6" ht="15.75">
      <c r="A32" s="389"/>
      <c r="B32" s="90"/>
      <c r="C32" s="90"/>
      <c r="D32" s="90"/>
      <c r="E32" s="90"/>
      <c r="F32" s="90"/>
    </row>
    <row r="33" spans="1:6" ht="15.75">
      <c r="A33" s="389"/>
      <c r="B33" s="90"/>
      <c r="C33" s="90"/>
      <c r="D33" s="90"/>
      <c r="E33" s="90"/>
      <c r="F33" s="90"/>
    </row>
    <row r="34" spans="1:6" ht="15">
      <c r="A34" s="90"/>
      <c r="B34" s="90"/>
      <c r="C34" s="90"/>
      <c r="D34" s="90"/>
      <c r="E34" s="90"/>
      <c r="F34" s="90"/>
    </row>
    <row r="35" spans="1:6" ht="15.75">
      <c r="A35" s="90"/>
      <c r="B35" s="286" t="s">
        <v>62</v>
      </c>
      <c r="C35" s="288">
        <v>11</v>
      </c>
      <c r="D35" s="90"/>
      <c r="E35" s="90"/>
      <c r="F35" s="90"/>
    </row>
  </sheetData>
  <sheetProtection sheet="1"/>
  <mergeCells count="5">
    <mergeCell ref="B23:C23"/>
    <mergeCell ref="B4:E4"/>
    <mergeCell ref="A17:C17"/>
    <mergeCell ref="B19:C19"/>
    <mergeCell ref="A21:C21"/>
  </mergeCells>
  <printOptions/>
  <pageMargins left="0.75" right="0.75" top="1" bottom="1" header="0.5" footer="0.5"/>
  <pageSetup blackAndWhite="1" fitToHeight="1" fitToWidth="1" horizontalDpi="600" verticalDpi="600" orientation="portrait" scale="98"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23" sqref="A23"/>
    </sheetView>
  </sheetViews>
  <sheetFormatPr defaultColWidth="8.796875" defaultRowHeight="15"/>
  <sheetData>
    <row r="1" spans="1:7" ht="16.5" customHeight="1">
      <c r="A1" s="778" t="s">
        <v>177</v>
      </c>
      <c r="B1" s="778"/>
      <c r="C1" s="778"/>
      <c r="D1" s="778"/>
      <c r="E1" s="778"/>
      <c r="F1" s="778"/>
      <c r="G1" s="778"/>
    </row>
    <row r="2" spans="1:7" ht="16.5" customHeight="1">
      <c r="A2" s="778"/>
      <c r="B2" s="778"/>
      <c r="C2" s="778"/>
      <c r="D2" s="778"/>
      <c r="E2" s="778"/>
      <c r="F2" s="778"/>
      <c r="G2" s="778"/>
    </row>
    <row r="3" spans="1:7" ht="16.5" customHeight="1">
      <c r="A3" s="779"/>
      <c r="B3" s="779"/>
      <c r="C3" s="779"/>
      <c r="D3" s="779"/>
      <c r="E3" s="779"/>
      <c r="F3" s="779"/>
      <c r="G3" s="779"/>
    </row>
    <row r="4" spans="1:7" ht="16.5" customHeight="1">
      <c r="A4" s="776" t="str">
        <f>CONCATENATE("AN ORDINANCE ATTESTING TO AN INCREASE IN TAX REVENUES FOR BUDGET YEAR ",(inputPrYr!$C$10)," FOR THE ",(inputPrYr!$D$3))</f>
        <v>AN ORDINANCE ATTESTING TO AN INCREASE IN TAX REVENUES FOR BUDGET YEAR 2013 FOR THE City of Vining</v>
      </c>
      <c r="B4" s="776"/>
      <c r="C4" s="776"/>
      <c r="D4" s="776"/>
      <c r="E4" s="776"/>
      <c r="F4" s="776"/>
      <c r="G4" s="776"/>
    </row>
    <row r="5" spans="1:7" ht="16.5" customHeight="1">
      <c r="A5" s="776"/>
      <c r="B5" s="776"/>
      <c r="C5" s="776"/>
      <c r="D5" s="776"/>
      <c r="E5" s="776"/>
      <c r="F5" s="776"/>
      <c r="G5" s="776"/>
    </row>
    <row r="6" spans="1:7" ht="16.5" customHeight="1">
      <c r="A6" s="778"/>
      <c r="B6" s="778"/>
      <c r="C6" s="778"/>
      <c r="D6" s="778"/>
      <c r="E6" s="778"/>
      <c r="F6" s="778"/>
      <c r="G6" s="778"/>
    </row>
    <row r="7" spans="1:14" ht="16.5" customHeight="1">
      <c r="A7" s="776" t="str">
        <f>CONCATENATE("WHEREAS, the  ",(inputPrYr!$D$3)," must continue to provide services to protect the health, safety, and welfare of the citizens of this community; and")</f>
        <v>WHEREAS, the  City of Vining must continue to provide services to protect the health, safety, and welfare of the citizens of this community; and</v>
      </c>
      <c r="B7" s="776"/>
      <c r="C7" s="776"/>
      <c r="D7" s="776"/>
      <c r="E7" s="776"/>
      <c r="F7" s="776"/>
      <c r="G7" s="776"/>
      <c r="H7" s="2"/>
      <c r="I7" s="2"/>
      <c r="J7" s="2"/>
      <c r="K7" s="2"/>
      <c r="L7" s="2"/>
      <c r="M7" s="2"/>
      <c r="N7" s="2"/>
    </row>
    <row r="8" spans="1:14" ht="16.5" customHeight="1">
      <c r="A8" s="776"/>
      <c r="B8" s="776"/>
      <c r="C8" s="776"/>
      <c r="D8" s="776"/>
      <c r="E8" s="776"/>
      <c r="F8" s="776"/>
      <c r="G8" s="776"/>
      <c r="H8" s="2"/>
      <c r="I8" s="2"/>
      <c r="J8" s="2"/>
      <c r="K8" s="2"/>
      <c r="L8" s="2"/>
      <c r="M8" s="2"/>
      <c r="N8" s="2"/>
    </row>
    <row r="9" spans="1:7" ht="16.5" customHeight="1">
      <c r="A9" s="5"/>
      <c r="B9" s="5"/>
      <c r="C9" s="5"/>
      <c r="D9" s="5"/>
      <c r="E9" s="5"/>
      <c r="F9" s="5"/>
      <c r="G9" s="5"/>
    </row>
    <row r="10" spans="1:7" ht="16.5" customHeight="1">
      <c r="A10" s="776" t="s">
        <v>178</v>
      </c>
      <c r="B10" s="776"/>
      <c r="C10" s="776"/>
      <c r="D10" s="776"/>
      <c r="E10" s="776"/>
      <c r="F10" s="776"/>
      <c r="G10" s="776"/>
    </row>
    <row r="11" spans="1:7" ht="16.5" customHeight="1">
      <c r="A11" s="776"/>
      <c r="B11" s="776"/>
      <c r="C11" s="776"/>
      <c r="D11" s="776"/>
      <c r="E11" s="776"/>
      <c r="F11" s="776"/>
      <c r="G11" s="776"/>
    </row>
    <row r="12" spans="1:7" ht="16.5" customHeight="1">
      <c r="A12" s="5"/>
      <c r="B12" s="5"/>
      <c r="C12" s="5"/>
      <c r="D12" s="5"/>
      <c r="E12" s="5"/>
      <c r="F12" s="5"/>
      <c r="G12" s="5"/>
    </row>
    <row r="13" spans="1:14" ht="16.5" customHeight="1">
      <c r="A13" s="776" t="str">
        <f>CONCATENATE("NOW THEREFORE, be it ordained by the Governing Body of the ",(inputPrYr!$D$3),":")</f>
        <v>NOW THEREFORE, be it ordained by the Governing Body of the City of Vining:</v>
      </c>
      <c r="B13" s="776"/>
      <c r="C13" s="776"/>
      <c r="D13" s="776"/>
      <c r="E13" s="776"/>
      <c r="F13" s="776"/>
      <c r="G13" s="776"/>
      <c r="H13" s="2"/>
      <c r="I13" s="2"/>
      <c r="J13" s="2"/>
      <c r="K13" s="2"/>
      <c r="L13" s="2"/>
      <c r="M13" s="2"/>
      <c r="N13" s="2"/>
    </row>
    <row r="14" spans="1:14" ht="16.5" customHeight="1">
      <c r="A14" s="776"/>
      <c r="B14" s="776"/>
      <c r="C14" s="776"/>
      <c r="D14" s="776"/>
      <c r="E14" s="776"/>
      <c r="F14" s="776"/>
      <c r="G14" s="776"/>
      <c r="H14" s="2"/>
      <c r="I14" s="2"/>
      <c r="J14" s="2"/>
      <c r="K14" s="2"/>
      <c r="L14" s="2"/>
      <c r="M14" s="2"/>
      <c r="N14" s="2"/>
    </row>
    <row r="15" spans="1:14" ht="16.5" customHeight="1">
      <c r="A15" s="776" t="str">
        <f>CONCATENATE("Section One.  In accordance with state law, the ",(inputPrYr!$D$3),"  has scheduled a public hearing and has prepared the proposed budget necessary to fund city services from January 1, ",(inputPrYr!$C$10)," until December 31, ",(inputPrYr!$C$10),".")</f>
        <v>Section One.  In accordance with state law, the City of Vining  has scheduled a public hearing and has prepared the proposed budget necessary to fund city services from January 1, 2013 until December 31, 2013.</v>
      </c>
      <c r="B15" s="776"/>
      <c r="C15" s="776"/>
      <c r="D15" s="776"/>
      <c r="E15" s="776"/>
      <c r="F15" s="776"/>
      <c r="G15" s="776"/>
      <c r="H15" s="2"/>
      <c r="I15" s="2"/>
      <c r="J15" s="2"/>
      <c r="K15" s="2"/>
      <c r="L15" s="2"/>
      <c r="M15" s="2"/>
      <c r="N15" s="2"/>
    </row>
    <row r="16" spans="1:14" ht="16.5" customHeight="1">
      <c r="A16" s="776"/>
      <c r="B16" s="776"/>
      <c r="C16" s="776"/>
      <c r="D16" s="776"/>
      <c r="E16" s="776"/>
      <c r="F16" s="776"/>
      <c r="G16" s="776"/>
      <c r="H16" s="2"/>
      <c r="I16" s="2"/>
      <c r="J16" s="2"/>
      <c r="K16" s="2"/>
      <c r="L16" s="2"/>
      <c r="M16" s="2"/>
      <c r="N16" s="2"/>
    </row>
    <row r="17" spans="1:14" ht="16.5" customHeight="1">
      <c r="A17" s="776"/>
      <c r="B17" s="776"/>
      <c r="C17" s="776"/>
      <c r="D17" s="776"/>
      <c r="E17" s="776"/>
      <c r="F17" s="776"/>
      <c r="G17" s="776"/>
      <c r="H17" s="3"/>
      <c r="I17" s="3"/>
      <c r="J17" s="3"/>
      <c r="K17" s="3"/>
      <c r="L17" s="3"/>
      <c r="M17" s="3"/>
      <c r="N17" s="3"/>
    </row>
    <row r="18" spans="1:7" ht="16.5" customHeight="1">
      <c r="A18" s="6"/>
      <c r="B18" s="6"/>
      <c r="C18" s="6"/>
      <c r="D18" s="6"/>
      <c r="E18" s="6"/>
      <c r="F18" s="6"/>
      <c r="G18" s="6"/>
    </row>
    <row r="19" spans="1:7" ht="16.5" customHeight="1">
      <c r="A19" s="7" t="s">
        <v>7</v>
      </c>
      <c r="B19" s="7"/>
      <c r="C19" s="7"/>
      <c r="D19" s="7"/>
      <c r="E19" s="7"/>
      <c r="F19" s="7"/>
      <c r="G19" s="7"/>
    </row>
    <row r="20" spans="1:7" ht="16.5" customHeight="1">
      <c r="A20" s="7" t="s">
        <v>8</v>
      </c>
      <c r="B20" s="7"/>
      <c r="C20" s="7"/>
      <c r="D20" s="7"/>
      <c r="E20" s="7"/>
      <c r="F20" s="7"/>
      <c r="G20" s="7"/>
    </row>
    <row r="21" spans="1:7" ht="16.5" customHeight="1">
      <c r="A21" s="4" t="str">
        <f>CONCATENATE("necessary to budget property tax revenues in an amount exceeding the levy in the ",inputPrYr!$C$10-1,"")</f>
        <v>necessary to budget property tax revenues in an amount exceeding the levy in the 2012</v>
      </c>
      <c r="B21" s="4"/>
      <c r="C21" s="4"/>
      <c r="D21" s="4"/>
      <c r="E21" s="4"/>
      <c r="F21" s="4"/>
      <c r="G21" s="4"/>
    </row>
    <row r="22" spans="1:7" ht="16.5" customHeight="1">
      <c r="A22" s="4" t="s">
        <v>9</v>
      </c>
      <c r="B22" s="4"/>
      <c r="C22" s="4"/>
      <c r="D22" s="4"/>
      <c r="E22" s="4"/>
      <c r="F22" s="4"/>
      <c r="G22" s="4"/>
    </row>
    <row r="23" spans="1:7" ht="16.5" customHeight="1">
      <c r="A23" s="6"/>
      <c r="B23" s="6"/>
      <c r="C23" s="6"/>
      <c r="D23" s="6"/>
      <c r="E23" s="6"/>
      <c r="F23" s="6"/>
      <c r="G23" s="6"/>
    </row>
    <row r="24" spans="1:7" ht="16.5" customHeight="1">
      <c r="A24" s="776" t="s">
        <v>179</v>
      </c>
      <c r="B24" s="776"/>
      <c r="C24" s="776"/>
      <c r="D24" s="776"/>
      <c r="E24" s="776"/>
      <c r="F24" s="776"/>
      <c r="G24" s="776"/>
    </row>
    <row r="25" spans="1:7" ht="16.5" customHeight="1">
      <c r="A25" s="776"/>
      <c r="B25" s="776"/>
      <c r="C25" s="776"/>
      <c r="D25" s="776"/>
      <c r="E25" s="776"/>
      <c r="F25" s="776"/>
      <c r="G25" s="776"/>
    </row>
    <row r="26" spans="1:7" ht="16.5" customHeight="1">
      <c r="A26" s="6"/>
      <c r="B26" s="6"/>
      <c r="C26" s="6"/>
      <c r="D26" s="6"/>
      <c r="E26" s="6"/>
      <c r="F26" s="6"/>
      <c r="G26" s="6"/>
    </row>
    <row r="27" spans="1:7" ht="16.5" customHeight="1">
      <c r="A27" s="776" t="str">
        <f>CONCATENATE("Passed and approved by the Governing Body on this ______ day of __________, ",(inputPrYr!$C$10-1),".")</f>
        <v>Passed and approved by the Governing Body on this ______ day of __________, 2012.</v>
      </c>
      <c r="B27" s="776"/>
      <c r="C27" s="776"/>
      <c r="D27" s="776"/>
      <c r="E27" s="776"/>
      <c r="F27" s="776"/>
      <c r="G27" s="776"/>
    </row>
    <row r="28" spans="1:7" ht="16.5" customHeight="1">
      <c r="A28" s="776"/>
      <c r="B28" s="776"/>
      <c r="C28" s="776"/>
      <c r="D28" s="776"/>
      <c r="E28" s="776"/>
      <c r="F28" s="776"/>
      <c r="G28" s="776"/>
    </row>
    <row r="29" spans="1:7" ht="16.5" customHeight="1">
      <c r="A29" s="8"/>
      <c r="B29" s="1"/>
      <c r="C29" s="1"/>
      <c r="D29" s="1"/>
      <c r="E29" s="1"/>
      <c r="F29" s="1"/>
      <c r="G29" s="1"/>
    </row>
    <row r="30" spans="1:7" ht="16.5" customHeight="1">
      <c r="A30" s="777" t="s">
        <v>180</v>
      </c>
      <c r="B30" s="777"/>
      <c r="C30" s="777"/>
      <c r="D30" s="777"/>
      <c r="E30" s="777"/>
      <c r="F30" s="777"/>
      <c r="G30" s="777"/>
    </row>
    <row r="31" spans="1:7" ht="16.5" customHeight="1">
      <c r="A31" s="777" t="s">
        <v>181</v>
      </c>
      <c r="B31" s="777"/>
      <c r="C31" s="777"/>
      <c r="D31" s="777"/>
      <c r="E31" s="777"/>
      <c r="F31" s="777"/>
      <c r="G31" s="777"/>
    </row>
    <row r="32" spans="1:7" ht="16.5" customHeight="1">
      <c r="A32" s="8" t="s">
        <v>182</v>
      </c>
      <c r="B32" s="1"/>
      <c r="C32" s="1"/>
      <c r="D32" s="1"/>
      <c r="E32" s="1"/>
      <c r="F32" s="1"/>
      <c r="G32" s="1"/>
    </row>
    <row r="33" spans="1:7" ht="16.5" customHeight="1">
      <c r="A33" s="1"/>
      <c r="B33" s="8" t="s">
        <v>183</v>
      </c>
      <c r="C33" s="1"/>
      <c r="D33" s="1"/>
      <c r="E33" s="1"/>
      <c r="F33" s="1"/>
      <c r="G33" s="1"/>
    </row>
    <row r="34" spans="1:7" ht="16.5" customHeight="1">
      <c r="A34" s="8"/>
      <c r="B34" s="1"/>
      <c r="C34" s="1"/>
      <c r="D34" s="1"/>
      <c r="E34" s="1"/>
      <c r="F34" s="1"/>
      <c r="G34" s="1"/>
    </row>
    <row r="35" spans="1:7" ht="16.5" customHeight="1">
      <c r="A35" s="8"/>
      <c r="B35" s="1"/>
      <c r="C35" s="1"/>
      <c r="D35" s="1"/>
      <c r="E35" s="1"/>
      <c r="F35" s="1"/>
      <c r="G35" s="1"/>
    </row>
    <row r="36" spans="1:7" ht="16.5" customHeight="1">
      <c r="A36" s="8" t="s">
        <v>184</v>
      </c>
      <c r="B36" s="1"/>
      <c r="C36" s="1"/>
      <c r="D36" s="1"/>
      <c r="E36" s="1"/>
      <c r="F36" s="1"/>
      <c r="G36" s="1"/>
    </row>
    <row r="37" spans="1:7" ht="16.5" customHeight="1">
      <c r="A37" s="8"/>
      <c r="B37" s="1"/>
      <c r="C37" s="1"/>
      <c r="D37" s="1"/>
      <c r="E37" s="1"/>
      <c r="F37" s="1"/>
      <c r="G37" s="1"/>
    </row>
    <row r="38" spans="1:7" ht="16.5" customHeight="1">
      <c r="A38" s="8"/>
      <c r="B38" s="1"/>
      <c r="C38" s="1"/>
      <c r="D38" s="1"/>
      <c r="E38" s="1"/>
      <c r="F38" s="1"/>
      <c r="G38" s="1"/>
    </row>
    <row r="39" spans="1:7" ht="16.5" customHeight="1">
      <c r="A39" s="8"/>
      <c r="B39" s="1"/>
      <c r="C39" s="1"/>
      <c r="D39" s="1"/>
      <c r="E39" s="1"/>
      <c r="F39" s="1"/>
      <c r="G39" s="1"/>
    </row>
    <row r="40" spans="1:7" ht="16.5" customHeight="1">
      <c r="A40" s="8" t="s">
        <v>185</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73">
      <selection activeCell="A1" sqref="A1"/>
    </sheetView>
  </sheetViews>
  <sheetFormatPr defaultColWidth="8.796875" defaultRowHeight="15"/>
  <cols>
    <col min="1" max="1" width="71.296875" style="0" customWidth="1"/>
  </cols>
  <sheetData>
    <row r="3" spans="1:12" ht="15">
      <c r="A3" s="376" t="s">
        <v>423</v>
      </c>
      <c r="B3" s="376"/>
      <c r="C3" s="376"/>
      <c r="D3" s="376"/>
      <c r="E3" s="376"/>
      <c r="F3" s="376"/>
      <c r="G3" s="376"/>
      <c r="H3" s="376"/>
      <c r="I3" s="376"/>
      <c r="J3" s="376"/>
      <c r="K3" s="376"/>
      <c r="L3" s="376"/>
    </row>
    <row r="5" ht="15">
      <c r="A5" s="377" t="s">
        <v>424</v>
      </c>
    </row>
    <row r="6" ht="15">
      <c r="A6" s="377" t="str">
        <f>CONCATENATE(inputPrYr!C10-2," 'total expenditures' exceed your ",inputPrYr!C10-2," 'budget authority.'")</f>
        <v>2011 'total expenditures' exceed your 2011 'budget authority.'</v>
      </c>
    </row>
    <row r="7" ht="15">
      <c r="A7" s="377"/>
    </row>
    <row r="8" ht="15">
      <c r="A8" s="377" t="s">
        <v>425</v>
      </c>
    </row>
    <row r="9" ht="15">
      <c r="A9" s="377" t="s">
        <v>426</v>
      </c>
    </row>
    <row r="10" ht="15">
      <c r="A10" s="377" t="s">
        <v>427</v>
      </c>
    </row>
    <row r="11" ht="15">
      <c r="A11" s="377"/>
    </row>
    <row r="12" ht="15">
      <c r="A12" s="377"/>
    </row>
    <row r="13" ht="15">
      <c r="A13" s="378" t="s">
        <v>428</v>
      </c>
    </row>
    <row r="15" ht="15">
      <c r="A15" s="377" t="s">
        <v>429</v>
      </c>
    </row>
    <row r="16" ht="15">
      <c r="A16" s="377" t="str">
        <f>CONCATENATE("(i.e. an audit has not been completed, or the ",inputPrYr!C10," adopted")</f>
        <v>(i.e. an audit has not been completed, or the 2013 adopted</v>
      </c>
    </row>
    <row r="17" ht="15">
      <c r="A17" s="377" t="s">
        <v>430</v>
      </c>
    </row>
    <row r="18" ht="15">
      <c r="A18" s="377" t="s">
        <v>431</v>
      </c>
    </row>
    <row r="19" ht="15">
      <c r="A19" s="377" t="s">
        <v>432</v>
      </c>
    </row>
    <row r="21" ht="15">
      <c r="A21" s="378" t="s">
        <v>433</v>
      </c>
    </row>
    <row r="22" ht="15">
      <c r="A22" s="378"/>
    </row>
    <row r="23" ht="15">
      <c r="A23" s="377" t="s">
        <v>434</v>
      </c>
    </row>
    <row r="24" ht="15">
      <c r="A24" s="377" t="s">
        <v>435</v>
      </c>
    </row>
    <row r="25" ht="15">
      <c r="A25" s="377" t="str">
        <f>CONCATENATE("particular fund.  If your ",inputPrYr!C10-2," budget was amended, did you")</f>
        <v>particular fund.  If your 2011 budget was amended, did you</v>
      </c>
    </row>
    <row r="26" ht="15">
      <c r="A26" s="377" t="s">
        <v>436</v>
      </c>
    </row>
    <row r="27" ht="15">
      <c r="A27" s="377"/>
    </row>
    <row r="28" ht="15">
      <c r="A28" s="377" t="str">
        <f>CONCATENATE("Next, look to see if any of your ",inputPrYr!C10-2," expenditures can be")</f>
        <v>Next, look to see if any of your 2011 expenditures can be</v>
      </c>
    </row>
    <row r="29" ht="15">
      <c r="A29" s="377" t="s">
        <v>437</v>
      </c>
    </row>
    <row r="30" ht="15">
      <c r="A30" s="377" t="s">
        <v>438</v>
      </c>
    </row>
    <row r="31" ht="15">
      <c r="A31" s="377" t="s">
        <v>439</v>
      </c>
    </row>
    <row r="32" ht="15">
      <c r="A32" s="377"/>
    </row>
    <row r="33" ht="15">
      <c r="A33" s="377" t="str">
        <f>CONCATENATE("Additionally, do your ",inputPrYr!C10-2," receipts contain a reimbursement")</f>
        <v>Additionally, do your 2011 receipts contain a reimbursement</v>
      </c>
    </row>
    <row r="34" ht="15">
      <c r="A34" s="377" t="s">
        <v>440</v>
      </c>
    </row>
    <row r="35" ht="15">
      <c r="A35" s="377" t="s">
        <v>441</v>
      </c>
    </row>
    <row r="36" ht="15">
      <c r="A36" s="377"/>
    </row>
    <row r="37" ht="15">
      <c r="A37" s="377" t="s">
        <v>442</v>
      </c>
    </row>
    <row r="38" ht="15">
      <c r="A38" s="377" t="s">
        <v>443</v>
      </c>
    </row>
    <row r="39" ht="15">
      <c r="A39" s="377" t="s">
        <v>444</v>
      </c>
    </row>
    <row r="40" ht="15">
      <c r="A40" s="377" t="s">
        <v>445</v>
      </c>
    </row>
    <row r="41" ht="15">
      <c r="A41" s="377" t="s">
        <v>446</v>
      </c>
    </row>
    <row r="42" ht="15">
      <c r="A42" s="377" t="s">
        <v>447</v>
      </c>
    </row>
    <row r="43" ht="15">
      <c r="A43" s="377" t="s">
        <v>448</v>
      </c>
    </row>
    <row r="44" ht="15">
      <c r="A44" s="377" t="s">
        <v>449</v>
      </c>
    </row>
    <row r="45" ht="15">
      <c r="A45" s="377"/>
    </row>
    <row r="46" ht="15">
      <c r="A46" s="377" t="s">
        <v>450</v>
      </c>
    </row>
    <row r="47" ht="15">
      <c r="A47" s="377" t="s">
        <v>451</v>
      </c>
    </row>
    <row r="48" ht="15">
      <c r="A48" s="377" t="s">
        <v>452</v>
      </c>
    </row>
    <row r="49" ht="15">
      <c r="A49" s="377"/>
    </row>
    <row r="50" ht="15">
      <c r="A50" s="377" t="s">
        <v>453</v>
      </c>
    </row>
    <row r="51" ht="15">
      <c r="A51" s="377" t="s">
        <v>454</v>
      </c>
    </row>
    <row r="52" ht="15">
      <c r="A52" s="377" t="s">
        <v>455</v>
      </c>
    </row>
    <row r="53" ht="15">
      <c r="A53" s="377"/>
    </row>
    <row r="54" ht="15">
      <c r="A54" s="378" t="s">
        <v>456</v>
      </c>
    </row>
    <row r="55" ht="15">
      <c r="A55" s="377"/>
    </row>
    <row r="56" ht="15">
      <c r="A56" s="377" t="s">
        <v>457</v>
      </c>
    </row>
    <row r="57" ht="15">
      <c r="A57" s="377" t="s">
        <v>458</v>
      </c>
    </row>
    <row r="58" ht="15">
      <c r="A58" s="377" t="s">
        <v>459</v>
      </c>
    </row>
    <row r="59" ht="15">
      <c r="A59" s="377" t="s">
        <v>460</v>
      </c>
    </row>
    <row r="60" ht="15">
      <c r="A60" s="377" t="s">
        <v>461</v>
      </c>
    </row>
    <row r="61" ht="15">
      <c r="A61" s="377" t="s">
        <v>462</v>
      </c>
    </row>
    <row r="62" ht="15">
      <c r="A62" s="377" t="s">
        <v>463</v>
      </c>
    </row>
    <row r="63" ht="15">
      <c r="A63" s="377" t="s">
        <v>464</v>
      </c>
    </row>
    <row r="64" ht="15">
      <c r="A64" s="377" t="s">
        <v>465</v>
      </c>
    </row>
    <row r="65" ht="15">
      <c r="A65" s="377" t="s">
        <v>466</v>
      </c>
    </row>
    <row r="66" ht="15">
      <c r="A66" s="377" t="s">
        <v>467</v>
      </c>
    </row>
    <row r="67" ht="15">
      <c r="A67" s="377" t="s">
        <v>468</v>
      </c>
    </row>
    <row r="68" ht="15">
      <c r="A68" s="377" t="s">
        <v>469</v>
      </c>
    </row>
    <row r="69" ht="15">
      <c r="A69" s="377"/>
    </row>
    <row r="70" ht="15">
      <c r="A70" s="377" t="s">
        <v>470</v>
      </c>
    </row>
    <row r="71" ht="15">
      <c r="A71" s="377" t="s">
        <v>471</v>
      </c>
    </row>
    <row r="72" ht="15">
      <c r="A72" s="377" t="s">
        <v>472</v>
      </c>
    </row>
    <row r="73" ht="15">
      <c r="A73" s="377"/>
    </row>
    <row r="74" ht="15">
      <c r="A74" s="378" t="str">
        <f>CONCATENATE("What if the ",inputPrYr!C10-2," financial records have been closed?")</f>
        <v>What if the 2011 financial records have been closed?</v>
      </c>
    </row>
    <row r="76" ht="15">
      <c r="A76" s="377" t="s">
        <v>473</v>
      </c>
    </row>
    <row r="77" ht="15">
      <c r="A77" s="377" t="str">
        <f>CONCATENATE("(i.e. an audit for ",inputPrYr!C10-2," has been completed, or the ",inputPrYr!C10)</f>
        <v>(i.e. an audit for 2011 has been completed, or the 2013</v>
      </c>
    </row>
    <row r="78" ht="15">
      <c r="A78" s="377" t="s">
        <v>474</v>
      </c>
    </row>
    <row r="79" ht="15">
      <c r="A79" s="377" t="s">
        <v>475</v>
      </c>
    </row>
    <row r="80" ht="15">
      <c r="A80" s="377"/>
    </row>
    <row r="81" ht="15">
      <c r="A81" s="377" t="s">
        <v>476</v>
      </c>
    </row>
    <row r="82" ht="15">
      <c r="A82" s="377" t="s">
        <v>477</v>
      </c>
    </row>
    <row r="83" ht="15">
      <c r="A83" s="377" t="s">
        <v>478</v>
      </c>
    </row>
    <row r="84" ht="15">
      <c r="A84" s="377"/>
    </row>
    <row r="85" ht="15">
      <c r="A85" s="377" t="s">
        <v>479</v>
      </c>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58">
      <selection activeCell="A1" sqref="A1"/>
    </sheetView>
  </sheetViews>
  <sheetFormatPr defaultColWidth="8.796875" defaultRowHeight="15"/>
  <cols>
    <col min="1" max="1" width="71.296875" style="0" customWidth="1"/>
  </cols>
  <sheetData>
    <row r="3" spans="1:10" ht="15">
      <c r="A3" s="376" t="s">
        <v>480</v>
      </c>
      <c r="B3" s="376"/>
      <c r="C3" s="376"/>
      <c r="D3" s="376"/>
      <c r="E3" s="376"/>
      <c r="F3" s="376"/>
      <c r="G3" s="376"/>
      <c r="H3" s="379"/>
      <c r="I3" s="379"/>
      <c r="J3" s="379"/>
    </row>
    <row r="5" ht="15">
      <c r="A5" s="377" t="s">
        <v>481</v>
      </c>
    </row>
    <row r="6" ht="15">
      <c r="A6" t="str">
        <f>CONCATENATE(inputPrYr!C10-2," expenditures show that you finished the year with a ")</f>
        <v>2011 expenditures show that you finished the year with a </v>
      </c>
    </row>
    <row r="7" ht="15">
      <c r="A7" t="s">
        <v>482</v>
      </c>
    </row>
    <row r="9" ht="15">
      <c r="A9" t="s">
        <v>483</v>
      </c>
    </row>
    <row r="10" ht="15">
      <c r="A10" t="s">
        <v>484</v>
      </c>
    </row>
    <row r="11" ht="15">
      <c r="A11" t="s">
        <v>485</v>
      </c>
    </row>
    <row r="13" ht="15">
      <c r="A13" s="378" t="s">
        <v>486</v>
      </c>
    </row>
    <row r="14" ht="15">
      <c r="A14" s="378"/>
    </row>
    <row r="15" ht="15">
      <c r="A15" s="377" t="s">
        <v>487</v>
      </c>
    </row>
    <row r="16" ht="15">
      <c r="A16" s="377" t="s">
        <v>488</v>
      </c>
    </row>
    <row r="17" ht="15">
      <c r="A17" s="377" t="s">
        <v>489</v>
      </c>
    </row>
    <row r="18" ht="15">
      <c r="A18" s="377"/>
    </row>
    <row r="19" ht="15">
      <c r="A19" s="378" t="s">
        <v>490</v>
      </c>
    </row>
    <row r="20" ht="15">
      <c r="A20" s="378"/>
    </row>
    <row r="21" ht="15">
      <c r="A21" s="377" t="s">
        <v>491</v>
      </c>
    </row>
    <row r="22" ht="15">
      <c r="A22" s="377" t="s">
        <v>492</v>
      </c>
    </row>
    <row r="23" ht="15">
      <c r="A23" s="377" t="s">
        <v>493</v>
      </c>
    </row>
    <row r="24" ht="15">
      <c r="A24" s="377"/>
    </row>
    <row r="25" ht="15">
      <c r="A25" s="378" t="s">
        <v>494</v>
      </c>
    </row>
    <row r="26" ht="15">
      <c r="A26" s="378"/>
    </row>
    <row r="27" ht="15">
      <c r="A27" s="377" t="s">
        <v>495</v>
      </c>
    </row>
    <row r="28" ht="15">
      <c r="A28" s="377" t="s">
        <v>496</v>
      </c>
    </row>
    <row r="29" ht="15">
      <c r="A29" s="377" t="s">
        <v>497</v>
      </c>
    </row>
    <row r="30" ht="15">
      <c r="A30" s="377"/>
    </row>
    <row r="31" ht="15">
      <c r="A31" s="378" t="s">
        <v>498</v>
      </c>
    </row>
    <row r="32" ht="15">
      <c r="A32" s="378"/>
    </row>
    <row r="33" spans="1:8" ht="15">
      <c r="A33" s="377" t="str">
        <f>CONCATENATE("If your financial records for ",inputPrYr!C10-2," are not closed")</f>
        <v>If your financial records for 2011 are not closed</v>
      </c>
      <c r="B33" s="377"/>
      <c r="C33" s="377"/>
      <c r="D33" s="377"/>
      <c r="E33" s="377"/>
      <c r="F33" s="377"/>
      <c r="G33" s="377"/>
      <c r="H33" s="377"/>
    </row>
    <row r="34" spans="1:8" ht="15">
      <c r="A34" s="377" t="str">
        <f>CONCATENATE("(i.e. an audit has not been completed, or the ",inputPrYr!C10," adopted ")</f>
        <v>(i.e. an audit has not been completed, or the 2013 adopted </v>
      </c>
      <c r="B34" s="377"/>
      <c r="C34" s="377"/>
      <c r="D34" s="377"/>
      <c r="E34" s="377"/>
      <c r="F34" s="377"/>
      <c r="G34" s="377"/>
      <c r="H34" s="377"/>
    </row>
    <row r="35" spans="1:8" ht="15">
      <c r="A35" s="377" t="s">
        <v>499</v>
      </c>
      <c r="B35" s="377"/>
      <c r="C35" s="377"/>
      <c r="D35" s="377"/>
      <c r="E35" s="377"/>
      <c r="F35" s="377"/>
      <c r="G35" s="377"/>
      <c r="H35" s="377"/>
    </row>
    <row r="36" spans="1:8" ht="15">
      <c r="A36" s="377" t="s">
        <v>500</v>
      </c>
      <c r="B36" s="377"/>
      <c r="C36" s="377"/>
      <c r="D36" s="377"/>
      <c r="E36" s="377"/>
      <c r="F36" s="377"/>
      <c r="G36" s="377"/>
      <c r="H36" s="377"/>
    </row>
    <row r="37" spans="1:8" ht="15">
      <c r="A37" s="377" t="s">
        <v>501</v>
      </c>
      <c r="B37" s="377"/>
      <c r="C37" s="377"/>
      <c r="D37" s="377"/>
      <c r="E37" s="377"/>
      <c r="F37" s="377"/>
      <c r="G37" s="377"/>
      <c r="H37" s="377"/>
    </row>
    <row r="38" spans="1:8" ht="15">
      <c r="A38" s="377" t="s">
        <v>502</v>
      </c>
      <c r="B38" s="377"/>
      <c r="C38" s="377"/>
      <c r="D38" s="377"/>
      <c r="E38" s="377"/>
      <c r="F38" s="377"/>
      <c r="G38" s="377"/>
      <c r="H38" s="377"/>
    </row>
    <row r="39" spans="1:8" ht="15">
      <c r="A39" s="377" t="s">
        <v>503</v>
      </c>
      <c r="B39" s="377"/>
      <c r="C39" s="377"/>
      <c r="D39" s="377"/>
      <c r="E39" s="377"/>
      <c r="F39" s="377"/>
      <c r="G39" s="377"/>
      <c r="H39" s="377"/>
    </row>
    <row r="40" spans="1:8" ht="15">
      <c r="A40" s="377"/>
      <c r="B40" s="377"/>
      <c r="C40" s="377"/>
      <c r="D40" s="377"/>
      <c r="E40" s="377"/>
      <c r="F40" s="377"/>
      <c r="G40" s="377"/>
      <c r="H40" s="377"/>
    </row>
    <row r="41" spans="1:8" ht="15">
      <c r="A41" s="377" t="s">
        <v>504</v>
      </c>
      <c r="B41" s="377"/>
      <c r="C41" s="377"/>
      <c r="D41" s="377"/>
      <c r="E41" s="377"/>
      <c r="F41" s="377"/>
      <c r="G41" s="377"/>
      <c r="H41" s="377"/>
    </row>
    <row r="42" spans="1:8" ht="15">
      <c r="A42" s="377" t="s">
        <v>505</v>
      </c>
      <c r="B42" s="377"/>
      <c r="C42" s="377"/>
      <c r="D42" s="377"/>
      <c r="E42" s="377"/>
      <c r="F42" s="377"/>
      <c r="G42" s="377"/>
      <c r="H42" s="377"/>
    </row>
    <row r="43" spans="1:8" ht="15">
      <c r="A43" s="377" t="s">
        <v>506</v>
      </c>
      <c r="B43" s="377"/>
      <c r="C43" s="377"/>
      <c r="D43" s="377"/>
      <c r="E43" s="377"/>
      <c r="F43" s="377"/>
      <c r="G43" s="377"/>
      <c r="H43" s="377"/>
    </row>
    <row r="44" spans="1:8" ht="15">
      <c r="A44" s="377" t="s">
        <v>507</v>
      </c>
      <c r="B44" s="377"/>
      <c r="C44" s="377"/>
      <c r="D44" s="377"/>
      <c r="E44" s="377"/>
      <c r="F44" s="377"/>
      <c r="G44" s="377"/>
      <c r="H44" s="377"/>
    </row>
    <row r="45" spans="1:8" ht="15">
      <c r="A45" s="377"/>
      <c r="B45" s="377"/>
      <c r="C45" s="377"/>
      <c r="D45" s="377"/>
      <c r="E45" s="377"/>
      <c r="F45" s="377"/>
      <c r="G45" s="377"/>
      <c r="H45" s="377"/>
    </row>
    <row r="46" spans="1:8" ht="15">
      <c r="A46" s="377" t="s">
        <v>508</v>
      </c>
      <c r="B46" s="377"/>
      <c r="C46" s="377"/>
      <c r="D46" s="377"/>
      <c r="E46" s="377"/>
      <c r="F46" s="377"/>
      <c r="G46" s="377"/>
      <c r="H46" s="377"/>
    </row>
    <row r="47" spans="1:8" ht="15">
      <c r="A47" s="377" t="s">
        <v>509</v>
      </c>
      <c r="B47" s="377"/>
      <c r="C47" s="377"/>
      <c r="D47" s="377"/>
      <c r="E47" s="377"/>
      <c r="F47" s="377"/>
      <c r="G47" s="377"/>
      <c r="H47" s="377"/>
    </row>
    <row r="48" spans="1:8" ht="15">
      <c r="A48" s="377" t="s">
        <v>510</v>
      </c>
      <c r="B48" s="377"/>
      <c r="C48" s="377"/>
      <c r="D48" s="377"/>
      <c r="E48" s="377"/>
      <c r="F48" s="377"/>
      <c r="G48" s="377"/>
      <c r="H48" s="377"/>
    </row>
    <row r="49" spans="1:8" ht="15">
      <c r="A49" s="377" t="s">
        <v>511</v>
      </c>
      <c r="B49" s="377"/>
      <c r="C49" s="377"/>
      <c r="D49" s="377"/>
      <c r="E49" s="377"/>
      <c r="F49" s="377"/>
      <c r="G49" s="377"/>
      <c r="H49" s="377"/>
    </row>
    <row r="50" spans="1:8" ht="15">
      <c r="A50" s="377" t="s">
        <v>512</v>
      </c>
      <c r="B50" s="377"/>
      <c r="C50" s="377"/>
      <c r="D50" s="377"/>
      <c r="E50" s="377"/>
      <c r="F50" s="377"/>
      <c r="G50" s="377"/>
      <c r="H50" s="377"/>
    </row>
    <row r="51" spans="1:8" ht="15">
      <c r="A51" s="377"/>
      <c r="B51" s="377"/>
      <c r="C51" s="377"/>
      <c r="D51" s="377"/>
      <c r="E51" s="377"/>
      <c r="F51" s="377"/>
      <c r="G51" s="377"/>
      <c r="H51" s="377"/>
    </row>
    <row r="52" spans="1:8" ht="15">
      <c r="A52" s="378" t="s">
        <v>513</v>
      </c>
      <c r="B52" s="378"/>
      <c r="C52" s="378"/>
      <c r="D52" s="378"/>
      <c r="E52" s="378"/>
      <c r="F52" s="378"/>
      <c r="G52" s="378"/>
      <c r="H52" s="377"/>
    </row>
    <row r="53" spans="1:8" ht="15">
      <c r="A53" s="378" t="s">
        <v>514</v>
      </c>
      <c r="B53" s="378"/>
      <c r="C53" s="378"/>
      <c r="D53" s="378"/>
      <c r="E53" s="378"/>
      <c r="F53" s="378"/>
      <c r="G53" s="378"/>
      <c r="H53" s="377"/>
    </row>
    <row r="54" spans="1:8" ht="15">
      <c r="A54" s="377"/>
      <c r="B54" s="377"/>
      <c r="C54" s="377"/>
      <c r="D54" s="377"/>
      <c r="E54" s="377"/>
      <c r="F54" s="377"/>
      <c r="G54" s="377"/>
      <c r="H54" s="377"/>
    </row>
    <row r="55" spans="1:8" ht="15">
      <c r="A55" s="377" t="s">
        <v>515</v>
      </c>
      <c r="B55" s="377"/>
      <c r="C55" s="377"/>
      <c r="D55" s="377"/>
      <c r="E55" s="377"/>
      <c r="F55" s="377"/>
      <c r="G55" s="377"/>
      <c r="H55" s="377"/>
    </row>
    <row r="56" spans="1:8" ht="15">
      <c r="A56" s="377" t="s">
        <v>516</v>
      </c>
      <c r="B56" s="377"/>
      <c r="C56" s="377"/>
      <c r="D56" s="377"/>
      <c r="E56" s="377"/>
      <c r="F56" s="377"/>
      <c r="G56" s="377"/>
      <c r="H56" s="377"/>
    </row>
    <row r="57" spans="1:8" ht="15">
      <c r="A57" s="377" t="s">
        <v>517</v>
      </c>
      <c r="B57" s="377"/>
      <c r="C57" s="377"/>
      <c r="D57" s="377"/>
      <c r="E57" s="377"/>
      <c r="F57" s="377"/>
      <c r="G57" s="377"/>
      <c r="H57" s="377"/>
    </row>
    <row r="58" spans="1:8" ht="15">
      <c r="A58" s="377" t="s">
        <v>518</v>
      </c>
      <c r="B58" s="377"/>
      <c r="C58" s="377"/>
      <c r="D58" s="377"/>
      <c r="E58" s="377"/>
      <c r="F58" s="377"/>
      <c r="G58" s="377"/>
      <c r="H58" s="377"/>
    </row>
    <row r="59" spans="1:8" ht="15">
      <c r="A59" s="377"/>
      <c r="B59" s="377"/>
      <c r="C59" s="377"/>
      <c r="D59" s="377"/>
      <c r="E59" s="377"/>
      <c r="F59" s="377"/>
      <c r="G59" s="377"/>
      <c r="H59" s="377"/>
    </row>
    <row r="60" spans="1:8" ht="15">
      <c r="A60" s="377" t="s">
        <v>519</v>
      </c>
      <c r="B60" s="377"/>
      <c r="C60" s="377"/>
      <c r="D60" s="377"/>
      <c r="E60" s="377"/>
      <c r="F60" s="377"/>
      <c r="G60" s="377"/>
      <c r="H60" s="377"/>
    </row>
    <row r="61" spans="1:8" ht="15">
      <c r="A61" s="377" t="s">
        <v>520</v>
      </c>
      <c r="B61" s="377"/>
      <c r="C61" s="377"/>
      <c r="D61" s="377"/>
      <c r="E61" s="377"/>
      <c r="F61" s="377"/>
      <c r="G61" s="377"/>
      <c r="H61" s="377"/>
    </row>
    <row r="62" spans="1:8" ht="15">
      <c r="A62" s="377" t="s">
        <v>521</v>
      </c>
      <c r="B62" s="377"/>
      <c r="C62" s="377"/>
      <c r="D62" s="377"/>
      <c r="E62" s="377"/>
      <c r="F62" s="377"/>
      <c r="G62" s="377"/>
      <c r="H62" s="377"/>
    </row>
    <row r="63" spans="1:8" ht="15">
      <c r="A63" s="377" t="s">
        <v>522</v>
      </c>
      <c r="B63" s="377"/>
      <c r="C63" s="377"/>
      <c r="D63" s="377"/>
      <c r="E63" s="377"/>
      <c r="F63" s="377"/>
      <c r="G63" s="377"/>
      <c r="H63" s="377"/>
    </row>
    <row r="64" spans="1:8" ht="15">
      <c r="A64" s="377" t="s">
        <v>523</v>
      </c>
      <c r="B64" s="377"/>
      <c r="C64" s="377"/>
      <c r="D64" s="377"/>
      <c r="E64" s="377"/>
      <c r="F64" s="377"/>
      <c r="G64" s="377"/>
      <c r="H64" s="377"/>
    </row>
    <row r="65" spans="1:8" ht="15">
      <c r="A65" s="377" t="s">
        <v>524</v>
      </c>
      <c r="B65" s="377"/>
      <c r="C65" s="377"/>
      <c r="D65" s="377"/>
      <c r="E65" s="377"/>
      <c r="F65" s="377"/>
      <c r="G65" s="377"/>
      <c r="H65" s="377"/>
    </row>
    <row r="66" spans="1:8" ht="15">
      <c r="A66" s="377"/>
      <c r="B66" s="377"/>
      <c r="C66" s="377"/>
      <c r="D66" s="377"/>
      <c r="E66" s="377"/>
      <c r="F66" s="377"/>
      <c r="G66" s="377"/>
      <c r="H66" s="377"/>
    </row>
    <row r="67" spans="1:8" ht="15">
      <c r="A67" s="377" t="s">
        <v>525</v>
      </c>
      <c r="B67" s="377"/>
      <c r="C67" s="377"/>
      <c r="D67" s="377"/>
      <c r="E67" s="377"/>
      <c r="F67" s="377"/>
      <c r="G67" s="377"/>
      <c r="H67" s="377"/>
    </row>
    <row r="68" spans="1:8" ht="15">
      <c r="A68" s="377" t="s">
        <v>526</v>
      </c>
      <c r="B68" s="377"/>
      <c r="C68" s="377"/>
      <c r="D68" s="377"/>
      <c r="E68" s="377"/>
      <c r="F68" s="377"/>
      <c r="G68" s="377"/>
      <c r="H68" s="377"/>
    </row>
    <row r="69" spans="1:8" ht="15">
      <c r="A69" s="377" t="s">
        <v>527</v>
      </c>
      <c r="B69" s="377"/>
      <c r="C69" s="377"/>
      <c r="D69" s="377"/>
      <c r="E69" s="377"/>
      <c r="F69" s="377"/>
      <c r="G69" s="377"/>
      <c r="H69" s="377"/>
    </row>
    <row r="70" spans="1:8" ht="15">
      <c r="A70" s="377" t="s">
        <v>528</v>
      </c>
      <c r="B70" s="377"/>
      <c r="C70" s="377"/>
      <c r="D70" s="377"/>
      <c r="E70" s="377"/>
      <c r="F70" s="377"/>
      <c r="G70" s="377"/>
      <c r="H70" s="377"/>
    </row>
    <row r="71" spans="1:8" ht="15">
      <c r="A71" s="377" t="s">
        <v>529</v>
      </c>
      <c r="B71" s="377"/>
      <c r="C71" s="377"/>
      <c r="D71" s="377"/>
      <c r="E71" s="377"/>
      <c r="F71" s="377"/>
      <c r="G71" s="377"/>
      <c r="H71" s="377"/>
    </row>
    <row r="72" spans="1:8" ht="15">
      <c r="A72" s="377" t="s">
        <v>530</v>
      </c>
      <c r="B72" s="377"/>
      <c r="C72" s="377"/>
      <c r="D72" s="377"/>
      <c r="E72" s="377"/>
      <c r="F72" s="377"/>
      <c r="G72" s="377"/>
      <c r="H72" s="377"/>
    </row>
    <row r="73" spans="1:8" ht="15">
      <c r="A73" s="377" t="s">
        <v>531</v>
      </c>
      <c r="B73" s="377"/>
      <c r="C73" s="377"/>
      <c r="D73" s="377"/>
      <c r="E73" s="377"/>
      <c r="F73" s="377"/>
      <c r="G73" s="377"/>
      <c r="H73" s="377"/>
    </row>
    <row r="74" spans="1:8" ht="15">
      <c r="A74" s="377"/>
      <c r="B74" s="377"/>
      <c r="C74" s="377"/>
      <c r="D74" s="377"/>
      <c r="E74" s="377"/>
      <c r="F74" s="377"/>
      <c r="G74" s="377"/>
      <c r="H74" s="377"/>
    </row>
    <row r="75" spans="1:8" ht="15">
      <c r="A75" s="377" t="s">
        <v>532</v>
      </c>
      <c r="B75" s="377"/>
      <c r="C75" s="377"/>
      <c r="D75" s="377"/>
      <c r="E75" s="377"/>
      <c r="F75" s="377"/>
      <c r="G75" s="377"/>
      <c r="H75" s="377"/>
    </row>
    <row r="76" spans="1:8" ht="15">
      <c r="A76" s="377" t="s">
        <v>533</v>
      </c>
      <c r="B76" s="377"/>
      <c r="C76" s="377"/>
      <c r="D76" s="377"/>
      <c r="E76" s="377"/>
      <c r="F76" s="377"/>
      <c r="G76" s="377"/>
      <c r="H76" s="377"/>
    </row>
    <row r="77" spans="1:8" ht="15">
      <c r="A77" s="377" t="s">
        <v>534</v>
      </c>
      <c r="B77" s="377"/>
      <c r="C77" s="377"/>
      <c r="D77" s="377"/>
      <c r="E77" s="377"/>
      <c r="F77" s="377"/>
      <c r="G77" s="377"/>
      <c r="H77" s="377"/>
    </row>
    <row r="78" spans="1:8" ht="15">
      <c r="A78" s="377"/>
      <c r="B78" s="377"/>
      <c r="C78" s="377"/>
      <c r="D78" s="377"/>
      <c r="E78" s="377"/>
      <c r="F78" s="377"/>
      <c r="G78" s="377"/>
      <c r="H78" s="377"/>
    </row>
    <row r="79" ht="15">
      <c r="A79" s="377" t="s">
        <v>479</v>
      </c>
    </row>
    <row r="80" ht="15">
      <c r="A80" s="378"/>
    </row>
    <row r="81" ht="15">
      <c r="A81" s="377"/>
    </row>
    <row r="82" ht="15">
      <c r="A82" s="377"/>
    </row>
    <row r="83" ht="15">
      <c r="A83" s="377"/>
    </row>
    <row r="84" ht="15">
      <c r="A84" s="377"/>
    </row>
    <row r="85" ht="15">
      <c r="A85" s="377"/>
    </row>
    <row r="86" ht="15">
      <c r="A86" s="377"/>
    </row>
    <row r="87" ht="15">
      <c r="A87" s="377"/>
    </row>
    <row r="88" ht="15">
      <c r="A88" s="377"/>
    </row>
    <row r="89" ht="15">
      <c r="A89" s="377"/>
    </row>
    <row r="90" ht="15">
      <c r="A90" s="377"/>
    </row>
    <row r="91" ht="15">
      <c r="A91" s="377"/>
    </row>
    <row r="92" ht="15">
      <c r="A92" s="377"/>
    </row>
    <row r="93" ht="15">
      <c r="A93" s="377"/>
    </row>
    <row r="94" ht="15">
      <c r="A94" s="377"/>
    </row>
    <row r="95" ht="15">
      <c r="A95" s="377"/>
    </row>
    <row r="96" ht="15">
      <c r="A96" s="377"/>
    </row>
    <row r="97" ht="15">
      <c r="A97" s="377"/>
    </row>
    <row r="98" ht="15">
      <c r="A98" s="377"/>
    </row>
    <row r="99" ht="15">
      <c r="A99" s="377"/>
    </row>
    <row r="100" ht="15">
      <c r="A100" s="377"/>
    </row>
    <row r="101" ht="15">
      <c r="A101" s="377"/>
    </row>
    <row r="103" ht="15">
      <c r="A103" s="377"/>
    </row>
    <row r="104" ht="15">
      <c r="A104" s="377"/>
    </row>
    <row r="105" ht="15">
      <c r="A105" s="377"/>
    </row>
    <row r="107" ht="15">
      <c r="A107" s="378"/>
    </row>
    <row r="108" ht="15">
      <c r="A108" s="378"/>
    </row>
    <row r="109" ht="15">
      <c r="A109" s="378"/>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61">
      <selection activeCell="A1" sqref="A1"/>
    </sheetView>
  </sheetViews>
  <sheetFormatPr defaultColWidth="8.796875" defaultRowHeight="15"/>
  <cols>
    <col min="1" max="1" width="71.296875" style="0" customWidth="1"/>
  </cols>
  <sheetData>
    <row r="3" spans="1:12" ht="15">
      <c r="A3" s="376" t="s">
        <v>535</v>
      </c>
      <c r="B3" s="376"/>
      <c r="C3" s="376"/>
      <c r="D3" s="376"/>
      <c r="E3" s="376"/>
      <c r="F3" s="376"/>
      <c r="G3" s="376"/>
      <c r="H3" s="376"/>
      <c r="I3" s="376"/>
      <c r="J3" s="376"/>
      <c r="K3" s="376"/>
      <c r="L3" s="376"/>
    </row>
    <row r="4" spans="1:12" ht="15">
      <c r="A4" s="376"/>
      <c r="B4" s="376"/>
      <c r="C4" s="376"/>
      <c r="D4" s="376"/>
      <c r="E4" s="376"/>
      <c r="F4" s="376"/>
      <c r="G4" s="376"/>
      <c r="H4" s="376"/>
      <c r="I4" s="376"/>
      <c r="J4" s="376"/>
      <c r="K4" s="376"/>
      <c r="L4" s="376"/>
    </row>
    <row r="5" spans="1:12" ht="15">
      <c r="A5" s="377" t="s">
        <v>424</v>
      </c>
      <c r="I5" s="376"/>
      <c r="J5" s="376"/>
      <c r="K5" s="376"/>
      <c r="L5" s="376"/>
    </row>
    <row r="6" spans="1:12" ht="15">
      <c r="A6" s="377" t="str">
        <f>CONCATENATE("estimated ",inputPrYr!C10-1," 'total expenditures' exceed your ",inputPrYr!C10-1,"")</f>
        <v>estimated 2012 'total expenditures' exceed your 2012</v>
      </c>
      <c r="I6" s="376"/>
      <c r="J6" s="376"/>
      <c r="K6" s="376"/>
      <c r="L6" s="376"/>
    </row>
    <row r="7" spans="1:12" ht="15">
      <c r="A7" s="380" t="s">
        <v>536</v>
      </c>
      <c r="I7" s="376"/>
      <c r="J7" s="376"/>
      <c r="K7" s="376"/>
      <c r="L7" s="376"/>
    </row>
    <row r="8" spans="1:12" ht="15">
      <c r="A8" s="377"/>
      <c r="I8" s="376"/>
      <c r="J8" s="376"/>
      <c r="K8" s="376"/>
      <c r="L8" s="376"/>
    </row>
    <row r="9" spans="1:12" ht="15">
      <c r="A9" s="377" t="s">
        <v>537</v>
      </c>
      <c r="I9" s="376"/>
      <c r="J9" s="376"/>
      <c r="K9" s="376"/>
      <c r="L9" s="376"/>
    </row>
    <row r="10" spans="1:12" ht="15">
      <c r="A10" s="377" t="s">
        <v>538</v>
      </c>
      <c r="I10" s="376"/>
      <c r="J10" s="376"/>
      <c r="K10" s="376"/>
      <c r="L10" s="376"/>
    </row>
    <row r="11" spans="1:12" ht="15">
      <c r="A11" s="377" t="s">
        <v>539</v>
      </c>
      <c r="I11" s="376"/>
      <c r="J11" s="376"/>
      <c r="K11" s="376"/>
      <c r="L11" s="376"/>
    </row>
    <row r="12" spans="1:12" ht="15">
      <c r="A12" s="377" t="s">
        <v>540</v>
      </c>
      <c r="I12" s="376"/>
      <c r="J12" s="376"/>
      <c r="K12" s="376"/>
      <c r="L12" s="376"/>
    </row>
    <row r="13" spans="1:12" ht="15">
      <c r="A13" s="377" t="s">
        <v>541</v>
      </c>
      <c r="I13" s="376"/>
      <c r="J13" s="376"/>
      <c r="K13" s="376"/>
      <c r="L13" s="376"/>
    </row>
    <row r="14" spans="1:12" ht="15">
      <c r="A14" s="376"/>
      <c r="B14" s="376"/>
      <c r="C14" s="376"/>
      <c r="D14" s="376"/>
      <c r="E14" s="376"/>
      <c r="F14" s="376"/>
      <c r="G14" s="376"/>
      <c r="H14" s="376"/>
      <c r="I14" s="376"/>
      <c r="J14" s="376"/>
      <c r="K14" s="376"/>
      <c r="L14" s="376"/>
    </row>
    <row r="15" ht="15">
      <c r="A15" s="378" t="s">
        <v>542</v>
      </c>
    </row>
    <row r="16" ht="15">
      <c r="A16" s="378" t="s">
        <v>543</v>
      </c>
    </row>
    <row r="17" ht="15">
      <c r="A17" s="378"/>
    </row>
    <row r="18" spans="1:7" ht="15">
      <c r="A18" s="377" t="s">
        <v>544</v>
      </c>
      <c r="B18" s="377"/>
      <c r="C18" s="377"/>
      <c r="D18" s="377"/>
      <c r="E18" s="377"/>
      <c r="F18" s="377"/>
      <c r="G18" s="377"/>
    </row>
    <row r="19" spans="1:7" ht="15">
      <c r="A19" s="377" t="str">
        <f>CONCATENATE("your ",inputPrYr!C10-1," numbers to see what steps might be necessary to")</f>
        <v>your 2012 numbers to see what steps might be necessary to</v>
      </c>
      <c r="B19" s="377"/>
      <c r="C19" s="377"/>
      <c r="D19" s="377"/>
      <c r="E19" s="377"/>
      <c r="F19" s="377"/>
      <c r="G19" s="377"/>
    </row>
    <row r="20" spans="1:7" ht="15">
      <c r="A20" s="377" t="s">
        <v>545</v>
      </c>
      <c r="B20" s="377"/>
      <c r="C20" s="377"/>
      <c r="D20" s="377"/>
      <c r="E20" s="377"/>
      <c r="F20" s="377"/>
      <c r="G20" s="377"/>
    </row>
    <row r="21" spans="1:7" ht="15">
      <c r="A21" s="377" t="s">
        <v>546</v>
      </c>
      <c r="B21" s="377"/>
      <c r="C21" s="377"/>
      <c r="D21" s="377"/>
      <c r="E21" s="377"/>
      <c r="F21" s="377"/>
      <c r="G21" s="377"/>
    </row>
    <row r="22" ht="15">
      <c r="A22" s="377"/>
    </row>
    <row r="23" ht="15">
      <c r="A23" s="378" t="s">
        <v>547</v>
      </c>
    </row>
    <row r="24" ht="15">
      <c r="A24" s="378"/>
    </row>
    <row r="25" ht="15">
      <c r="A25" s="377" t="s">
        <v>548</v>
      </c>
    </row>
    <row r="26" spans="1:6" ht="15">
      <c r="A26" s="377" t="s">
        <v>549</v>
      </c>
      <c r="B26" s="377"/>
      <c r="C26" s="377"/>
      <c r="D26" s="377"/>
      <c r="E26" s="377"/>
      <c r="F26" s="377"/>
    </row>
    <row r="27" spans="1:6" ht="15">
      <c r="A27" s="377" t="s">
        <v>550</v>
      </c>
      <c r="B27" s="377"/>
      <c r="C27" s="377"/>
      <c r="D27" s="377"/>
      <c r="E27" s="377"/>
      <c r="F27" s="377"/>
    </row>
    <row r="28" spans="1:6" ht="15">
      <c r="A28" s="377" t="s">
        <v>551</v>
      </c>
      <c r="B28" s="377"/>
      <c r="C28" s="377"/>
      <c r="D28" s="377"/>
      <c r="E28" s="377"/>
      <c r="F28" s="377"/>
    </row>
    <row r="29" spans="1:6" ht="15">
      <c r="A29" s="377"/>
      <c r="B29" s="377"/>
      <c r="C29" s="377"/>
      <c r="D29" s="377"/>
      <c r="E29" s="377"/>
      <c r="F29" s="377"/>
    </row>
    <row r="30" spans="1:7" ht="15">
      <c r="A30" s="378" t="s">
        <v>552</v>
      </c>
      <c r="B30" s="378"/>
      <c r="C30" s="378"/>
      <c r="D30" s="378"/>
      <c r="E30" s="378"/>
      <c r="F30" s="378"/>
      <c r="G30" s="378"/>
    </row>
    <row r="31" spans="1:7" ht="15">
      <c r="A31" s="378" t="s">
        <v>553</v>
      </c>
      <c r="B31" s="378"/>
      <c r="C31" s="378"/>
      <c r="D31" s="378"/>
      <c r="E31" s="378"/>
      <c r="F31" s="378"/>
      <c r="G31" s="378"/>
    </row>
    <row r="32" spans="1:6" ht="15">
      <c r="A32" s="377"/>
      <c r="B32" s="377"/>
      <c r="C32" s="377"/>
      <c r="D32" s="377"/>
      <c r="E32" s="377"/>
      <c r="F32" s="377"/>
    </row>
    <row r="33" spans="1:6" ht="15">
      <c r="A33" s="381" t="str">
        <f>CONCATENATE("Well, let's look to see if any of your ",inputPrYr!C10-1," expenditures can")</f>
        <v>Well, let's look to see if any of your 2012 expenditures can</v>
      </c>
      <c r="B33" s="377"/>
      <c r="C33" s="377"/>
      <c r="D33" s="377"/>
      <c r="E33" s="377"/>
      <c r="F33" s="377"/>
    </row>
    <row r="34" spans="1:6" ht="15">
      <c r="A34" s="381" t="s">
        <v>554</v>
      </c>
      <c r="B34" s="377"/>
      <c r="C34" s="377"/>
      <c r="D34" s="377"/>
      <c r="E34" s="377"/>
      <c r="F34" s="377"/>
    </row>
    <row r="35" spans="1:6" ht="15">
      <c r="A35" s="381" t="s">
        <v>438</v>
      </c>
      <c r="B35" s="377"/>
      <c r="C35" s="377"/>
      <c r="D35" s="377"/>
      <c r="E35" s="377"/>
      <c r="F35" s="377"/>
    </row>
    <row r="36" spans="1:6" ht="15">
      <c r="A36" s="381" t="s">
        <v>439</v>
      </c>
      <c r="B36" s="377"/>
      <c r="C36" s="377"/>
      <c r="D36" s="377"/>
      <c r="E36" s="377"/>
      <c r="F36" s="377"/>
    </row>
    <row r="37" spans="1:6" ht="15">
      <c r="A37" s="381"/>
      <c r="B37" s="377"/>
      <c r="C37" s="377"/>
      <c r="D37" s="377"/>
      <c r="E37" s="377"/>
      <c r="F37" s="377"/>
    </row>
    <row r="38" spans="1:6" ht="15">
      <c r="A38" s="381" t="str">
        <f>CONCATENATE("Additionally, do your ",inputPrYr!C10-1," receipts contain a reimbursement")</f>
        <v>Additionally, do your 2012 receipts contain a reimbursement</v>
      </c>
      <c r="B38" s="377"/>
      <c r="C38" s="377"/>
      <c r="D38" s="377"/>
      <c r="E38" s="377"/>
      <c r="F38" s="377"/>
    </row>
    <row r="39" spans="1:6" ht="15">
      <c r="A39" s="381" t="s">
        <v>440</v>
      </c>
      <c r="B39" s="377"/>
      <c r="C39" s="377"/>
      <c r="D39" s="377"/>
      <c r="E39" s="377"/>
      <c r="F39" s="377"/>
    </row>
    <row r="40" spans="1:6" ht="15">
      <c r="A40" s="381" t="s">
        <v>441</v>
      </c>
      <c r="B40" s="377"/>
      <c r="C40" s="377"/>
      <c r="D40" s="377"/>
      <c r="E40" s="377"/>
      <c r="F40" s="377"/>
    </row>
    <row r="41" spans="1:6" ht="15">
      <c r="A41" s="381"/>
      <c r="B41" s="377"/>
      <c r="C41" s="377"/>
      <c r="D41" s="377"/>
      <c r="E41" s="377"/>
      <c r="F41" s="377"/>
    </row>
    <row r="42" spans="1:6" ht="15">
      <c r="A42" s="381" t="s">
        <v>442</v>
      </c>
      <c r="B42" s="377"/>
      <c r="C42" s="377"/>
      <c r="D42" s="377"/>
      <c r="E42" s="377"/>
      <c r="F42" s="377"/>
    </row>
    <row r="43" spans="1:6" ht="15">
      <c r="A43" s="381" t="s">
        <v>443</v>
      </c>
      <c r="B43" s="377"/>
      <c r="C43" s="377"/>
      <c r="D43" s="377"/>
      <c r="E43" s="377"/>
      <c r="F43" s="377"/>
    </row>
    <row r="44" spans="1:6" ht="15">
      <c r="A44" s="381" t="s">
        <v>444</v>
      </c>
      <c r="B44" s="377"/>
      <c r="C44" s="377"/>
      <c r="D44" s="377"/>
      <c r="E44" s="377"/>
      <c r="F44" s="377"/>
    </row>
    <row r="45" spans="1:6" ht="15">
      <c r="A45" s="381" t="s">
        <v>555</v>
      </c>
      <c r="B45" s="377"/>
      <c r="C45" s="377"/>
      <c r="D45" s="377"/>
      <c r="E45" s="377"/>
      <c r="F45" s="377"/>
    </row>
    <row r="46" spans="1:6" ht="15">
      <c r="A46" s="381" t="s">
        <v>446</v>
      </c>
      <c r="B46" s="377"/>
      <c r="C46" s="377"/>
      <c r="D46" s="377"/>
      <c r="E46" s="377"/>
      <c r="F46" s="377"/>
    </row>
    <row r="47" spans="1:6" ht="15">
      <c r="A47" s="381" t="s">
        <v>556</v>
      </c>
      <c r="B47" s="377"/>
      <c r="C47" s="377"/>
      <c r="D47" s="377"/>
      <c r="E47" s="377"/>
      <c r="F47" s="377"/>
    </row>
    <row r="48" spans="1:6" ht="15">
      <c r="A48" s="381" t="s">
        <v>557</v>
      </c>
      <c r="B48" s="377"/>
      <c r="C48" s="377"/>
      <c r="D48" s="377"/>
      <c r="E48" s="377"/>
      <c r="F48" s="377"/>
    </row>
    <row r="49" spans="1:6" ht="15">
      <c r="A49" s="381" t="s">
        <v>449</v>
      </c>
      <c r="B49" s="377"/>
      <c r="C49" s="377"/>
      <c r="D49" s="377"/>
      <c r="E49" s="377"/>
      <c r="F49" s="377"/>
    </row>
    <row r="50" spans="1:6" ht="15">
      <c r="A50" s="381"/>
      <c r="B50" s="377"/>
      <c r="C50" s="377"/>
      <c r="D50" s="377"/>
      <c r="E50" s="377"/>
      <c r="F50" s="377"/>
    </row>
    <row r="51" spans="1:6" ht="15">
      <c r="A51" s="381" t="s">
        <v>450</v>
      </c>
      <c r="B51" s="377"/>
      <c r="C51" s="377"/>
      <c r="D51" s="377"/>
      <c r="E51" s="377"/>
      <c r="F51" s="377"/>
    </row>
    <row r="52" spans="1:6" ht="15">
      <c r="A52" s="381" t="s">
        <v>451</v>
      </c>
      <c r="B52" s="377"/>
      <c r="C52" s="377"/>
      <c r="D52" s="377"/>
      <c r="E52" s="377"/>
      <c r="F52" s="377"/>
    </row>
    <row r="53" spans="1:6" ht="15">
      <c r="A53" s="381" t="s">
        <v>452</v>
      </c>
      <c r="B53" s="377"/>
      <c r="C53" s="377"/>
      <c r="D53" s="377"/>
      <c r="E53" s="377"/>
      <c r="F53" s="377"/>
    </row>
    <row r="54" spans="1:6" ht="15">
      <c r="A54" s="381"/>
      <c r="B54" s="377"/>
      <c r="C54" s="377"/>
      <c r="D54" s="377"/>
      <c r="E54" s="377"/>
      <c r="F54" s="377"/>
    </row>
    <row r="55" spans="1:6" ht="15">
      <c r="A55" s="381" t="s">
        <v>558</v>
      </c>
      <c r="B55" s="377"/>
      <c r="C55" s="377"/>
      <c r="D55" s="377"/>
      <c r="E55" s="377"/>
      <c r="F55" s="377"/>
    </row>
    <row r="56" spans="1:6" ht="15">
      <c r="A56" s="381" t="s">
        <v>559</v>
      </c>
      <c r="B56" s="377"/>
      <c r="C56" s="377"/>
      <c r="D56" s="377"/>
      <c r="E56" s="377"/>
      <c r="F56" s="377"/>
    </row>
    <row r="57" spans="1:6" ht="15">
      <c r="A57" s="381" t="s">
        <v>560</v>
      </c>
      <c r="B57" s="377"/>
      <c r="C57" s="377"/>
      <c r="D57" s="377"/>
      <c r="E57" s="377"/>
      <c r="F57" s="377"/>
    </row>
    <row r="58" spans="1:6" ht="15">
      <c r="A58" s="381" t="s">
        <v>561</v>
      </c>
      <c r="B58" s="377"/>
      <c r="C58" s="377"/>
      <c r="D58" s="377"/>
      <c r="E58" s="377"/>
      <c r="F58" s="377"/>
    </row>
    <row r="59" spans="1:6" ht="15">
      <c r="A59" s="381" t="s">
        <v>562</v>
      </c>
      <c r="B59" s="377"/>
      <c r="C59" s="377"/>
      <c r="D59" s="377"/>
      <c r="E59" s="377"/>
      <c r="F59" s="377"/>
    </row>
    <row r="60" spans="1:6" ht="15">
      <c r="A60" s="381"/>
      <c r="B60" s="377"/>
      <c r="C60" s="377"/>
      <c r="D60" s="377"/>
      <c r="E60" s="377"/>
      <c r="F60" s="377"/>
    </row>
    <row r="61" spans="1:6" ht="15">
      <c r="A61" s="382" t="s">
        <v>563</v>
      </c>
      <c r="B61" s="377"/>
      <c r="C61" s="377"/>
      <c r="D61" s="377"/>
      <c r="E61" s="377"/>
      <c r="F61" s="377"/>
    </row>
    <row r="62" spans="1:6" ht="15">
      <c r="A62" s="382" t="s">
        <v>564</v>
      </c>
      <c r="B62" s="377"/>
      <c r="C62" s="377"/>
      <c r="D62" s="377"/>
      <c r="E62" s="377"/>
      <c r="F62" s="377"/>
    </row>
    <row r="63" spans="1:6" ht="15">
      <c r="A63" s="382" t="s">
        <v>565</v>
      </c>
      <c r="B63" s="377"/>
      <c r="C63" s="377"/>
      <c r="D63" s="377"/>
      <c r="E63" s="377"/>
      <c r="F63" s="377"/>
    </row>
    <row r="64" ht="15">
      <c r="A64" s="382" t="s">
        <v>566</v>
      </c>
    </row>
    <row r="65" ht="15">
      <c r="A65" s="382" t="s">
        <v>567</v>
      </c>
    </row>
    <row r="66" ht="15">
      <c r="A66" s="382" t="s">
        <v>568</v>
      </c>
    </row>
    <row r="68" ht="15">
      <c r="A68" s="377" t="s">
        <v>569</v>
      </c>
    </row>
    <row r="69" ht="15">
      <c r="A69" s="377" t="s">
        <v>570</v>
      </c>
    </row>
    <row r="70" ht="15">
      <c r="A70" s="377" t="s">
        <v>571</v>
      </c>
    </row>
    <row r="71" ht="15">
      <c r="A71" s="377" t="s">
        <v>572</v>
      </c>
    </row>
    <row r="72" ht="15">
      <c r="A72" s="377" t="s">
        <v>573</v>
      </c>
    </row>
    <row r="73" ht="15">
      <c r="A73" s="377" t="s">
        <v>574</v>
      </c>
    </row>
    <row r="75" ht="15">
      <c r="A75" s="377" t="s">
        <v>479</v>
      </c>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88"/>
  <sheetViews>
    <sheetView zoomScalePageLayoutView="0" workbookViewId="0" topLeftCell="A73">
      <selection activeCell="B84" sqref="B84"/>
    </sheetView>
  </sheetViews>
  <sheetFormatPr defaultColWidth="8.796875" defaultRowHeight="15"/>
  <cols>
    <col min="1" max="1" width="20.796875" style="88" customWidth="1"/>
    <col min="2" max="2" width="16.69921875" style="88" customWidth="1"/>
    <col min="3" max="4" width="10.796875" style="88" customWidth="1"/>
    <col min="5" max="5" width="11.3984375" style="88" customWidth="1"/>
    <col min="6" max="6" width="10.796875" style="88" customWidth="1"/>
    <col min="7" max="16384" width="8.8984375" style="88" customWidth="1"/>
  </cols>
  <sheetData>
    <row r="1" spans="1:6" ht="15.75">
      <c r="A1" s="89" t="str">
        <f>inputPrYr!$D$3</f>
        <v>City of Vining</v>
      </c>
      <c r="B1" s="90"/>
      <c r="C1" s="90"/>
      <c r="D1" s="90"/>
      <c r="E1" s="287">
        <f>inputPrYr!C10</f>
        <v>2013</v>
      </c>
      <c r="F1" s="90"/>
    </row>
    <row r="2" spans="1:6" ht="15">
      <c r="A2" s="90"/>
      <c r="B2" s="90"/>
      <c r="C2" s="90"/>
      <c r="D2" s="90"/>
      <c r="E2" s="90"/>
      <c r="F2" s="90"/>
    </row>
    <row r="3" spans="1:6" ht="15.75">
      <c r="A3" s="671" t="s">
        <v>232</v>
      </c>
      <c r="B3" s="672"/>
      <c r="C3" s="672"/>
      <c r="D3" s="672"/>
      <c r="E3" s="672"/>
      <c r="F3" s="90"/>
    </row>
    <row r="4" spans="1:6" ht="15.75">
      <c r="A4" s="40"/>
      <c r="B4" s="40"/>
      <c r="C4" s="40"/>
      <c r="D4" s="40"/>
      <c r="E4" s="40"/>
      <c r="F4" s="90"/>
    </row>
    <row r="5" spans="1:6" ht="15.75">
      <c r="A5" s="40"/>
      <c r="B5" s="40"/>
      <c r="C5" s="40"/>
      <c r="D5" s="40"/>
      <c r="E5" s="40"/>
      <c r="F5" s="90"/>
    </row>
    <row r="6" spans="1:6" ht="15.75">
      <c r="A6" s="696" t="str">
        <f>CONCATENATE("From the County Clerks ",E1," Budget Information:")</f>
        <v>From the County Clerks 2013 Budget Information:</v>
      </c>
      <c r="B6" s="697"/>
      <c r="C6" s="697"/>
      <c r="D6" s="697"/>
      <c r="E6" s="697"/>
      <c r="F6" s="697"/>
    </row>
    <row r="7" spans="1:6" ht="15.75">
      <c r="A7" s="64"/>
      <c r="B7" s="698" t="str">
        <f>CONCATENATE("Assessed Valuation       for ",E1-1,"")</f>
        <v>Assessed Valuation       for 2012</v>
      </c>
      <c r="C7" s="699" t="str">
        <f>CONCATENATE("New Improvements for ",E1-1,"")</f>
        <v>New Improvements for 2012</v>
      </c>
      <c r="D7" s="701" t="str">
        <f>CONCATENATE("Personal Property excluding oil, gas, and mobile homes- ",E1-1,"")</f>
        <v>Personal Property excluding oil, gas, and mobile homes- 2012</v>
      </c>
      <c r="E7" s="703" t="str">
        <f>CONCATENATE("Property that has changed in use for ",E1-1,"")</f>
        <v>Property that has changed in use for 2012</v>
      </c>
      <c r="F7" s="705" t="str">
        <f>CONCATENATE("Personal Property excluding oil, gas, and mobile homes- ",E1-2,"")</f>
        <v>Personal Property excluding oil, gas, and mobile homes- 2011</v>
      </c>
    </row>
    <row r="8" spans="1:6" ht="15.75">
      <c r="A8" s="64"/>
      <c r="B8" s="699"/>
      <c r="C8" s="699"/>
      <c r="D8" s="701"/>
      <c r="E8" s="703"/>
      <c r="F8" s="705"/>
    </row>
    <row r="9" spans="1:6" ht="15.75">
      <c r="A9" s="91"/>
      <c r="B9" s="700"/>
      <c r="C9" s="700"/>
      <c r="D9" s="702"/>
      <c r="E9" s="704"/>
      <c r="F9" s="706"/>
    </row>
    <row r="10" spans="1:6" ht="15.75">
      <c r="A10" s="50" t="str">
        <f>inputPrYr!D4</f>
        <v>County of Clay</v>
      </c>
      <c r="B10" s="61">
        <v>90586</v>
      </c>
      <c r="C10" s="61"/>
      <c r="D10" s="61">
        <v>2270</v>
      </c>
      <c r="E10" s="52"/>
      <c r="F10" s="61">
        <v>2393</v>
      </c>
    </row>
    <row r="11" spans="1:6" ht="15.75">
      <c r="A11" s="92" t="str">
        <f>inputPrYr!D6</f>
        <v>County of Washington</v>
      </c>
      <c r="B11" s="61">
        <v>106808</v>
      </c>
      <c r="C11" s="61"/>
      <c r="D11" s="61">
        <v>18672</v>
      </c>
      <c r="E11" s="52">
        <v>0</v>
      </c>
      <c r="F11" s="61">
        <v>11633</v>
      </c>
    </row>
    <row r="12" spans="1:6" ht="15.75">
      <c r="A12" s="92">
        <f>inputPrYr!D7</f>
        <v>0</v>
      </c>
      <c r="B12" s="61"/>
      <c r="C12" s="61"/>
      <c r="D12" s="93"/>
      <c r="E12" s="52"/>
      <c r="F12" s="61"/>
    </row>
    <row r="13" spans="1:6" ht="15.75">
      <c r="A13" s="92">
        <f>inputPrYr!D8</f>
        <v>0</v>
      </c>
      <c r="B13" s="61"/>
      <c r="C13" s="61"/>
      <c r="D13" s="61"/>
      <c r="E13" s="61"/>
      <c r="F13" s="61"/>
    </row>
    <row r="14" spans="1:6" ht="15.75">
      <c r="A14" s="50" t="s">
        <v>47</v>
      </c>
      <c r="B14" s="59">
        <f>SUM(B10:B13)</f>
        <v>197394</v>
      </c>
      <c r="C14" s="59">
        <f>SUM(C10:C13)</f>
        <v>0</v>
      </c>
      <c r="D14" s="59">
        <f>SUM(D10:D13)</f>
        <v>20942</v>
      </c>
      <c r="E14" s="59">
        <f>SUM(E10:E13)</f>
        <v>0</v>
      </c>
      <c r="F14" s="59">
        <f>SUM(F10:F13)</f>
        <v>14026</v>
      </c>
    </row>
    <row r="15" spans="1:6" ht="15.75">
      <c r="A15" s="64"/>
      <c r="B15" s="36"/>
      <c r="C15" s="36"/>
      <c r="D15" s="36"/>
      <c r="E15" s="94"/>
      <c r="F15" s="90"/>
    </row>
    <row r="16" spans="1:6" ht="15.75">
      <c r="A16" s="694" t="str">
        <f>CONCATENATE("Territory Added for ",E1-1,"")</f>
        <v>Territory Added for 2012</v>
      </c>
      <c r="B16" s="695"/>
      <c r="C16" s="695"/>
      <c r="D16" s="695"/>
      <c r="E16" s="94"/>
      <c r="F16" s="90"/>
    </row>
    <row r="17" spans="1:6" ht="31.5">
      <c r="A17" s="92"/>
      <c r="B17" s="95" t="s">
        <v>296</v>
      </c>
      <c r="C17" s="95" t="s">
        <v>157</v>
      </c>
      <c r="D17" s="95" t="s">
        <v>158</v>
      </c>
      <c r="E17" s="94"/>
      <c r="F17" s="90"/>
    </row>
    <row r="18" spans="1:6" ht="15.75">
      <c r="A18" s="50" t="str">
        <f>inputPrYr!D4</f>
        <v>County of Clay</v>
      </c>
      <c r="B18" s="96"/>
      <c r="C18" s="96"/>
      <c r="D18" s="96"/>
      <c r="E18" s="94"/>
      <c r="F18" s="90"/>
    </row>
    <row r="19" spans="1:6" ht="15.75">
      <c r="A19" s="50" t="str">
        <f>inputPrYr!D6</f>
        <v>County of Washington</v>
      </c>
      <c r="B19" s="96"/>
      <c r="C19" s="96"/>
      <c r="D19" s="96"/>
      <c r="E19" s="94"/>
      <c r="F19" s="90"/>
    </row>
    <row r="20" spans="1:6" ht="15.75">
      <c r="A20" s="50">
        <f>inputPrYr!D7</f>
        <v>0</v>
      </c>
      <c r="B20" s="96"/>
      <c r="C20" s="96"/>
      <c r="D20" s="96"/>
      <c r="E20" s="94"/>
      <c r="F20" s="90"/>
    </row>
    <row r="21" spans="1:6" ht="15.75">
      <c r="A21" s="50">
        <f>inputPrYr!D8</f>
        <v>0</v>
      </c>
      <c r="B21" s="96"/>
      <c r="C21" s="96"/>
      <c r="D21" s="96"/>
      <c r="E21" s="94"/>
      <c r="F21" s="90"/>
    </row>
    <row r="22" spans="1:6" ht="15.75">
      <c r="A22" s="50" t="s">
        <v>47</v>
      </c>
      <c r="B22" s="97">
        <f>SUM(B18:B21)</f>
        <v>0</v>
      </c>
      <c r="C22" s="97">
        <f>SUM(C18:C21)</f>
        <v>0</v>
      </c>
      <c r="D22" s="97">
        <f>SUM(D18:D21)</f>
        <v>0</v>
      </c>
      <c r="E22" s="94"/>
      <c r="F22" s="90"/>
    </row>
    <row r="23" spans="1:6" ht="15.75">
      <c r="A23" s="64"/>
      <c r="B23" s="36"/>
      <c r="C23" s="36"/>
      <c r="D23" s="36"/>
      <c r="E23" s="66"/>
      <c r="F23" s="90"/>
    </row>
    <row r="24" spans="1:6" ht="15.75">
      <c r="A24" s="56" t="str">
        <f>CONCATENATE("Gross earnings (intangible) tax estimate for ",E1,"")</f>
        <v>Gross earnings (intangible) tax estimate for 2013</v>
      </c>
      <c r="B24" s="57"/>
      <c r="C24" s="57"/>
      <c r="D24" s="74"/>
      <c r="E24" s="52"/>
      <c r="F24" s="90"/>
    </row>
    <row r="25" spans="1:6" ht="15.75">
      <c r="A25" s="92" t="s">
        <v>258</v>
      </c>
      <c r="B25" s="79"/>
      <c r="C25" s="79"/>
      <c r="D25" s="79"/>
      <c r="E25" s="61">
        <v>13662</v>
      </c>
      <c r="F25" s="90"/>
    </row>
    <row r="26" spans="1:6" ht="15.75">
      <c r="A26" s="64"/>
      <c r="B26" s="36"/>
      <c r="C26" s="36"/>
      <c r="D26" s="36"/>
      <c r="E26" s="66"/>
      <c r="F26" s="90"/>
    </row>
    <row r="27" spans="1:6" ht="15.75">
      <c r="A27" s="64"/>
      <c r="B27" s="36"/>
      <c r="C27" s="36"/>
      <c r="D27" s="36"/>
      <c r="E27" s="66"/>
      <c r="F27" s="90"/>
    </row>
    <row r="28" spans="1:6" ht="16.5" thickBot="1">
      <c r="A28" s="685" t="str">
        <f>CONCATENATE("Actual Tax Rates for the ",E1-1," Budget:")</f>
        <v>Actual Tax Rates for the 2012 Budget:</v>
      </c>
      <c r="B28" s="686"/>
      <c r="C28" s="686"/>
      <c r="D28" s="686"/>
      <c r="E28" s="66"/>
      <c r="F28" s="90"/>
    </row>
    <row r="29" spans="1:6" ht="15.75">
      <c r="A29" s="690" t="s">
        <v>34</v>
      </c>
      <c r="B29" s="691"/>
      <c r="C29" s="90"/>
      <c r="D29" s="98" t="s">
        <v>83</v>
      </c>
      <c r="E29" s="66"/>
      <c r="F29" s="90"/>
    </row>
    <row r="30" spans="1:6" ht="15.75">
      <c r="A30" s="56" t="s">
        <v>17</v>
      </c>
      <c r="B30" s="57"/>
      <c r="C30" s="36"/>
      <c r="D30" s="99">
        <v>48.815</v>
      </c>
      <c r="E30" s="66"/>
      <c r="F30" s="90"/>
    </row>
    <row r="31" spans="1:6" ht="15.75">
      <c r="A31" s="92" t="s">
        <v>326</v>
      </c>
      <c r="B31" s="79"/>
      <c r="C31" s="36"/>
      <c r="D31" s="100"/>
      <c r="E31" s="66"/>
      <c r="F31" s="90"/>
    </row>
    <row r="32" spans="1:6" ht="15.75">
      <c r="A32" s="92" t="str">
        <f>inputPrYr!B24</f>
        <v>Library</v>
      </c>
      <c r="B32" s="79"/>
      <c r="C32" s="36"/>
      <c r="D32" s="100"/>
      <c r="E32" s="66"/>
      <c r="F32" s="90"/>
    </row>
    <row r="33" spans="1:6" ht="15.75">
      <c r="A33" s="92">
        <f>inputPrYr!B26</f>
        <v>0</v>
      </c>
      <c r="B33" s="79"/>
      <c r="C33" s="36"/>
      <c r="D33" s="100"/>
      <c r="E33" s="66"/>
      <c r="F33" s="90"/>
    </row>
    <row r="34" spans="1:6" ht="15.75">
      <c r="A34" s="92">
        <f>inputPrYr!B27</f>
        <v>0</v>
      </c>
      <c r="B34" s="79"/>
      <c r="C34" s="36"/>
      <c r="D34" s="100"/>
      <c r="E34" s="66"/>
      <c r="F34" s="90"/>
    </row>
    <row r="35" spans="1:6" ht="15.75">
      <c r="A35" s="92">
        <f>inputPrYr!B28</f>
        <v>0</v>
      </c>
      <c r="B35" s="101"/>
      <c r="C35" s="36"/>
      <c r="D35" s="102"/>
      <c r="E35" s="66"/>
      <c r="F35" s="90"/>
    </row>
    <row r="36" spans="1:6" ht="15.75">
      <c r="A36" s="92">
        <f>inputPrYr!B29</f>
        <v>0</v>
      </c>
      <c r="B36" s="101"/>
      <c r="C36" s="36"/>
      <c r="D36" s="102"/>
      <c r="E36" s="66"/>
      <c r="F36" s="90"/>
    </row>
    <row r="37" spans="1:6" ht="15.75">
      <c r="A37" s="103"/>
      <c r="B37" s="51" t="s">
        <v>21</v>
      </c>
      <c r="C37" s="104"/>
      <c r="D37" s="75">
        <f>SUM(D30:D36)</f>
        <v>48.815</v>
      </c>
      <c r="E37" s="103"/>
      <c r="F37" s="90"/>
    </row>
    <row r="38" spans="1:6" ht="15">
      <c r="A38" s="103"/>
      <c r="B38" s="103"/>
      <c r="C38" s="103"/>
      <c r="D38" s="103"/>
      <c r="E38" s="103"/>
      <c r="F38" s="90"/>
    </row>
    <row r="39" spans="1:6" ht="16.5" thickBot="1">
      <c r="A39" s="687" t="str">
        <f>CONCATENATE("Final Assessed Valuation from the November 1, ",E1-2," Abstract:")</f>
        <v>Final Assessed Valuation from the November 1, 2011 Abstract:</v>
      </c>
      <c r="B39" s="688"/>
      <c r="C39" s="688"/>
      <c r="D39" s="688"/>
      <c r="E39" s="105"/>
      <c r="F39" s="90"/>
    </row>
    <row r="40" spans="1:6" ht="15.75">
      <c r="A40" s="106"/>
      <c r="B40" s="90"/>
      <c r="C40" s="90"/>
      <c r="D40" s="90"/>
      <c r="E40" s="105"/>
      <c r="F40" s="90"/>
    </row>
    <row r="41" spans="1:6" ht="15.75">
      <c r="A41" s="50" t="str">
        <f>inputPrYr!D4</f>
        <v>County of Clay</v>
      </c>
      <c r="B41" s="103"/>
      <c r="C41" s="103"/>
      <c r="D41" s="61">
        <v>87215</v>
      </c>
      <c r="E41" s="103"/>
      <c r="F41" s="90"/>
    </row>
    <row r="42" spans="1:6" ht="15.75">
      <c r="A42" s="50" t="str">
        <f>inputPrYr!D6</f>
        <v>County of Washington</v>
      </c>
      <c r="B42" s="103"/>
      <c r="C42" s="103"/>
      <c r="D42" s="61">
        <v>96315</v>
      </c>
      <c r="E42" s="103"/>
      <c r="F42" s="90"/>
    </row>
    <row r="43" spans="1:6" ht="15.75">
      <c r="A43" s="50">
        <f>inputPrYr!D7</f>
        <v>0</v>
      </c>
      <c r="B43" s="103"/>
      <c r="C43" s="103"/>
      <c r="D43" s="61"/>
      <c r="E43" s="103"/>
      <c r="F43" s="90"/>
    </row>
    <row r="44" spans="1:6" ht="15.75">
      <c r="A44" s="50">
        <f>inputPrYr!D8</f>
        <v>0</v>
      </c>
      <c r="B44" s="103"/>
      <c r="C44" s="103"/>
      <c r="D44" s="61"/>
      <c r="E44" s="103"/>
      <c r="F44" s="90"/>
    </row>
    <row r="45" spans="1:6" ht="15.75">
      <c r="A45" s="51" t="s">
        <v>265</v>
      </c>
      <c r="B45" s="103"/>
      <c r="C45" s="103"/>
      <c r="D45" s="59">
        <f>SUM(D41:D44)</f>
        <v>183530</v>
      </c>
      <c r="E45" s="103"/>
      <c r="F45" s="90"/>
    </row>
    <row r="46" spans="1:6" ht="15">
      <c r="A46" s="103"/>
      <c r="B46" s="103"/>
      <c r="C46" s="103"/>
      <c r="D46" s="103"/>
      <c r="E46" s="103"/>
      <c r="F46" s="90"/>
    </row>
    <row r="47" spans="1:6" ht="15.75">
      <c r="A47" s="107" t="str">
        <f>CONCATENATE("From the County Treasurer's Budget Information - ",E1," Budget Year Estimates:")</f>
        <v>From the County Treasurer's Budget Information - 2013 Budget Year Estimates:</v>
      </c>
      <c r="B47" s="42"/>
      <c r="C47" s="42"/>
      <c r="D47" s="108"/>
      <c r="E47" s="109"/>
      <c r="F47" s="90"/>
    </row>
    <row r="48" spans="1:6" ht="15.75">
      <c r="A48" s="110"/>
      <c r="B48" s="111"/>
      <c r="C48" s="680" t="s">
        <v>266</v>
      </c>
      <c r="D48" s="689" t="s">
        <v>267</v>
      </c>
      <c r="E48" s="680" t="s">
        <v>268</v>
      </c>
      <c r="F48" s="90"/>
    </row>
    <row r="49" spans="1:6" ht="15.75">
      <c r="A49" s="682" t="str">
        <f>CONCATENATE("",E1," Vehicle Tax Estimates")</f>
        <v>2013 Vehicle Tax Estimates</v>
      </c>
      <c r="B49" s="683"/>
      <c r="C49" s="681"/>
      <c r="D49" s="681"/>
      <c r="E49" s="681"/>
      <c r="F49" s="90"/>
    </row>
    <row r="50" spans="1:6" ht="15.75">
      <c r="A50" s="112" t="str">
        <f>inputPrYr!D4</f>
        <v>County of Clay</v>
      </c>
      <c r="B50" s="80"/>
      <c r="C50" s="61"/>
      <c r="D50" s="61"/>
      <c r="E50" s="52"/>
      <c r="F50" s="90"/>
    </row>
    <row r="51" spans="1:6" ht="15.75">
      <c r="A51" s="113" t="str">
        <f>inputPrYr!D6</f>
        <v>County of Washington</v>
      </c>
      <c r="B51" s="80"/>
      <c r="C51" s="61">
        <v>84.71</v>
      </c>
      <c r="D51" s="61">
        <v>16.62</v>
      </c>
      <c r="E51" s="52">
        <v>29</v>
      </c>
      <c r="F51" s="90"/>
    </row>
    <row r="52" spans="1:6" ht="15.75">
      <c r="A52" s="113">
        <f>inputPrYr!D7</f>
        <v>0</v>
      </c>
      <c r="B52" s="80"/>
      <c r="C52" s="61"/>
      <c r="D52" s="61"/>
      <c r="E52" s="52"/>
      <c r="F52" s="90"/>
    </row>
    <row r="53" spans="1:6" ht="15.75">
      <c r="A53" s="113">
        <f>inputPrYr!D8</f>
        <v>0</v>
      </c>
      <c r="B53" s="80"/>
      <c r="C53" s="114"/>
      <c r="D53" s="61"/>
      <c r="E53" s="52"/>
      <c r="F53" s="90"/>
    </row>
    <row r="54" spans="1:6" ht="15.75">
      <c r="A54" s="113" t="s">
        <v>269</v>
      </c>
      <c r="B54" s="80"/>
      <c r="C54" s="115">
        <f>SUM(C50:C53)</f>
        <v>84.71</v>
      </c>
      <c r="D54" s="59">
        <f>SUM(D50:D53)</f>
        <v>16.62</v>
      </c>
      <c r="E54" s="59">
        <f>SUM(E50:E53)</f>
        <v>29</v>
      </c>
      <c r="F54" s="90"/>
    </row>
    <row r="55" spans="1:6" ht="15.75">
      <c r="A55" s="92"/>
      <c r="B55" s="79"/>
      <c r="C55" s="79"/>
      <c r="D55" s="58"/>
      <c r="E55" s="66"/>
      <c r="F55" s="90"/>
    </row>
    <row r="56" spans="1:6" ht="15.75">
      <c r="A56" s="92" t="s">
        <v>10</v>
      </c>
      <c r="B56" s="79"/>
      <c r="C56" s="79"/>
      <c r="D56" s="116"/>
      <c r="E56" s="52"/>
      <c r="F56" s="90"/>
    </row>
    <row r="57" spans="1:6" ht="15.75">
      <c r="A57" s="92" t="s">
        <v>12</v>
      </c>
      <c r="B57" s="79"/>
      <c r="C57" s="79"/>
      <c r="D57" s="116"/>
      <c r="E57" s="52"/>
      <c r="F57" s="90"/>
    </row>
    <row r="58" spans="1:6" ht="15.75">
      <c r="A58" s="28"/>
      <c r="B58" s="28"/>
      <c r="C58" s="28"/>
      <c r="D58" s="28"/>
      <c r="E58" s="28"/>
      <c r="F58" s="90"/>
    </row>
    <row r="59" spans="1:6" ht="15.75">
      <c r="A59" s="27" t="s">
        <v>41</v>
      </c>
      <c r="B59" s="38"/>
      <c r="C59" s="38"/>
      <c r="D59" s="28"/>
      <c r="E59" s="28"/>
      <c r="F59" s="90"/>
    </row>
    <row r="60" spans="1:6" ht="15.75">
      <c r="A60" s="56" t="str">
        <f>CONCATENATE("Actual Delinquency for ",E21-3," Tax - (rate .01213 = 1.213%, key in 1.2)")</f>
        <v>Actual Delinquency for -3 Tax - (rate .01213 = 1.213%, key in 1.2)</v>
      </c>
      <c r="B60" s="57"/>
      <c r="C60" s="57"/>
      <c r="D60" s="74"/>
      <c r="E60" s="602">
        <v>0</v>
      </c>
      <c r="F60" s="90"/>
    </row>
    <row r="61" spans="1:6" ht="15.75">
      <c r="A61" s="56" t="s">
        <v>858</v>
      </c>
      <c r="B61" s="64"/>
      <c r="C61" s="36"/>
      <c r="D61" s="36"/>
      <c r="E61" s="603"/>
      <c r="F61" s="90"/>
    </row>
    <row r="62" spans="1:6" ht="15.75">
      <c r="A62" s="119" t="s">
        <v>221</v>
      </c>
      <c r="B62" s="119"/>
      <c r="C62" s="120"/>
      <c r="D62" s="120"/>
      <c r="E62" s="121"/>
      <c r="F62" s="122"/>
    </row>
    <row r="63" spans="1:6" ht="15.75">
      <c r="A63" s="28"/>
      <c r="B63" s="28"/>
      <c r="C63" s="28"/>
      <c r="D63" s="28"/>
      <c r="E63" s="28"/>
      <c r="F63" s="90"/>
    </row>
    <row r="64" spans="1:6" ht="15.75">
      <c r="A64" s="123" t="s">
        <v>257</v>
      </c>
      <c r="B64" s="124"/>
      <c r="C64" s="125"/>
      <c r="D64" s="125"/>
      <c r="E64" s="125"/>
      <c r="F64" s="126"/>
    </row>
    <row r="65" spans="1:5" ht="15.75">
      <c r="A65" s="127" t="str">
        <f>CONCATENATE("",E1," State Distribution for Kansas Gas Tax")</f>
        <v>2013 State Distribution for Kansas Gas Tax</v>
      </c>
      <c r="B65" s="128"/>
      <c r="C65" s="128"/>
      <c r="D65" s="129"/>
      <c r="E65" s="61">
        <v>1170</v>
      </c>
    </row>
    <row r="66" spans="1:5" ht="15.75">
      <c r="A66" s="130" t="str">
        <f>CONCATENATE("",E1," County Transfers for Gas***")</f>
        <v>2013 County Transfers for Gas***</v>
      </c>
      <c r="B66" s="131"/>
      <c r="C66" s="131"/>
      <c r="D66" s="132"/>
      <c r="E66" s="61"/>
    </row>
    <row r="67" spans="1:5" ht="15.75">
      <c r="A67" s="130" t="str">
        <f>CONCATENATE("Adjusted ",E1-1," State Distribution for Kansas Gas Tax")</f>
        <v>Adjusted 2012 State Distribution for Kansas Gas Tax</v>
      </c>
      <c r="B67" s="131"/>
      <c r="C67" s="131"/>
      <c r="D67" s="132"/>
      <c r="E67" s="61">
        <v>1160</v>
      </c>
    </row>
    <row r="68" spans="1:5" ht="17.25" customHeight="1">
      <c r="A68" s="130" t="str">
        <f>CONCATENATE("Adjusted ",E1-1," County Transfers for Gas***")</f>
        <v>Adjusted 2012 County Transfers for Gas***</v>
      </c>
      <c r="B68" s="131"/>
      <c r="C68" s="131"/>
      <c r="D68" s="132"/>
      <c r="E68" s="61"/>
    </row>
    <row r="69" spans="1:6" ht="17.25" customHeight="1">
      <c r="A69" s="684" t="s">
        <v>270</v>
      </c>
      <c r="B69" s="676"/>
      <c r="C69" s="676"/>
      <c r="D69" s="676"/>
      <c r="E69" s="676"/>
      <c r="F69" s="676"/>
    </row>
    <row r="70" spans="1:6" ht="15">
      <c r="A70" s="122" t="s">
        <v>271</v>
      </c>
      <c r="B70" s="122"/>
      <c r="C70" s="122"/>
      <c r="D70" s="122"/>
      <c r="E70" s="122"/>
      <c r="F70" s="122"/>
    </row>
    <row r="71" spans="1:5" ht="15">
      <c r="A71" s="90"/>
      <c r="B71" s="90"/>
      <c r="C71" s="90"/>
      <c r="D71" s="90"/>
      <c r="E71" s="90"/>
    </row>
    <row r="72" spans="1:5" ht="15.75">
      <c r="A72" s="692" t="str">
        <f>CONCATENATE("From the ",E1-2," Budget Certificate Page")</f>
        <v>From the 2011 Budget Certificate Page</v>
      </c>
      <c r="B72" s="693"/>
      <c r="C72" s="90"/>
      <c r="D72" s="90"/>
      <c r="E72" s="90"/>
    </row>
    <row r="73" spans="1:5" ht="15.75">
      <c r="A73" s="133"/>
      <c r="B73" s="133" t="str">
        <f>CONCATENATE("",E1-2," Expenditure Amts")</f>
        <v>2011 Expenditure Amts</v>
      </c>
      <c r="C73" s="678" t="str">
        <f>CONCATENATE("Note: If the ",E1-2," budget was amended, then the")</f>
        <v>Note: If the 2011 budget was amended, then the</v>
      </c>
      <c r="D73" s="679"/>
      <c r="E73" s="679"/>
    </row>
    <row r="74" spans="1:5" ht="15.75">
      <c r="A74" s="134" t="s">
        <v>276</v>
      </c>
      <c r="B74" s="134" t="s">
        <v>277</v>
      </c>
      <c r="C74" s="135" t="s">
        <v>278</v>
      </c>
      <c r="D74" s="136"/>
      <c r="E74" s="136"/>
    </row>
    <row r="75" spans="1:5" ht="15.75">
      <c r="A75" s="137" t="str">
        <f>inputPrYr!B22</f>
        <v>General</v>
      </c>
      <c r="B75" s="61">
        <v>26100</v>
      </c>
      <c r="C75" s="135" t="s">
        <v>279</v>
      </c>
      <c r="D75" s="136"/>
      <c r="E75" s="136"/>
    </row>
    <row r="76" spans="1:5" ht="15.75">
      <c r="A76" s="137" t="str">
        <f>inputPrYr!B23</f>
        <v>Debt Service</v>
      </c>
      <c r="B76" s="61"/>
      <c r="C76" s="135"/>
      <c r="D76" s="136"/>
      <c r="E76" s="136"/>
    </row>
    <row r="77" spans="1:5" ht="15.75">
      <c r="A77" s="137" t="str">
        <f>inputPrYr!B24</f>
        <v>Library</v>
      </c>
      <c r="B77" s="61"/>
      <c r="C77" s="90"/>
      <c r="D77" s="90"/>
      <c r="E77" s="90"/>
    </row>
    <row r="78" spans="1:5" ht="15.75">
      <c r="A78" s="137">
        <f>inputPrYr!B26</f>
        <v>0</v>
      </c>
      <c r="B78" s="61"/>
      <c r="C78" s="90"/>
      <c r="D78" s="90"/>
      <c r="E78" s="90"/>
    </row>
    <row r="79" spans="1:5" ht="15.75">
      <c r="A79" s="137">
        <f>inputPrYr!B27</f>
        <v>0</v>
      </c>
      <c r="B79" s="61"/>
      <c r="C79" s="90"/>
      <c r="D79" s="90"/>
      <c r="E79" s="90"/>
    </row>
    <row r="80" spans="1:5" ht="15.75">
      <c r="A80" s="137">
        <f>inputPrYr!B28</f>
        <v>0</v>
      </c>
      <c r="B80" s="61"/>
      <c r="C80" s="90"/>
      <c r="D80" s="90"/>
      <c r="E80" s="90"/>
    </row>
    <row r="81" spans="1:5" ht="15.75">
      <c r="A81" s="137">
        <f>inputPrYr!B29</f>
        <v>0</v>
      </c>
      <c r="B81" s="61"/>
      <c r="C81" s="90"/>
      <c r="D81" s="90"/>
      <c r="E81" s="90"/>
    </row>
    <row r="82" spans="1:5" ht="15.75">
      <c r="A82" s="137" t="str">
        <f>inputPrYr!B33</f>
        <v>Special Highway</v>
      </c>
      <c r="B82" s="61">
        <v>4520</v>
      </c>
      <c r="C82" s="90"/>
      <c r="D82" s="90"/>
      <c r="E82" s="90"/>
    </row>
    <row r="83" spans="1:5" ht="15.75">
      <c r="A83" s="137" t="str">
        <f>inputPrYr!B34</f>
        <v>Parks &amp; Recreation</v>
      </c>
      <c r="B83" s="61">
        <v>6327</v>
      </c>
      <c r="C83" s="90"/>
      <c r="D83" s="90"/>
      <c r="E83" s="90"/>
    </row>
    <row r="84" spans="1:5" ht="15.75">
      <c r="A84" s="137">
        <f>inputPrYr!B35</f>
        <v>0</v>
      </c>
      <c r="B84" s="61"/>
      <c r="C84" s="90"/>
      <c r="D84" s="90"/>
      <c r="E84" s="90"/>
    </row>
    <row r="85" spans="1:5" ht="15.75">
      <c r="A85" s="137">
        <f>inputPrYr!B36</f>
        <v>0</v>
      </c>
      <c r="B85" s="61"/>
      <c r="C85" s="90"/>
      <c r="D85" s="90"/>
      <c r="E85" s="90"/>
    </row>
    <row r="86" spans="1:5" ht="15.75">
      <c r="A86" s="137">
        <f>inputPrYr!B37</f>
        <v>0</v>
      </c>
      <c r="B86" s="61"/>
      <c r="C86" s="90"/>
      <c r="D86" s="90"/>
      <c r="E86" s="90"/>
    </row>
    <row r="87" spans="1:5" ht="15.75">
      <c r="A87" s="137">
        <f>inputPrYr!B38</f>
        <v>0</v>
      </c>
      <c r="B87" s="61"/>
      <c r="C87" s="90"/>
      <c r="D87" s="90"/>
      <c r="E87" s="90"/>
    </row>
    <row r="88" spans="1:5" ht="15.75">
      <c r="A88" s="137">
        <f>inputPrYr!B40</f>
        <v>0</v>
      </c>
      <c r="B88" s="61"/>
      <c r="C88" s="90"/>
      <c r="D88" s="90"/>
      <c r="E88" s="90"/>
    </row>
  </sheetData>
  <sheetProtection sheet="1"/>
  <mergeCells count="18">
    <mergeCell ref="A16:D16"/>
    <mergeCell ref="A3:E3"/>
    <mergeCell ref="A6:F6"/>
    <mergeCell ref="B7:B9"/>
    <mergeCell ref="C7:C9"/>
    <mergeCell ref="D7:D9"/>
    <mergeCell ref="E7:E9"/>
    <mergeCell ref="F7:F9"/>
    <mergeCell ref="C73:E73"/>
    <mergeCell ref="E48:E49"/>
    <mergeCell ref="A49:B49"/>
    <mergeCell ref="A69:F69"/>
    <mergeCell ref="A28:D28"/>
    <mergeCell ref="A39:D39"/>
    <mergeCell ref="C48:C49"/>
    <mergeCell ref="D48:D49"/>
    <mergeCell ref="A29:B29"/>
    <mergeCell ref="A72:B72"/>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37">
      <selection activeCell="A1" sqref="A1"/>
    </sheetView>
  </sheetViews>
  <sheetFormatPr defaultColWidth="8.796875" defaultRowHeight="15"/>
  <cols>
    <col min="1" max="1" width="71.296875" style="0" customWidth="1"/>
  </cols>
  <sheetData>
    <row r="3" spans="1:7" ht="15">
      <c r="A3" s="376" t="s">
        <v>575</v>
      </c>
      <c r="B3" s="376"/>
      <c r="C3" s="376"/>
      <c r="D3" s="376"/>
      <c r="E3" s="376"/>
      <c r="F3" s="376"/>
      <c r="G3" s="376"/>
    </row>
    <row r="4" spans="1:7" ht="15">
      <c r="A4" s="376"/>
      <c r="B4" s="376"/>
      <c r="C4" s="376"/>
      <c r="D4" s="376"/>
      <c r="E4" s="376"/>
      <c r="F4" s="376"/>
      <c r="G4" s="376"/>
    </row>
    <row r="5" ht="15">
      <c r="A5" s="377" t="s">
        <v>481</v>
      </c>
    </row>
    <row r="6" ht="15">
      <c r="A6" s="377" t="str">
        <f>CONCATENATE(inputPrYr!C10-1," estimated expenditures show that at the end of this year")</f>
        <v>2012 estimated expenditures show that at the end of this year</v>
      </c>
    </row>
    <row r="7" ht="15">
      <c r="A7" s="377" t="s">
        <v>576</v>
      </c>
    </row>
    <row r="8" ht="15">
      <c r="A8" s="377" t="s">
        <v>577</v>
      </c>
    </row>
    <row r="10" ht="15">
      <c r="A10" t="s">
        <v>483</v>
      </c>
    </row>
    <row r="11" ht="15">
      <c r="A11" t="s">
        <v>484</v>
      </c>
    </row>
    <row r="12" ht="15">
      <c r="A12" t="s">
        <v>485</v>
      </c>
    </row>
    <row r="13" spans="1:7" ht="15">
      <c r="A13" s="376"/>
      <c r="B13" s="376"/>
      <c r="C13" s="376"/>
      <c r="D13" s="376"/>
      <c r="E13" s="376"/>
      <c r="F13" s="376"/>
      <c r="G13" s="376"/>
    </row>
    <row r="14" ht="15">
      <c r="A14" s="378" t="s">
        <v>578</v>
      </c>
    </row>
    <row r="15" ht="15">
      <c r="A15" s="377"/>
    </row>
    <row r="16" ht="15">
      <c r="A16" s="377" t="s">
        <v>579</v>
      </c>
    </row>
    <row r="17" ht="15">
      <c r="A17" s="377" t="s">
        <v>580</v>
      </c>
    </row>
    <row r="18" ht="15">
      <c r="A18" s="377" t="s">
        <v>581</v>
      </c>
    </row>
    <row r="19" ht="15">
      <c r="A19" s="377"/>
    </row>
    <row r="20" ht="15">
      <c r="A20" s="377" t="s">
        <v>582</v>
      </c>
    </row>
    <row r="21" ht="15">
      <c r="A21" s="377" t="s">
        <v>583</v>
      </c>
    </row>
    <row r="22" ht="15">
      <c r="A22" s="377" t="s">
        <v>584</v>
      </c>
    </row>
    <row r="23" ht="15">
      <c r="A23" s="377" t="s">
        <v>585</v>
      </c>
    </row>
    <row r="24" ht="15">
      <c r="A24" s="377"/>
    </row>
    <row r="25" ht="15">
      <c r="A25" s="378" t="s">
        <v>547</v>
      </c>
    </row>
    <row r="26" ht="15">
      <c r="A26" s="378"/>
    </row>
    <row r="27" ht="15">
      <c r="A27" s="377" t="s">
        <v>548</v>
      </c>
    </row>
    <row r="28" spans="1:6" ht="15">
      <c r="A28" s="377" t="s">
        <v>549</v>
      </c>
      <c r="B28" s="377"/>
      <c r="C28" s="377"/>
      <c r="D28" s="377"/>
      <c r="E28" s="377"/>
      <c r="F28" s="377"/>
    </row>
    <row r="29" spans="1:6" ht="15">
      <c r="A29" s="377" t="s">
        <v>550</v>
      </c>
      <c r="B29" s="377"/>
      <c r="C29" s="377"/>
      <c r="D29" s="377"/>
      <c r="E29" s="377"/>
      <c r="F29" s="377"/>
    </row>
    <row r="30" spans="1:6" ht="15">
      <c r="A30" s="377" t="s">
        <v>551</v>
      </c>
      <c r="B30" s="377"/>
      <c r="C30" s="377"/>
      <c r="D30" s="377"/>
      <c r="E30" s="377"/>
      <c r="F30" s="377"/>
    </row>
    <row r="31" ht="15">
      <c r="A31" s="377"/>
    </row>
    <row r="32" spans="1:7" ht="15">
      <c r="A32" s="378" t="s">
        <v>552</v>
      </c>
      <c r="B32" s="378"/>
      <c r="C32" s="378"/>
      <c r="D32" s="378"/>
      <c r="E32" s="378"/>
      <c r="F32" s="378"/>
      <c r="G32" s="378"/>
    </row>
    <row r="33" spans="1:7" ht="15">
      <c r="A33" s="378" t="s">
        <v>553</v>
      </c>
      <c r="B33" s="378"/>
      <c r="C33" s="378"/>
      <c r="D33" s="378"/>
      <c r="E33" s="378"/>
      <c r="F33" s="378"/>
      <c r="G33" s="378"/>
    </row>
    <row r="34" spans="1:7" ht="15">
      <c r="A34" s="378"/>
      <c r="B34" s="378"/>
      <c r="C34" s="378"/>
      <c r="D34" s="378"/>
      <c r="E34" s="378"/>
      <c r="F34" s="378"/>
      <c r="G34" s="378"/>
    </row>
    <row r="35" spans="1:7" ht="15">
      <c r="A35" s="377" t="s">
        <v>586</v>
      </c>
      <c r="B35" s="377"/>
      <c r="C35" s="377"/>
      <c r="D35" s="377"/>
      <c r="E35" s="377"/>
      <c r="F35" s="377"/>
      <c r="G35" s="377"/>
    </row>
    <row r="36" spans="1:7" ht="15">
      <c r="A36" s="377" t="s">
        <v>587</v>
      </c>
      <c r="B36" s="377"/>
      <c r="C36" s="377"/>
      <c r="D36" s="377"/>
      <c r="E36" s="377"/>
      <c r="F36" s="377"/>
      <c r="G36" s="377"/>
    </row>
    <row r="37" spans="1:7" ht="15">
      <c r="A37" s="377" t="s">
        <v>588</v>
      </c>
      <c r="B37" s="377"/>
      <c r="C37" s="377"/>
      <c r="D37" s="377"/>
      <c r="E37" s="377"/>
      <c r="F37" s="377"/>
      <c r="G37" s="377"/>
    </row>
    <row r="38" spans="1:7" ht="15">
      <c r="A38" s="377" t="s">
        <v>589</v>
      </c>
      <c r="B38" s="377"/>
      <c r="C38" s="377"/>
      <c r="D38" s="377"/>
      <c r="E38" s="377"/>
      <c r="F38" s="377"/>
      <c r="G38" s="377"/>
    </row>
    <row r="39" spans="1:7" ht="15">
      <c r="A39" s="377" t="s">
        <v>590</v>
      </c>
      <c r="B39" s="377"/>
      <c r="C39" s="377"/>
      <c r="D39" s="377"/>
      <c r="E39" s="377"/>
      <c r="F39" s="377"/>
      <c r="G39" s="377"/>
    </row>
    <row r="40" spans="1:7" ht="15">
      <c r="A40" s="378"/>
      <c r="B40" s="378"/>
      <c r="C40" s="378"/>
      <c r="D40" s="378"/>
      <c r="E40" s="378"/>
      <c r="F40" s="378"/>
      <c r="G40" s="378"/>
    </row>
    <row r="41" spans="1:6" ht="15">
      <c r="A41" s="381" t="str">
        <f>CONCATENATE("So, let's look to see if any of your ",inputPrYr!C10-1," expenditures can")</f>
        <v>So, let's look to see if any of your 2012 expenditures can</v>
      </c>
      <c r="B41" s="377"/>
      <c r="C41" s="377"/>
      <c r="D41" s="377"/>
      <c r="E41" s="377"/>
      <c r="F41" s="377"/>
    </row>
    <row r="42" spans="1:6" ht="15">
      <c r="A42" s="381" t="s">
        <v>554</v>
      </c>
      <c r="B42" s="377"/>
      <c r="C42" s="377"/>
      <c r="D42" s="377"/>
      <c r="E42" s="377"/>
      <c r="F42" s="377"/>
    </row>
    <row r="43" spans="1:6" ht="15">
      <c r="A43" s="381" t="s">
        <v>438</v>
      </c>
      <c r="B43" s="377"/>
      <c r="C43" s="377"/>
      <c r="D43" s="377"/>
      <c r="E43" s="377"/>
      <c r="F43" s="377"/>
    </row>
    <row r="44" spans="1:6" ht="15">
      <c r="A44" s="381" t="s">
        <v>439</v>
      </c>
      <c r="B44" s="377"/>
      <c r="C44" s="377"/>
      <c r="D44" s="377"/>
      <c r="E44" s="377"/>
      <c r="F44" s="377"/>
    </row>
    <row r="45" ht="15">
      <c r="A45" s="377"/>
    </row>
    <row r="46" spans="1:6" ht="15">
      <c r="A46" s="381" t="str">
        <f>CONCATENATE("Additionally, do your ",inputPrYr!C10-1," receipts contain a reimbursement")</f>
        <v>Additionally, do your 2012 receipts contain a reimbursement</v>
      </c>
      <c r="B46" s="377"/>
      <c r="C46" s="377"/>
      <c r="D46" s="377"/>
      <c r="E46" s="377"/>
      <c r="F46" s="377"/>
    </row>
    <row r="47" spans="1:6" ht="15">
      <c r="A47" s="381" t="s">
        <v>440</v>
      </c>
      <c r="B47" s="377"/>
      <c r="C47" s="377"/>
      <c r="D47" s="377"/>
      <c r="E47" s="377"/>
      <c r="F47" s="377"/>
    </row>
    <row r="48" spans="1:6" ht="15">
      <c r="A48" s="381" t="s">
        <v>441</v>
      </c>
      <c r="B48" s="377"/>
      <c r="C48" s="377"/>
      <c r="D48" s="377"/>
      <c r="E48" s="377"/>
      <c r="F48" s="377"/>
    </row>
    <row r="49" spans="1:7" ht="15">
      <c r="A49" s="377"/>
      <c r="B49" s="377"/>
      <c r="C49" s="377"/>
      <c r="D49" s="377"/>
      <c r="E49" s="377"/>
      <c r="F49" s="377"/>
      <c r="G49" s="377"/>
    </row>
    <row r="50" spans="1:7" ht="15">
      <c r="A50" s="377" t="s">
        <v>508</v>
      </c>
      <c r="B50" s="377"/>
      <c r="C50" s="377"/>
      <c r="D50" s="377"/>
      <c r="E50" s="377"/>
      <c r="F50" s="377"/>
      <c r="G50" s="377"/>
    </row>
    <row r="51" spans="1:7" ht="15">
      <c r="A51" s="377" t="s">
        <v>509</v>
      </c>
      <c r="B51" s="377"/>
      <c r="C51" s="377"/>
      <c r="D51" s="377"/>
      <c r="E51" s="377"/>
      <c r="F51" s="377"/>
      <c r="G51" s="377"/>
    </row>
    <row r="52" spans="1:7" ht="15">
      <c r="A52" s="377" t="s">
        <v>510</v>
      </c>
      <c r="B52" s="377"/>
      <c r="C52" s="377"/>
      <c r="D52" s="377"/>
      <c r="E52" s="377"/>
      <c r="F52" s="377"/>
      <c r="G52" s="377"/>
    </row>
    <row r="53" spans="1:7" ht="15">
      <c r="A53" s="377" t="s">
        <v>511</v>
      </c>
      <c r="B53" s="377"/>
      <c r="C53" s="377"/>
      <c r="D53" s="377"/>
      <c r="E53" s="377"/>
      <c r="F53" s="377"/>
      <c r="G53" s="377"/>
    </row>
    <row r="54" spans="1:7" ht="15">
      <c r="A54" s="377" t="s">
        <v>512</v>
      </c>
      <c r="B54" s="377"/>
      <c r="C54" s="377"/>
      <c r="D54" s="377"/>
      <c r="E54" s="377"/>
      <c r="F54" s="377"/>
      <c r="G54" s="377"/>
    </row>
    <row r="55" spans="1:7" ht="15">
      <c r="A55" s="377"/>
      <c r="B55" s="377"/>
      <c r="C55" s="377"/>
      <c r="D55" s="377"/>
      <c r="E55" s="377"/>
      <c r="F55" s="377"/>
      <c r="G55" s="377"/>
    </row>
    <row r="56" spans="1:6" ht="15">
      <c r="A56" s="381" t="s">
        <v>450</v>
      </c>
      <c r="B56" s="377"/>
      <c r="C56" s="377"/>
      <c r="D56" s="377"/>
      <c r="E56" s="377"/>
      <c r="F56" s="377"/>
    </row>
    <row r="57" spans="1:6" ht="15">
      <c r="A57" s="381" t="s">
        <v>451</v>
      </c>
      <c r="B57" s="377"/>
      <c r="C57" s="377"/>
      <c r="D57" s="377"/>
      <c r="E57" s="377"/>
      <c r="F57" s="377"/>
    </row>
    <row r="58" spans="1:6" ht="15">
      <c r="A58" s="381" t="s">
        <v>452</v>
      </c>
      <c r="B58" s="377"/>
      <c r="C58" s="377"/>
      <c r="D58" s="377"/>
      <c r="E58" s="377"/>
      <c r="F58" s="377"/>
    </row>
    <row r="59" spans="1:6" ht="15">
      <c r="A59" s="381"/>
      <c r="B59" s="377"/>
      <c r="C59" s="377"/>
      <c r="D59" s="377"/>
      <c r="E59" s="377"/>
      <c r="F59" s="377"/>
    </row>
    <row r="60" spans="1:7" ht="15">
      <c r="A60" s="377" t="s">
        <v>591</v>
      </c>
      <c r="B60" s="377"/>
      <c r="C60" s="377"/>
      <c r="D60" s="377"/>
      <c r="E60" s="377"/>
      <c r="F60" s="377"/>
      <c r="G60" s="377"/>
    </row>
    <row r="61" spans="1:7" ht="15">
      <c r="A61" s="377" t="s">
        <v>592</v>
      </c>
      <c r="B61" s="377"/>
      <c r="C61" s="377"/>
      <c r="D61" s="377"/>
      <c r="E61" s="377"/>
      <c r="F61" s="377"/>
      <c r="G61" s="377"/>
    </row>
    <row r="62" spans="1:7" ht="15">
      <c r="A62" s="377" t="s">
        <v>593</v>
      </c>
      <c r="B62" s="377"/>
      <c r="C62" s="377"/>
      <c r="D62" s="377"/>
      <c r="E62" s="377"/>
      <c r="F62" s="377"/>
      <c r="G62" s="377"/>
    </row>
    <row r="63" spans="1:7" ht="15">
      <c r="A63" s="377" t="s">
        <v>594</v>
      </c>
      <c r="B63" s="377"/>
      <c r="C63" s="377"/>
      <c r="D63" s="377"/>
      <c r="E63" s="377"/>
      <c r="F63" s="377"/>
      <c r="G63" s="377"/>
    </row>
    <row r="64" spans="1:7" ht="15">
      <c r="A64" s="377" t="s">
        <v>595</v>
      </c>
      <c r="B64" s="377"/>
      <c r="C64" s="377"/>
      <c r="D64" s="377"/>
      <c r="E64" s="377"/>
      <c r="F64" s="377"/>
      <c r="G64" s="377"/>
    </row>
    <row r="66" spans="1:6" ht="15">
      <c r="A66" s="381" t="s">
        <v>558</v>
      </c>
      <c r="B66" s="377"/>
      <c r="C66" s="377"/>
      <c r="D66" s="377"/>
      <c r="E66" s="377"/>
      <c r="F66" s="377"/>
    </row>
    <row r="67" spans="1:6" ht="15">
      <c r="A67" s="381" t="s">
        <v>559</v>
      </c>
      <c r="B67" s="377"/>
      <c r="C67" s="377"/>
      <c r="D67" s="377"/>
      <c r="E67" s="377"/>
      <c r="F67" s="377"/>
    </row>
    <row r="68" spans="1:6" ht="15">
      <c r="A68" s="381" t="s">
        <v>560</v>
      </c>
      <c r="B68" s="377"/>
      <c r="C68" s="377"/>
      <c r="D68" s="377"/>
      <c r="E68" s="377"/>
      <c r="F68" s="377"/>
    </row>
    <row r="69" spans="1:6" ht="15">
      <c r="A69" s="381" t="s">
        <v>561</v>
      </c>
      <c r="B69" s="377"/>
      <c r="C69" s="377"/>
      <c r="D69" s="377"/>
      <c r="E69" s="377"/>
      <c r="F69" s="377"/>
    </row>
    <row r="70" spans="1:6" ht="15">
      <c r="A70" s="381" t="s">
        <v>562</v>
      </c>
      <c r="B70" s="377"/>
      <c r="C70" s="377"/>
      <c r="D70" s="377"/>
      <c r="E70" s="377"/>
      <c r="F70" s="377"/>
    </row>
    <row r="71" ht="15">
      <c r="A71" s="377"/>
    </row>
    <row r="72" ht="15">
      <c r="A72" s="377" t="s">
        <v>479</v>
      </c>
    </row>
    <row r="73" ht="15">
      <c r="A73" s="377"/>
    </row>
    <row r="74" ht="15">
      <c r="A74" s="377"/>
    </row>
    <row r="75" ht="15">
      <c r="A75" s="377"/>
    </row>
    <row r="78" ht="15">
      <c r="A78" s="378"/>
    </row>
    <row r="80" ht="15">
      <c r="A80" s="377"/>
    </row>
    <row r="81" ht="15">
      <c r="A81" s="377"/>
    </row>
    <row r="82" ht="15">
      <c r="A82" s="377"/>
    </row>
    <row r="83" ht="15">
      <c r="A83" s="377"/>
    </row>
    <row r="84" ht="15">
      <c r="A84" s="377"/>
    </row>
    <row r="85" ht="15">
      <c r="A85" s="377"/>
    </row>
    <row r="86" ht="15">
      <c r="A86" s="377"/>
    </row>
    <row r="87" ht="15">
      <c r="A87" s="377"/>
    </row>
    <row r="88" ht="15">
      <c r="A88" s="377"/>
    </row>
    <row r="89" ht="15">
      <c r="A89" s="377"/>
    </row>
    <row r="90" ht="15">
      <c r="A90" s="377"/>
    </row>
    <row r="92" ht="15">
      <c r="A92" s="377"/>
    </row>
    <row r="93" ht="15">
      <c r="A93" s="377"/>
    </row>
    <row r="94" ht="15">
      <c r="A94" s="377"/>
    </row>
    <row r="95" ht="15">
      <c r="A95" s="377"/>
    </row>
    <row r="96" ht="15">
      <c r="A96" s="377"/>
    </row>
    <row r="97" ht="15">
      <c r="A97" s="377"/>
    </row>
    <row r="98" ht="15">
      <c r="A98" s="377"/>
    </row>
    <row r="99" ht="15">
      <c r="A99" s="377"/>
    </row>
    <row r="100" ht="15">
      <c r="A100" s="377"/>
    </row>
    <row r="101" ht="15">
      <c r="A101" s="377"/>
    </row>
    <row r="102" ht="15">
      <c r="A102" s="377"/>
    </row>
    <row r="103" ht="15">
      <c r="A103" s="377"/>
    </row>
    <row r="104" ht="15">
      <c r="A104" s="377"/>
    </row>
    <row r="105" ht="15">
      <c r="A105" s="377"/>
    </row>
    <row r="106" ht="15">
      <c r="A106" s="377"/>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4">
      <selection activeCell="A1" sqref="A1"/>
    </sheetView>
  </sheetViews>
  <sheetFormatPr defaultColWidth="8.796875" defaultRowHeight="15"/>
  <cols>
    <col min="1" max="1" width="71.296875" style="0" customWidth="1"/>
  </cols>
  <sheetData>
    <row r="3" spans="1:7" ht="15">
      <c r="A3" s="376" t="s">
        <v>596</v>
      </c>
      <c r="B3" s="376"/>
      <c r="C3" s="376"/>
      <c r="D3" s="376"/>
      <c r="E3" s="376"/>
      <c r="F3" s="376"/>
      <c r="G3" s="376"/>
    </row>
    <row r="4" spans="1:7" ht="15">
      <c r="A4" s="376" t="s">
        <v>597</v>
      </c>
      <c r="B4" s="376"/>
      <c r="C4" s="376"/>
      <c r="D4" s="376"/>
      <c r="E4" s="376"/>
      <c r="F4" s="376"/>
      <c r="G4" s="376"/>
    </row>
    <row r="5" spans="1:7" ht="15">
      <c r="A5" s="376"/>
      <c r="B5" s="376"/>
      <c r="C5" s="376"/>
      <c r="D5" s="376"/>
      <c r="E5" s="376"/>
      <c r="F5" s="376"/>
      <c r="G5" s="376"/>
    </row>
    <row r="6" spans="1:7" ht="15">
      <c r="A6" s="376"/>
      <c r="B6" s="376"/>
      <c r="C6" s="376"/>
      <c r="D6" s="376"/>
      <c r="E6" s="376"/>
      <c r="F6" s="376"/>
      <c r="G6" s="376"/>
    </row>
    <row r="7" ht="15">
      <c r="A7" s="377" t="s">
        <v>424</v>
      </c>
    </row>
    <row r="8" ht="15">
      <c r="A8" s="377" t="str">
        <f>CONCATENATE("estimated ",inputPrYr!C10," 'total expenditures' exceed your ",inputPrYr!C10,"")</f>
        <v>estimated 2013 'total expenditures' exceed your 2013</v>
      </c>
    </row>
    <row r="9" ht="15">
      <c r="A9" s="380" t="s">
        <v>598</v>
      </c>
    </row>
    <row r="10" ht="15">
      <c r="A10" s="377"/>
    </row>
    <row r="11" ht="15">
      <c r="A11" s="377" t="s">
        <v>599</v>
      </c>
    </row>
    <row r="12" ht="15">
      <c r="A12" s="377" t="s">
        <v>600</v>
      </c>
    </row>
    <row r="13" ht="15">
      <c r="A13" s="377" t="s">
        <v>601</v>
      </c>
    </row>
    <row r="14" ht="15">
      <c r="A14" s="377"/>
    </row>
    <row r="15" ht="15">
      <c r="A15" s="378" t="s">
        <v>602</v>
      </c>
    </row>
    <row r="16" spans="1:7" ht="15">
      <c r="A16" s="376"/>
      <c r="B16" s="376"/>
      <c r="C16" s="376"/>
      <c r="D16" s="376"/>
      <c r="E16" s="376"/>
      <c r="F16" s="376"/>
      <c r="G16" s="376"/>
    </row>
    <row r="17" spans="1:8" ht="15">
      <c r="A17" s="383" t="s">
        <v>603</v>
      </c>
      <c r="B17" s="384"/>
      <c r="C17" s="384"/>
      <c r="D17" s="384"/>
      <c r="E17" s="384"/>
      <c r="F17" s="384"/>
      <c r="G17" s="384"/>
      <c r="H17" s="384"/>
    </row>
    <row r="18" spans="1:7" ht="15">
      <c r="A18" s="377" t="s">
        <v>604</v>
      </c>
      <c r="B18" s="385"/>
      <c r="C18" s="385"/>
      <c r="D18" s="385"/>
      <c r="E18" s="385"/>
      <c r="F18" s="385"/>
      <c r="G18" s="385"/>
    </row>
    <row r="19" ht="15">
      <c r="A19" s="377" t="s">
        <v>605</v>
      </c>
    </row>
    <row r="20" ht="15">
      <c r="A20" s="377" t="s">
        <v>606</v>
      </c>
    </row>
    <row r="22" ht="15">
      <c r="A22" s="378" t="s">
        <v>607</v>
      </c>
    </row>
    <row r="24" ht="15">
      <c r="A24" s="377" t="s">
        <v>608</v>
      </c>
    </row>
    <row r="25" ht="15">
      <c r="A25" s="377" t="s">
        <v>609</v>
      </c>
    </row>
    <row r="26" ht="15">
      <c r="A26" s="377" t="s">
        <v>610</v>
      </c>
    </row>
    <row r="28" ht="15">
      <c r="A28" s="378" t="s">
        <v>611</v>
      </c>
    </row>
    <row r="30" ht="15">
      <c r="A30" t="s">
        <v>612</v>
      </c>
    </row>
    <row r="31" ht="15">
      <c r="A31" t="s">
        <v>613</v>
      </c>
    </row>
    <row r="32" ht="15">
      <c r="A32" t="s">
        <v>614</v>
      </c>
    </row>
    <row r="33" ht="15">
      <c r="A33" s="377" t="s">
        <v>615</v>
      </c>
    </row>
    <row r="35" ht="15">
      <c r="A35" t="s">
        <v>616</v>
      </c>
    </row>
    <row r="36" ht="15">
      <c r="A36" t="s">
        <v>617</v>
      </c>
    </row>
    <row r="37" ht="15">
      <c r="A37" t="s">
        <v>618</v>
      </c>
    </row>
    <row r="38" ht="15">
      <c r="A38" t="s">
        <v>619</v>
      </c>
    </row>
    <row r="40" ht="15">
      <c r="A40" t="s">
        <v>620</v>
      </c>
    </row>
    <row r="41" ht="15">
      <c r="A41" t="s">
        <v>621</v>
      </c>
    </row>
    <row r="42" ht="15">
      <c r="A42" t="s">
        <v>622</v>
      </c>
    </row>
    <row r="43" ht="15">
      <c r="A43" t="s">
        <v>623</v>
      </c>
    </row>
    <row r="44" ht="15">
      <c r="A44" t="s">
        <v>624</v>
      </c>
    </row>
    <row r="45" ht="15">
      <c r="A45" t="s">
        <v>625</v>
      </c>
    </row>
    <row r="47" ht="15">
      <c r="A47" t="s">
        <v>626</v>
      </c>
    </row>
    <row r="48" ht="15">
      <c r="A48" t="s">
        <v>627</v>
      </c>
    </row>
    <row r="49" ht="15">
      <c r="A49" s="377" t="s">
        <v>628</v>
      </c>
    </row>
    <row r="50" ht="15">
      <c r="A50" s="377" t="s">
        <v>629</v>
      </c>
    </row>
    <row r="52" ht="15">
      <c r="A52" t="s">
        <v>479</v>
      </c>
    </row>
  </sheetData>
  <sheetProtection sheet="1"/>
  <printOptions/>
  <pageMargins left="0.7" right="0.7" top="0.75" bottom="0.75" header="0.3" footer="0.3"/>
  <pageSetup horizontalDpi="600" verticalDpi="600" orientation="portrait" r:id="rId1"/>
  <headerFooter>
    <oddFooter>&amp;Lrevised 10/5/09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0">
      <selection activeCell="K14" sqref="K14"/>
    </sheetView>
  </sheetViews>
  <sheetFormatPr defaultColWidth="8.796875" defaultRowHeight="15"/>
  <cols>
    <col min="1" max="1" width="7.59765625" style="411" customWidth="1"/>
    <col min="2" max="2" width="11.19921875" style="412" customWidth="1"/>
    <col min="3" max="3" width="7.3984375" style="412" customWidth="1"/>
    <col min="4" max="4" width="8.8984375" style="412" customWidth="1"/>
    <col min="5" max="5" width="1.59765625" style="412" customWidth="1"/>
    <col min="6" max="6" width="14.296875" style="412" customWidth="1"/>
    <col min="7" max="7" width="2.59765625" style="412" customWidth="1"/>
    <col min="8" max="8" width="9.796875" style="412" customWidth="1"/>
    <col min="9" max="9" width="2" style="412" customWidth="1"/>
    <col min="10" max="10" width="8.59765625" style="412" customWidth="1"/>
    <col min="11" max="11" width="11.69921875" style="412" customWidth="1"/>
    <col min="12" max="12" width="7.59765625" style="411" customWidth="1"/>
    <col min="13" max="14" width="8.8984375" style="411" customWidth="1"/>
    <col min="15" max="15" width="9.8984375" style="411" bestFit="1" customWidth="1"/>
    <col min="16" max="16384" width="8.8984375" style="411" customWidth="1"/>
  </cols>
  <sheetData>
    <row r="1" spans="1:12" ht="14.25">
      <c r="A1" s="410"/>
      <c r="B1" s="410"/>
      <c r="C1" s="410"/>
      <c r="D1" s="410"/>
      <c r="E1" s="410"/>
      <c r="F1" s="410"/>
      <c r="G1" s="410"/>
      <c r="H1" s="410"/>
      <c r="I1" s="410"/>
      <c r="J1" s="410"/>
      <c r="K1" s="410"/>
      <c r="L1" s="410"/>
    </row>
    <row r="2" spans="1:12" ht="14.25">
      <c r="A2" s="410"/>
      <c r="B2" s="410"/>
      <c r="C2" s="410"/>
      <c r="D2" s="410"/>
      <c r="E2" s="410"/>
      <c r="F2" s="410"/>
      <c r="G2" s="410"/>
      <c r="H2" s="410"/>
      <c r="I2" s="410"/>
      <c r="J2" s="410"/>
      <c r="K2" s="410"/>
      <c r="L2" s="410"/>
    </row>
    <row r="3" spans="1:12" ht="14.25">
      <c r="A3" s="410"/>
      <c r="B3" s="410"/>
      <c r="C3" s="410"/>
      <c r="D3" s="410"/>
      <c r="E3" s="410"/>
      <c r="F3" s="410"/>
      <c r="G3" s="410"/>
      <c r="H3" s="410"/>
      <c r="I3" s="410"/>
      <c r="J3" s="410"/>
      <c r="K3" s="410"/>
      <c r="L3" s="410"/>
    </row>
    <row r="4" spans="1:12" ht="14.25">
      <c r="A4" s="410"/>
      <c r="L4" s="410"/>
    </row>
    <row r="5" spans="1:12" ht="15" customHeight="1">
      <c r="A5" s="410"/>
      <c r="L5" s="410"/>
    </row>
    <row r="6" spans="1:12" ht="33" customHeight="1">
      <c r="A6" s="410"/>
      <c r="B6" s="790" t="s">
        <v>670</v>
      </c>
      <c r="C6" s="794"/>
      <c r="D6" s="794"/>
      <c r="E6" s="794"/>
      <c r="F6" s="794"/>
      <c r="G6" s="794"/>
      <c r="H6" s="794"/>
      <c r="I6" s="794"/>
      <c r="J6" s="794"/>
      <c r="K6" s="794"/>
      <c r="L6" s="413"/>
    </row>
    <row r="7" spans="1:12" ht="40.5" customHeight="1">
      <c r="A7" s="410"/>
      <c r="B7" s="802" t="s">
        <v>671</v>
      </c>
      <c r="C7" s="803"/>
      <c r="D7" s="803"/>
      <c r="E7" s="803"/>
      <c r="F7" s="803"/>
      <c r="G7" s="803"/>
      <c r="H7" s="803"/>
      <c r="I7" s="803"/>
      <c r="J7" s="803"/>
      <c r="K7" s="803"/>
      <c r="L7" s="410"/>
    </row>
    <row r="8" spans="1:12" ht="14.25">
      <c r="A8" s="410"/>
      <c r="B8" s="801" t="s">
        <v>672</v>
      </c>
      <c r="C8" s="801"/>
      <c r="D8" s="801"/>
      <c r="E8" s="801"/>
      <c r="F8" s="801"/>
      <c r="G8" s="801"/>
      <c r="H8" s="801"/>
      <c r="I8" s="801"/>
      <c r="J8" s="801"/>
      <c r="K8" s="801"/>
      <c r="L8" s="410"/>
    </row>
    <row r="9" spans="1:12" ht="14.25">
      <c r="A9" s="410"/>
      <c r="L9" s="410"/>
    </row>
    <row r="10" spans="1:12" ht="14.25">
      <c r="A10" s="410"/>
      <c r="B10" s="801" t="s">
        <v>673</v>
      </c>
      <c r="C10" s="801"/>
      <c r="D10" s="801"/>
      <c r="E10" s="801"/>
      <c r="F10" s="801"/>
      <c r="G10" s="801"/>
      <c r="H10" s="801"/>
      <c r="I10" s="801"/>
      <c r="J10" s="801"/>
      <c r="K10" s="801"/>
      <c r="L10" s="410"/>
    </row>
    <row r="11" spans="1:12" ht="14.25">
      <c r="A11" s="410"/>
      <c r="B11" s="613"/>
      <c r="C11" s="613"/>
      <c r="D11" s="613"/>
      <c r="E11" s="613"/>
      <c r="F11" s="613"/>
      <c r="G11" s="613"/>
      <c r="H11" s="613"/>
      <c r="I11" s="613"/>
      <c r="J11" s="613"/>
      <c r="K11" s="613"/>
      <c r="L11" s="410"/>
    </row>
    <row r="12" spans="1:12" ht="32.25" customHeight="1">
      <c r="A12" s="410"/>
      <c r="B12" s="792" t="s">
        <v>674</v>
      </c>
      <c r="C12" s="792"/>
      <c r="D12" s="792"/>
      <c r="E12" s="792"/>
      <c r="F12" s="792"/>
      <c r="G12" s="792"/>
      <c r="H12" s="792"/>
      <c r="I12" s="792"/>
      <c r="J12" s="792"/>
      <c r="K12" s="792"/>
      <c r="L12" s="410"/>
    </row>
    <row r="13" spans="1:12" ht="14.25">
      <c r="A13" s="410"/>
      <c r="L13" s="410"/>
    </row>
    <row r="14" spans="1:12" ht="14.25">
      <c r="A14" s="410"/>
      <c r="B14" s="414" t="s">
        <v>675</v>
      </c>
      <c r="L14" s="410"/>
    </row>
    <row r="15" spans="1:12" ht="14.25">
      <c r="A15" s="410"/>
      <c r="L15" s="410"/>
    </row>
    <row r="16" spans="1:12" ht="14.25">
      <c r="A16" s="410"/>
      <c r="B16" s="412" t="s">
        <v>676</v>
      </c>
      <c r="L16" s="410"/>
    </row>
    <row r="17" spans="1:12" ht="14.25">
      <c r="A17" s="410"/>
      <c r="B17" s="412" t="s">
        <v>677</v>
      </c>
      <c r="L17" s="410"/>
    </row>
    <row r="18" spans="1:12" ht="14.25">
      <c r="A18" s="410"/>
      <c r="L18" s="410"/>
    </row>
    <row r="19" spans="1:12" ht="14.25">
      <c r="A19" s="410"/>
      <c r="B19" s="414" t="s">
        <v>866</v>
      </c>
      <c r="L19" s="410"/>
    </row>
    <row r="20" spans="1:12" ht="14.25">
      <c r="A20" s="410"/>
      <c r="B20" s="414"/>
      <c r="L20" s="410"/>
    </row>
    <row r="21" spans="1:12" ht="14.25">
      <c r="A21" s="410"/>
      <c r="B21" s="412" t="s">
        <v>867</v>
      </c>
      <c r="L21" s="410"/>
    </row>
    <row r="22" spans="1:12" ht="14.25">
      <c r="A22" s="410"/>
      <c r="L22" s="410"/>
    </row>
    <row r="23" spans="1:12" ht="14.25">
      <c r="A23" s="410"/>
      <c r="B23" s="412" t="s">
        <v>678</v>
      </c>
      <c r="E23" s="412" t="s">
        <v>679</v>
      </c>
      <c r="F23" s="796">
        <v>312000000</v>
      </c>
      <c r="G23" s="796"/>
      <c r="L23" s="410"/>
    </row>
    <row r="24" spans="1:12" ht="14.25">
      <c r="A24" s="410"/>
      <c r="L24" s="410"/>
    </row>
    <row r="25" spans="1:12" ht="14.25">
      <c r="A25" s="410"/>
      <c r="C25" s="804">
        <f>F23</f>
        <v>312000000</v>
      </c>
      <c r="D25" s="804"/>
      <c r="E25" s="412" t="s">
        <v>680</v>
      </c>
      <c r="F25" s="415">
        <v>1000</v>
      </c>
      <c r="G25" s="415" t="s">
        <v>679</v>
      </c>
      <c r="H25" s="612">
        <f>F23/F25</f>
        <v>312000</v>
      </c>
      <c r="L25" s="410"/>
    </row>
    <row r="26" spans="1:12" ht="15" thickBot="1">
      <c r="A26" s="410"/>
      <c r="L26" s="410"/>
    </row>
    <row r="27" spans="1:12" ht="14.25">
      <c r="A27" s="410"/>
      <c r="B27" s="416" t="s">
        <v>675</v>
      </c>
      <c r="C27" s="417"/>
      <c r="D27" s="417"/>
      <c r="E27" s="417"/>
      <c r="F27" s="417"/>
      <c r="G27" s="417"/>
      <c r="H27" s="417"/>
      <c r="I27" s="417"/>
      <c r="J27" s="417"/>
      <c r="K27" s="418"/>
      <c r="L27" s="410"/>
    </row>
    <row r="28" spans="1:12" ht="14.25">
      <c r="A28" s="410"/>
      <c r="B28" s="419">
        <f>F23</f>
        <v>312000000</v>
      </c>
      <c r="C28" s="420" t="s">
        <v>681</v>
      </c>
      <c r="D28" s="420"/>
      <c r="E28" s="420" t="s">
        <v>680</v>
      </c>
      <c r="F28" s="610">
        <v>1000</v>
      </c>
      <c r="G28" s="610" t="s">
        <v>679</v>
      </c>
      <c r="H28" s="421">
        <f>B28/F28</f>
        <v>312000</v>
      </c>
      <c r="I28" s="420" t="s">
        <v>682</v>
      </c>
      <c r="J28" s="420"/>
      <c r="K28" s="422"/>
      <c r="L28" s="410"/>
    </row>
    <row r="29" spans="1:12" ht="15" thickBot="1">
      <c r="A29" s="410"/>
      <c r="B29" s="423"/>
      <c r="C29" s="424"/>
      <c r="D29" s="424"/>
      <c r="E29" s="424"/>
      <c r="F29" s="424"/>
      <c r="G29" s="424"/>
      <c r="H29" s="424"/>
      <c r="I29" s="424"/>
      <c r="J29" s="424"/>
      <c r="K29" s="425"/>
      <c r="L29" s="410"/>
    </row>
    <row r="30" spans="1:12" ht="40.5" customHeight="1">
      <c r="A30" s="410"/>
      <c r="B30" s="789" t="s">
        <v>671</v>
      </c>
      <c r="C30" s="789"/>
      <c r="D30" s="789"/>
      <c r="E30" s="789"/>
      <c r="F30" s="789"/>
      <c r="G30" s="789"/>
      <c r="H30" s="789"/>
      <c r="I30" s="789"/>
      <c r="J30" s="789"/>
      <c r="K30" s="789"/>
      <c r="L30" s="410"/>
    </row>
    <row r="31" spans="1:12" ht="14.25">
      <c r="A31" s="410"/>
      <c r="B31" s="801" t="s">
        <v>683</v>
      </c>
      <c r="C31" s="801"/>
      <c r="D31" s="801"/>
      <c r="E31" s="801"/>
      <c r="F31" s="801"/>
      <c r="G31" s="801"/>
      <c r="H31" s="801"/>
      <c r="I31" s="801"/>
      <c r="J31" s="801"/>
      <c r="K31" s="801"/>
      <c r="L31" s="410"/>
    </row>
    <row r="32" spans="1:12" ht="14.25">
      <c r="A32" s="410"/>
      <c r="L32" s="410"/>
    </row>
    <row r="33" spans="1:12" ht="14.25">
      <c r="A33" s="410"/>
      <c r="B33" s="801" t="s">
        <v>684</v>
      </c>
      <c r="C33" s="801"/>
      <c r="D33" s="801"/>
      <c r="E33" s="801"/>
      <c r="F33" s="801"/>
      <c r="G33" s="801"/>
      <c r="H33" s="801"/>
      <c r="I33" s="801"/>
      <c r="J33" s="801"/>
      <c r="K33" s="801"/>
      <c r="L33" s="410"/>
    </row>
    <row r="34" spans="1:12" ht="14.25">
      <c r="A34" s="410"/>
      <c r="L34" s="410"/>
    </row>
    <row r="35" spans="1:12" ht="89.25" customHeight="1">
      <c r="A35" s="410"/>
      <c r="B35" s="792" t="s">
        <v>685</v>
      </c>
      <c r="C35" s="798"/>
      <c r="D35" s="798"/>
      <c r="E35" s="798"/>
      <c r="F35" s="798"/>
      <c r="G35" s="798"/>
      <c r="H35" s="798"/>
      <c r="I35" s="798"/>
      <c r="J35" s="798"/>
      <c r="K35" s="798"/>
      <c r="L35" s="410"/>
    </row>
    <row r="36" spans="1:12" ht="14.25">
      <c r="A36" s="410"/>
      <c r="L36" s="410"/>
    </row>
    <row r="37" spans="1:12" ht="14.25">
      <c r="A37" s="410"/>
      <c r="B37" s="414" t="s">
        <v>686</v>
      </c>
      <c r="L37" s="410"/>
    </row>
    <row r="38" spans="1:12" ht="14.25">
      <c r="A38" s="410"/>
      <c r="L38" s="410"/>
    </row>
    <row r="39" spans="1:12" ht="14.25">
      <c r="A39" s="410"/>
      <c r="B39" s="412" t="s">
        <v>687</v>
      </c>
      <c r="L39" s="410"/>
    </row>
    <row r="40" spans="1:12" ht="14.25">
      <c r="A40" s="410"/>
      <c r="L40" s="410"/>
    </row>
    <row r="41" spans="1:12" ht="14.25">
      <c r="A41" s="410"/>
      <c r="C41" s="799">
        <v>312000000</v>
      </c>
      <c r="D41" s="799"/>
      <c r="E41" s="412" t="s">
        <v>680</v>
      </c>
      <c r="F41" s="415">
        <v>1000</v>
      </c>
      <c r="G41" s="415" t="s">
        <v>679</v>
      </c>
      <c r="H41" s="426">
        <f>C41/F41</f>
        <v>312000</v>
      </c>
      <c r="L41" s="410"/>
    </row>
    <row r="42" spans="1:12" ht="14.25">
      <c r="A42" s="410"/>
      <c r="L42" s="410"/>
    </row>
    <row r="43" spans="1:12" ht="14.25">
      <c r="A43" s="410"/>
      <c r="B43" s="412" t="s">
        <v>688</v>
      </c>
      <c r="L43" s="410"/>
    </row>
    <row r="44" spans="1:12" ht="14.25">
      <c r="A44" s="410"/>
      <c r="L44" s="410"/>
    </row>
    <row r="45" spans="1:12" ht="14.25">
      <c r="A45" s="410"/>
      <c r="B45" s="412" t="s">
        <v>689</v>
      </c>
      <c r="L45" s="410"/>
    </row>
    <row r="46" spans="1:12" ht="15" thickBot="1">
      <c r="A46" s="410"/>
      <c r="L46" s="410"/>
    </row>
    <row r="47" spans="1:12" ht="14.25">
      <c r="A47" s="410"/>
      <c r="B47" s="427" t="s">
        <v>675</v>
      </c>
      <c r="C47" s="417"/>
      <c r="D47" s="417"/>
      <c r="E47" s="417"/>
      <c r="F47" s="417"/>
      <c r="G47" s="417"/>
      <c r="H47" s="417"/>
      <c r="I47" s="417"/>
      <c r="J47" s="417"/>
      <c r="K47" s="418"/>
      <c r="L47" s="410"/>
    </row>
    <row r="48" spans="1:12" ht="14.25">
      <c r="A48" s="410"/>
      <c r="B48" s="800">
        <v>312000000</v>
      </c>
      <c r="C48" s="796"/>
      <c r="D48" s="420" t="s">
        <v>690</v>
      </c>
      <c r="E48" s="420" t="s">
        <v>680</v>
      </c>
      <c r="F48" s="610">
        <v>1000</v>
      </c>
      <c r="G48" s="610" t="s">
        <v>679</v>
      </c>
      <c r="H48" s="421">
        <f>B48/F48</f>
        <v>312000</v>
      </c>
      <c r="I48" s="420" t="s">
        <v>691</v>
      </c>
      <c r="J48" s="420"/>
      <c r="K48" s="422"/>
      <c r="L48" s="410"/>
    </row>
    <row r="49" spans="1:12" ht="14.25">
      <c r="A49" s="410"/>
      <c r="B49" s="428"/>
      <c r="C49" s="420"/>
      <c r="D49" s="420"/>
      <c r="E49" s="420"/>
      <c r="F49" s="420"/>
      <c r="G49" s="420"/>
      <c r="H49" s="420"/>
      <c r="I49" s="420"/>
      <c r="J49" s="420"/>
      <c r="K49" s="422"/>
      <c r="L49" s="410"/>
    </row>
    <row r="50" spans="1:12" ht="14.25">
      <c r="A50" s="410"/>
      <c r="B50" s="429">
        <v>50000</v>
      </c>
      <c r="C50" s="420" t="s">
        <v>692</v>
      </c>
      <c r="D50" s="420"/>
      <c r="E50" s="420" t="s">
        <v>680</v>
      </c>
      <c r="F50" s="421">
        <f>H48</f>
        <v>312000</v>
      </c>
      <c r="G50" s="805" t="s">
        <v>693</v>
      </c>
      <c r="H50" s="806"/>
      <c r="I50" s="610" t="s">
        <v>679</v>
      </c>
      <c r="J50" s="430">
        <f>B50/F50</f>
        <v>0.16025641025641027</v>
      </c>
      <c r="K50" s="422"/>
      <c r="L50" s="410"/>
    </row>
    <row r="51" spans="1:15" ht="15" thickBot="1">
      <c r="A51" s="410"/>
      <c r="B51" s="423"/>
      <c r="C51" s="424"/>
      <c r="D51" s="424"/>
      <c r="E51" s="424"/>
      <c r="F51" s="424"/>
      <c r="G51" s="424"/>
      <c r="H51" s="424"/>
      <c r="I51" s="807" t="s">
        <v>694</v>
      </c>
      <c r="J51" s="807"/>
      <c r="K51" s="808"/>
      <c r="L51" s="410"/>
      <c r="O51" s="547"/>
    </row>
    <row r="52" spans="1:12" ht="40.5" customHeight="1">
      <c r="A52" s="410"/>
      <c r="B52" s="789" t="s">
        <v>671</v>
      </c>
      <c r="C52" s="789"/>
      <c r="D52" s="789"/>
      <c r="E52" s="789"/>
      <c r="F52" s="789"/>
      <c r="G52" s="789"/>
      <c r="H52" s="789"/>
      <c r="I52" s="789"/>
      <c r="J52" s="789"/>
      <c r="K52" s="789"/>
      <c r="L52" s="410"/>
    </row>
    <row r="53" spans="1:12" ht="14.25">
      <c r="A53" s="410"/>
      <c r="B53" s="801" t="s">
        <v>695</v>
      </c>
      <c r="C53" s="801"/>
      <c r="D53" s="801"/>
      <c r="E53" s="801"/>
      <c r="F53" s="801"/>
      <c r="G53" s="801"/>
      <c r="H53" s="801"/>
      <c r="I53" s="801"/>
      <c r="J53" s="801"/>
      <c r="K53" s="801"/>
      <c r="L53" s="410"/>
    </row>
    <row r="54" spans="1:12" ht="14.25">
      <c r="A54" s="410"/>
      <c r="B54" s="613"/>
      <c r="C54" s="613"/>
      <c r="D54" s="613"/>
      <c r="E54" s="613"/>
      <c r="F54" s="613"/>
      <c r="G54" s="613"/>
      <c r="H54" s="613"/>
      <c r="I54" s="613"/>
      <c r="J54" s="613"/>
      <c r="K54" s="613"/>
      <c r="L54" s="410"/>
    </row>
    <row r="55" spans="1:12" ht="14.25">
      <c r="A55" s="410"/>
      <c r="B55" s="790" t="s">
        <v>696</v>
      </c>
      <c r="C55" s="790"/>
      <c r="D55" s="790"/>
      <c r="E55" s="790"/>
      <c r="F55" s="790"/>
      <c r="G55" s="790"/>
      <c r="H55" s="790"/>
      <c r="I55" s="790"/>
      <c r="J55" s="790"/>
      <c r="K55" s="790"/>
      <c r="L55" s="410"/>
    </row>
    <row r="56" spans="1:12" ht="15" customHeight="1">
      <c r="A56" s="410"/>
      <c r="L56" s="410"/>
    </row>
    <row r="57" spans="1:24" ht="74.25" customHeight="1">
      <c r="A57" s="410"/>
      <c r="B57" s="792" t="s">
        <v>697</v>
      </c>
      <c r="C57" s="798"/>
      <c r="D57" s="798"/>
      <c r="E57" s="798"/>
      <c r="F57" s="798"/>
      <c r="G57" s="798"/>
      <c r="H57" s="798"/>
      <c r="I57" s="798"/>
      <c r="J57" s="798"/>
      <c r="K57" s="798"/>
      <c r="L57" s="410"/>
      <c r="M57" s="431"/>
      <c r="N57" s="432"/>
      <c r="O57" s="432"/>
      <c r="P57" s="432"/>
      <c r="Q57" s="432"/>
      <c r="R57" s="432"/>
      <c r="S57" s="432"/>
      <c r="T57" s="432"/>
      <c r="U57" s="432"/>
      <c r="V57" s="432"/>
      <c r="W57" s="432"/>
      <c r="X57" s="432"/>
    </row>
    <row r="58" spans="1:24" ht="15" customHeight="1">
      <c r="A58" s="410"/>
      <c r="B58" s="792"/>
      <c r="C58" s="798"/>
      <c r="D58" s="798"/>
      <c r="E58" s="798"/>
      <c r="F58" s="798"/>
      <c r="G58" s="798"/>
      <c r="H58" s="798"/>
      <c r="I58" s="798"/>
      <c r="J58" s="798"/>
      <c r="K58" s="798"/>
      <c r="L58" s="410"/>
      <c r="M58" s="431"/>
      <c r="N58" s="432"/>
      <c r="O58" s="432"/>
      <c r="P58" s="432"/>
      <c r="Q58" s="432"/>
      <c r="R58" s="432"/>
      <c r="S58" s="432"/>
      <c r="T58" s="432"/>
      <c r="U58" s="432"/>
      <c r="V58" s="432"/>
      <c r="W58" s="432"/>
      <c r="X58" s="432"/>
    </row>
    <row r="59" spans="1:24" ht="14.25">
      <c r="A59" s="410"/>
      <c r="B59" s="414" t="s">
        <v>686</v>
      </c>
      <c r="L59" s="410"/>
      <c r="M59" s="432"/>
      <c r="N59" s="432"/>
      <c r="O59" s="432"/>
      <c r="P59" s="432"/>
      <c r="Q59" s="432"/>
      <c r="R59" s="432"/>
      <c r="S59" s="432"/>
      <c r="T59" s="432"/>
      <c r="U59" s="432"/>
      <c r="V59" s="432"/>
      <c r="W59" s="432"/>
      <c r="X59" s="432"/>
    </row>
    <row r="60" spans="1:24" ht="14.25">
      <c r="A60" s="410"/>
      <c r="L60" s="410"/>
      <c r="M60" s="432"/>
      <c r="N60" s="432"/>
      <c r="O60" s="432"/>
      <c r="P60" s="432"/>
      <c r="Q60" s="432"/>
      <c r="R60" s="432"/>
      <c r="S60" s="432"/>
      <c r="T60" s="432"/>
      <c r="U60" s="432"/>
      <c r="V60" s="432"/>
      <c r="W60" s="432"/>
      <c r="X60" s="432"/>
    </row>
    <row r="61" spans="1:24" ht="14.25">
      <c r="A61" s="410"/>
      <c r="B61" s="412" t="s">
        <v>698</v>
      </c>
      <c r="L61" s="410"/>
      <c r="M61" s="432"/>
      <c r="N61" s="432"/>
      <c r="O61" s="432"/>
      <c r="P61" s="432"/>
      <c r="Q61" s="432"/>
      <c r="R61" s="432"/>
      <c r="S61" s="432"/>
      <c r="T61" s="432"/>
      <c r="U61" s="432"/>
      <c r="V61" s="432"/>
      <c r="W61" s="432"/>
      <c r="X61" s="432"/>
    </row>
    <row r="62" spans="1:24" ht="14.25">
      <c r="A62" s="410"/>
      <c r="B62" s="412" t="s">
        <v>868</v>
      </c>
      <c r="L62" s="410"/>
      <c r="M62" s="432"/>
      <c r="N62" s="432"/>
      <c r="O62" s="432"/>
      <c r="P62" s="432"/>
      <c r="Q62" s="432"/>
      <c r="R62" s="432"/>
      <c r="S62" s="432"/>
      <c r="T62" s="432"/>
      <c r="U62" s="432"/>
      <c r="V62" s="432"/>
      <c r="W62" s="432"/>
      <c r="X62" s="432"/>
    </row>
    <row r="63" spans="1:24" ht="14.25">
      <c r="A63" s="410"/>
      <c r="B63" s="412" t="s">
        <v>869</v>
      </c>
      <c r="L63" s="410"/>
      <c r="M63" s="432"/>
      <c r="N63" s="432"/>
      <c r="O63" s="432"/>
      <c r="P63" s="432"/>
      <c r="Q63" s="432"/>
      <c r="R63" s="432"/>
      <c r="S63" s="432"/>
      <c r="T63" s="432"/>
      <c r="U63" s="432"/>
      <c r="V63" s="432"/>
      <c r="W63" s="432"/>
      <c r="X63" s="432"/>
    </row>
    <row r="64" spans="1:24" ht="14.25">
      <c r="A64" s="410"/>
      <c r="L64" s="410"/>
      <c r="M64" s="432"/>
      <c r="N64" s="432"/>
      <c r="O64" s="432"/>
      <c r="P64" s="432"/>
      <c r="Q64" s="432"/>
      <c r="R64" s="432"/>
      <c r="S64" s="432"/>
      <c r="T64" s="432"/>
      <c r="U64" s="432"/>
      <c r="V64" s="432"/>
      <c r="W64" s="432"/>
      <c r="X64" s="432"/>
    </row>
    <row r="65" spans="1:24" ht="14.25">
      <c r="A65" s="410"/>
      <c r="B65" s="412" t="s">
        <v>699</v>
      </c>
      <c r="L65" s="410"/>
      <c r="M65" s="432"/>
      <c r="N65" s="432"/>
      <c r="O65" s="432"/>
      <c r="P65" s="432"/>
      <c r="Q65" s="432"/>
      <c r="R65" s="432"/>
      <c r="S65" s="432"/>
      <c r="T65" s="432"/>
      <c r="U65" s="432"/>
      <c r="V65" s="432"/>
      <c r="W65" s="432"/>
      <c r="X65" s="432"/>
    </row>
    <row r="66" spans="1:24" ht="14.25">
      <c r="A66" s="410"/>
      <c r="B66" s="412" t="s">
        <v>700</v>
      </c>
      <c r="L66" s="410"/>
      <c r="M66" s="432"/>
      <c r="N66" s="432"/>
      <c r="O66" s="432"/>
      <c r="P66" s="432"/>
      <c r="Q66" s="432"/>
      <c r="R66" s="432"/>
      <c r="S66" s="432"/>
      <c r="T66" s="432"/>
      <c r="U66" s="432"/>
      <c r="V66" s="432"/>
      <c r="W66" s="432"/>
      <c r="X66" s="432"/>
    </row>
    <row r="67" spans="1:24" ht="14.25">
      <c r="A67" s="410"/>
      <c r="L67" s="410"/>
      <c r="M67" s="432"/>
      <c r="N67" s="432"/>
      <c r="O67" s="432"/>
      <c r="P67" s="432"/>
      <c r="Q67" s="432"/>
      <c r="R67" s="432"/>
      <c r="S67" s="432"/>
      <c r="T67" s="432"/>
      <c r="U67" s="432"/>
      <c r="V67" s="432"/>
      <c r="W67" s="432"/>
      <c r="X67" s="432"/>
    </row>
    <row r="68" spans="1:24" ht="14.25">
      <c r="A68" s="410"/>
      <c r="B68" s="412" t="s">
        <v>701</v>
      </c>
      <c r="L68" s="410"/>
      <c r="M68" s="433"/>
      <c r="N68" s="434"/>
      <c r="O68" s="434"/>
      <c r="P68" s="434"/>
      <c r="Q68" s="434"/>
      <c r="R68" s="434"/>
      <c r="S68" s="434"/>
      <c r="T68" s="434"/>
      <c r="U68" s="434"/>
      <c r="V68" s="434"/>
      <c r="W68" s="434"/>
      <c r="X68" s="432"/>
    </row>
    <row r="69" spans="1:24" ht="14.25">
      <c r="A69" s="410"/>
      <c r="B69" s="412" t="s">
        <v>870</v>
      </c>
      <c r="L69" s="410"/>
      <c r="M69" s="432"/>
      <c r="N69" s="432"/>
      <c r="O69" s="432"/>
      <c r="P69" s="432"/>
      <c r="Q69" s="432"/>
      <c r="R69" s="432"/>
      <c r="S69" s="432"/>
      <c r="T69" s="432"/>
      <c r="U69" s="432"/>
      <c r="V69" s="432"/>
      <c r="W69" s="432"/>
      <c r="X69" s="432"/>
    </row>
    <row r="70" spans="1:24" ht="14.25">
      <c r="A70" s="410"/>
      <c r="B70" s="412" t="s">
        <v>871</v>
      </c>
      <c r="L70" s="410"/>
      <c r="M70" s="432"/>
      <c r="N70" s="432"/>
      <c r="O70" s="432"/>
      <c r="P70" s="432"/>
      <c r="Q70" s="432"/>
      <c r="R70" s="432"/>
      <c r="S70" s="432"/>
      <c r="T70" s="432"/>
      <c r="U70" s="432"/>
      <c r="V70" s="432"/>
      <c r="W70" s="432"/>
      <c r="X70" s="432"/>
    </row>
    <row r="71" spans="1:12" ht="15" thickBot="1">
      <c r="A71" s="410"/>
      <c r="B71" s="420"/>
      <c r="C71" s="420"/>
      <c r="D71" s="420"/>
      <c r="E71" s="420"/>
      <c r="F71" s="420"/>
      <c r="G71" s="420"/>
      <c r="H71" s="420"/>
      <c r="I71" s="420"/>
      <c r="J71" s="420"/>
      <c r="K71" s="420"/>
      <c r="L71" s="410"/>
    </row>
    <row r="72" spans="1:12" ht="14.25">
      <c r="A72" s="410"/>
      <c r="B72" s="416" t="s">
        <v>675</v>
      </c>
      <c r="C72" s="417"/>
      <c r="D72" s="417"/>
      <c r="E72" s="417"/>
      <c r="F72" s="417"/>
      <c r="G72" s="417"/>
      <c r="H72" s="417"/>
      <c r="I72" s="417"/>
      <c r="J72" s="417"/>
      <c r="K72" s="418"/>
      <c r="L72" s="435"/>
    </row>
    <row r="73" spans="1:12" ht="14.25">
      <c r="A73" s="410"/>
      <c r="B73" s="428"/>
      <c r="C73" s="420" t="s">
        <v>681</v>
      </c>
      <c r="D73" s="420"/>
      <c r="E73" s="420"/>
      <c r="F73" s="420"/>
      <c r="G73" s="420"/>
      <c r="H73" s="420"/>
      <c r="I73" s="420"/>
      <c r="J73" s="420"/>
      <c r="K73" s="422"/>
      <c r="L73" s="435"/>
    </row>
    <row r="74" spans="1:12" ht="14.25">
      <c r="A74" s="410"/>
      <c r="B74" s="428" t="s">
        <v>702</v>
      </c>
      <c r="C74" s="796">
        <v>312000000</v>
      </c>
      <c r="D74" s="796"/>
      <c r="E74" s="610" t="s">
        <v>680</v>
      </c>
      <c r="F74" s="610">
        <v>1000</v>
      </c>
      <c r="G74" s="610" t="s">
        <v>679</v>
      </c>
      <c r="H74" s="607">
        <f>C74/F74</f>
        <v>312000</v>
      </c>
      <c r="I74" s="420" t="s">
        <v>703</v>
      </c>
      <c r="J74" s="420"/>
      <c r="K74" s="422"/>
      <c r="L74" s="435"/>
    </row>
    <row r="75" spans="1:12" ht="14.25">
      <c r="A75" s="410"/>
      <c r="B75" s="428"/>
      <c r="C75" s="420"/>
      <c r="D75" s="420"/>
      <c r="E75" s="610"/>
      <c r="F75" s="420"/>
      <c r="G75" s="420"/>
      <c r="H75" s="420"/>
      <c r="I75" s="420"/>
      <c r="J75" s="420"/>
      <c r="K75" s="422"/>
      <c r="L75" s="435"/>
    </row>
    <row r="76" spans="1:12" ht="14.25">
      <c r="A76" s="410"/>
      <c r="B76" s="428"/>
      <c r="C76" s="420" t="s">
        <v>704</v>
      </c>
      <c r="D76" s="420"/>
      <c r="E76" s="610"/>
      <c r="F76" s="420" t="s">
        <v>703</v>
      </c>
      <c r="G76" s="420"/>
      <c r="H76" s="420"/>
      <c r="I76" s="420"/>
      <c r="J76" s="420"/>
      <c r="K76" s="422"/>
      <c r="L76" s="435"/>
    </row>
    <row r="77" spans="1:12" ht="14.25">
      <c r="A77" s="410"/>
      <c r="B77" s="428" t="s">
        <v>707</v>
      </c>
      <c r="C77" s="796">
        <v>50000</v>
      </c>
      <c r="D77" s="796"/>
      <c r="E77" s="610" t="s">
        <v>680</v>
      </c>
      <c r="F77" s="607">
        <f>H74</f>
        <v>312000</v>
      </c>
      <c r="G77" s="610" t="s">
        <v>679</v>
      </c>
      <c r="H77" s="430">
        <f>C77/F77</f>
        <v>0.16025641025641027</v>
      </c>
      <c r="I77" s="420" t="s">
        <v>705</v>
      </c>
      <c r="J77" s="420"/>
      <c r="K77" s="422"/>
      <c r="L77" s="435"/>
    </row>
    <row r="78" spans="1:12" ht="14.25">
      <c r="A78" s="410"/>
      <c r="B78" s="428"/>
      <c r="C78" s="420"/>
      <c r="D78" s="420"/>
      <c r="E78" s="610"/>
      <c r="F78" s="420"/>
      <c r="G78" s="420"/>
      <c r="H78" s="420"/>
      <c r="I78" s="420"/>
      <c r="J78" s="420"/>
      <c r="K78" s="422"/>
      <c r="L78" s="435"/>
    </row>
    <row r="79" spans="1:12" ht="14.25">
      <c r="A79" s="410"/>
      <c r="B79" s="436"/>
      <c r="C79" s="437" t="s">
        <v>706</v>
      </c>
      <c r="D79" s="437"/>
      <c r="E79" s="606"/>
      <c r="F79" s="437"/>
      <c r="G79" s="437"/>
      <c r="H79" s="437"/>
      <c r="I79" s="437"/>
      <c r="J79" s="437"/>
      <c r="K79" s="438"/>
      <c r="L79" s="435"/>
    </row>
    <row r="80" spans="1:12" ht="14.25">
      <c r="A80" s="410"/>
      <c r="B80" s="428" t="s">
        <v>787</v>
      </c>
      <c r="C80" s="796">
        <v>100000</v>
      </c>
      <c r="D80" s="796"/>
      <c r="E80" s="610" t="s">
        <v>36</v>
      </c>
      <c r="F80" s="610">
        <v>0.115</v>
      </c>
      <c r="G80" s="610" t="s">
        <v>679</v>
      </c>
      <c r="H80" s="607">
        <f>C80*F80</f>
        <v>11500</v>
      </c>
      <c r="I80" s="420" t="s">
        <v>708</v>
      </c>
      <c r="J80" s="420"/>
      <c r="K80" s="422"/>
      <c r="L80" s="435"/>
    </row>
    <row r="81" spans="1:12" ht="14.25">
      <c r="A81" s="410"/>
      <c r="B81" s="428"/>
      <c r="C81" s="420"/>
      <c r="D81" s="420"/>
      <c r="E81" s="610"/>
      <c r="F81" s="420"/>
      <c r="G81" s="420"/>
      <c r="H81" s="420"/>
      <c r="I81" s="420"/>
      <c r="J81" s="420"/>
      <c r="K81" s="422"/>
      <c r="L81" s="435"/>
    </row>
    <row r="82" spans="1:12" ht="14.25">
      <c r="A82" s="410"/>
      <c r="B82" s="436"/>
      <c r="C82" s="437" t="s">
        <v>709</v>
      </c>
      <c r="D82" s="437"/>
      <c r="E82" s="606"/>
      <c r="F82" s="437" t="s">
        <v>705</v>
      </c>
      <c r="G82" s="437"/>
      <c r="H82" s="437"/>
      <c r="I82" s="437"/>
      <c r="J82" s="437" t="s">
        <v>710</v>
      </c>
      <c r="K82" s="438"/>
      <c r="L82" s="435"/>
    </row>
    <row r="83" spans="1:12" ht="14.25">
      <c r="A83" s="410"/>
      <c r="B83" s="428" t="s">
        <v>788</v>
      </c>
      <c r="C83" s="797">
        <f>H80</f>
        <v>11500</v>
      </c>
      <c r="D83" s="797"/>
      <c r="E83" s="610" t="s">
        <v>36</v>
      </c>
      <c r="F83" s="430">
        <f>H77</f>
        <v>0.16025641025641027</v>
      </c>
      <c r="G83" s="610" t="s">
        <v>680</v>
      </c>
      <c r="H83" s="610">
        <v>1000</v>
      </c>
      <c r="I83" s="610" t="s">
        <v>679</v>
      </c>
      <c r="J83" s="608">
        <f>C83*F83/H83</f>
        <v>1.842948717948718</v>
      </c>
      <c r="K83" s="422"/>
      <c r="L83" s="435"/>
    </row>
    <row r="84" spans="1:12" ht="15" thickBot="1">
      <c r="A84" s="410"/>
      <c r="B84" s="423"/>
      <c r="C84" s="439"/>
      <c r="D84" s="439"/>
      <c r="E84" s="440"/>
      <c r="F84" s="441"/>
      <c r="G84" s="440"/>
      <c r="H84" s="440"/>
      <c r="I84" s="440"/>
      <c r="J84" s="442"/>
      <c r="K84" s="425"/>
      <c r="L84" s="435"/>
    </row>
    <row r="85" spans="1:12" ht="40.5" customHeight="1">
      <c r="A85" s="410"/>
      <c r="B85" s="789" t="s">
        <v>671</v>
      </c>
      <c r="C85" s="789"/>
      <c r="D85" s="789"/>
      <c r="E85" s="789"/>
      <c r="F85" s="789"/>
      <c r="G85" s="789"/>
      <c r="H85" s="789"/>
      <c r="I85" s="789"/>
      <c r="J85" s="789"/>
      <c r="K85" s="789"/>
      <c r="L85" s="410"/>
    </row>
    <row r="86" spans="1:12" ht="14.25">
      <c r="A86" s="410"/>
      <c r="B86" s="790" t="s">
        <v>711</v>
      </c>
      <c r="C86" s="790"/>
      <c r="D86" s="790"/>
      <c r="E86" s="790"/>
      <c r="F86" s="790"/>
      <c r="G86" s="790"/>
      <c r="H86" s="790"/>
      <c r="I86" s="790"/>
      <c r="J86" s="790"/>
      <c r="K86" s="790"/>
      <c r="L86" s="410"/>
    </row>
    <row r="87" spans="1:12" ht="14.25">
      <c r="A87" s="410"/>
      <c r="B87" s="443"/>
      <c r="C87" s="443"/>
      <c r="D87" s="443"/>
      <c r="E87" s="443"/>
      <c r="F87" s="443"/>
      <c r="G87" s="443"/>
      <c r="H87" s="443"/>
      <c r="I87" s="443"/>
      <c r="J87" s="443"/>
      <c r="K87" s="443"/>
      <c r="L87" s="410"/>
    </row>
    <row r="88" spans="1:12" ht="14.25">
      <c r="A88" s="410"/>
      <c r="B88" s="790" t="s">
        <v>712</v>
      </c>
      <c r="C88" s="790"/>
      <c r="D88" s="790"/>
      <c r="E88" s="790"/>
      <c r="F88" s="790"/>
      <c r="G88" s="790"/>
      <c r="H88" s="790"/>
      <c r="I88" s="790"/>
      <c r="J88" s="790"/>
      <c r="K88" s="790"/>
      <c r="L88" s="410"/>
    </row>
    <row r="89" spans="1:12" ht="14.25">
      <c r="A89" s="410"/>
      <c r="B89" s="609"/>
      <c r="C89" s="609"/>
      <c r="D89" s="609"/>
      <c r="E89" s="609"/>
      <c r="F89" s="609"/>
      <c r="G89" s="609"/>
      <c r="H89" s="609"/>
      <c r="I89" s="609"/>
      <c r="J89" s="609"/>
      <c r="K89" s="609"/>
      <c r="L89" s="410"/>
    </row>
    <row r="90" spans="1:12" ht="45" customHeight="1">
      <c r="A90" s="410"/>
      <c r="B90" s="792" t="s">
        <v>713</v>
      </c>
      <c r="C90" s="792"/>
      <c r="D90" s="792"/>
      <c r="E90" s="792"/>
      <c r="F90" s="792"/>
      <c r="G90" s="792"/>
      <c r="H90" s="792"/>
      <c r="I90" s="792"/>
      <c r="J90" s="792"/>
      <c r="K90" s="792"/>
      <c r="L90" s="410"/>
    </row>
    <row r="91" spans="1:12" ht="15" customHeight="1" thickBot="1">
      <c r="A91" s="410"/>
      <c r="L91" s="410"/>
    </row>
    <row r="92" spans="1:12" ht="15" customHeight="1">
      <c r="A92" s="410"/>
      <c r="B92" s="444" t="s">
        <v>675</v>
      </c>
      <c r="C92" s="445"/>
      <c r="D92" s="445"/>
      <c r="E92" s="445"/>
      <c r="F92" s="445"/>
      <c r="G92" s="445"/>
      <c r="H92" s="445"/>
      <c r="I92" s="445"/>
      <c r="J92" s="445"/>
      <c r="K92" s="446"/>
      <c r="L92" s="410"/>
    </row>
    <row r="93" spans="1:12" ht="15" customHeight="1">
      <c r="A93" s="410"/>
      <c r="B93" s="447"/>
      <c r="C93" s="614" t="s">
        <v>681</v>
      </c>
      <c r="D93" s="614"/>
      <c r="E93" s="614"/>
      <c r="F93" s="614"/>
      <c r="G93" s="614"/>
      <c r="H93" s="614"/>
      <c r="I93" s="614"/>
      <c r="J93" s="614"/>
      <c r="K93" s="448"/>
      <c r="L93" s="410"/>
    </row>
    <row r="94" spans="1:12" ht="15" customHeight="1">
      <c r="A94" s="410"/>
      <c r="B94" s="447" t="s">
        <v>702</v>
      </c>
      <c r="C94" s="796">
        <v>312000000</v>
      </c>
      <c r="D94" s="796"/>
      <c r="E94" s="610" t="s">
        <v>680</v>
      </c>
      <c r="F94" s="610">
        <v>1000</v>
      </c>
      <c r="G94" s="610" t="s">
        <v>679</v>
      </c>
      <c r="H94" s="607">
        <f>C94/F94</f>
        <v>312000</v>
      </c>
      <c r="I94" s="614" t="s">
        <v>703</v>
      </c>
      <c r="J94" s="614"/>
      <c r="K94" s="448"/>
      <c r="L94" s="410"/>
    </row>
    <row r="95" spans="1:12" ht="15" customHeight="1">
      <c r="A95" s="410"/>
      <c r="B95" s="447"/>
      <c r="C95" s="614"/>
      <c r="D95" s="614"/>
      <c r="E95" s="610"/>
      <c r="F95" s="614"/>
      <c r="G95" s="614"/>
      <c r="H95" s="614"/>
      <c r="I95" s="614"/>
      <c r="J95" s="614"/>
      <c r="K95" s="448"/>
      <c r="L95" s="410"/>
    </row>
    <row r="96" spans="1:12" ht="15" customHeight="1">
      <c r="A96" s="410"/>
      <c r="B96" s="447"/>
      <c r="C96" s="614" t="s">
        <v>704</v>
      </c>
      <c r="D96" s="614"/>
      <c r="E96" s="610"/>
      <c r="F96" s="614" t="s">
        <v>703</v>
      </c>
      <c r="G96" s="614"/>
      <c r="H96" s="614"/>
      <c r="I96" s="614"/>
      <c r="J96" s="614"/>
      <c r="K96" s="448"/>
      <c r="L96" s="410"/>
    </row>
    <row r="97" spans="1:12" ht="15" customHeight="1">
      <c r="A97" s="410"/>
      <c r="B97" s="447" t="s">
        <v>707</v>
      </c>
      <c r="C97" s="796">
        <v>50000</v>
      </c>
      <c r="D97" s="796"/>
      <c r="E97" s="610" t="s">
        <v>680</v>
      </c>
      <c r="F97" s="607">
        <f>H94</f>
        <v>312000</v>
      </c>
      <c r="G97" s="610" t="s">
        <v>679</v>
      </c>
      <c r="H97" s="430">
        <f>C97/F97</f>
        <v>0.16025641025641027</v>
      </c>
      <c r="I97" s="614" t="s">
        <v>705</v>
      </c>
      <c r="J97" s="614"/>
      <c r="K97" s="448"/>
      <c r="L97" s="410"/>
    </row>
    <row r="98" spans="1:12" ht="15" customHeight="1">
      <c r="A98" s="410"/>
      <c r="B98" s="447"/>
      <c r="C98" s="614"/>
      <c r="D98" s="614"/>
      <c r="E98" s="610"/>
      <c r="F98" s="614"/>
      <c r="G98" s="614"/>
      <c r="H98" s="614"/>
      <c r="I98" s="614"/>
      <c r="J98" s="614"/>
      <c r="K98" s="448"/>
      <c r="L98" s="410"/>
    </row>
    <row r="99" spans="1:12" ht="15" customHeight="1">
      <c r="A99" s="410"/>
      <c r="B99" s="449"/>
      <c r="C99" s="450" t="s">
        <v>714</v>
      </c>
      <c r="D99" s="450"/>
      <c r="E99" s="606"/>
      <c r="F99" s="450"/>
      <c r="G99" s="450"/>
      <c r="H99" s="450"/>
      <c r="I99" s="450"/>
      <c r="J99" s="450"/>
      <c r="K99" s="451"/>
      <c r="L99" s="410"/>
    </row>
    <row r="100" spans="1:12" ht="15" customHeight="1">
      <c r="A100" s="410"/>
      <c r="B100" s="447" t="s">
        <v>787</v>
      </c>
      <c r="C100" s="796">
        <v>2500000</v>
      </c>
      <c r="D100" s="796"/>
      <c r="E100" s="610" t="s">
        <v>36</v>
      </c>
      <c r="F100" s="452">
        <v>0.3</v>
      </c>
      <c r="G100" s="610" t="s">
        <v>679</v>
      </c>
      <c r="H100" s="607">
        <f>C100*F100</f>
        <v>750000</v>
      </c>
      <c r="I100" s="614" t="s">
        <v>708</v>
      </c>
      <c r="J100" s="614"/>
      <c r="K100" s="448"/>
      <c r="L100" s="410"/>
    </row>
    <row r="101" spans="1:12" ht="15" customHeight="1">
      <c r="A101" s="410"/>
      <c r="B101" s="447"/>
      <c r="C101" s="614"/>
      <c r="D101" s="614"/>
      <c r="E101" s="610"/>
      <c r="F101" s="614"/>
      <c r="G101" s="614"/>
      <c r="H101" s="614"/>
      <c r="I101" s="614"/>
      <c r="J101" s="614"/>
      <c r="K101" s="448"/>
      <c r="L101" s="410"/>
    </row>
    <row r="102" spans="1:12" ht="15" customHeight="1">
      <c r="A102" s="410"/>
      <c r="B102" s="449"/>
      <c r="C102" s="450" t="s">
        <v>709</v>
      </c>
      <c r="D102" s="450"/>
      <c r="E102" s="606"/>
      <c r="F102" s="450" t="s">
        <v>705</v>
      </c>
      <c r="G102" s="450"/>
      <c r="H102" s="450"/>
      <c r="I102" s="450"/>
      <c r="J102" s="450" t="s">
        <v>710</v>
      </c>
      <c r="K102" s="451"/>
      <c r="L102" s="410"/>
    </row>
    <row r="103" spans="1:12" ht="15" customHeight="1">
      <c r="A103" s="410"/>
      <c r="B103" s="447" t="s">
        <v>788</v>
      </c>
      <c r="C103" s="797">
        <f>H100</f>
        <v>750000</v>
      </c>
      <c r="D103" s="797"/>
      <c r="E103" s="610" t="s">
        <v>36</v>
      </c>
      <c r="F103" s="430">
        <f>H97</f>
        <v>0.16025641025641027</v>
      </c>
      <c r="G103" s="610" t="s">
        <v>680</v>
      </c>
      <c r="H103" s="610">
        <v>1000</v>
      </c>
      <c r="I103" s="610" t="s">
        <v>679</v>
      </c>
      <c r="J103" s="608">
        <f>C103*F103/H103</f>
        <v>120.19230769230771</v>
      </c>
      <c r="K103" s="448"/>
      <c r="L103" s="410"/>
    </row>
    <row r="104" spans="1:12" ht="15" customHeight="1" thickBot="1">
      <c r="A104" s="410"/>
      <c r="B104" s="453"/>
      <c r="C104" s="439"/>
      <c r="D104" s="439"/>
      <c r="E104" s="440"/>
      <c r="F104" s="441"/>
      <c r="G104" s="440"/>
      <c r="H104" s="440"/>
      <c r="I104" s="440"/>
      <c r="J104" s="442"/>
      <c r="K104" s="615"/>
      <c r="L104" s="410"/>
    </row>
    <row r="105" spans="1:12" ht="40.5" customHeight="1">
      <c r="A105" s="410"/>
      <c r="B105" s="789" t="s">
        <v>671</v>
      </c>
      <c r="C105" s="810"/>
      <c r="D105" s="810"/>
      <c r="E105" s="810"/>
      <c r="F105" s="810"/>
      <c r="G105" s="810"/>
      <c r="H105" s="810"/>
      <c r="I105" s="810"/>
      <c r="J105" s="810"/>
      <c r="K105" s="810"/>
      <c r="L105" s="410"/>
    </row>
    <row r="106" spans="1:12" ht="15" customHeight="1">
      <c r="A106" s="410"/>
      <c r="B106" s="793" t="s">
        <v>715</v>
      </c>
      <c r="C106" s="794"/>
      <c r="D106" s="794"/>
      <c r="E106" s="794"/>
      <c r="F106" s="794"/>
      <c r="G106" s="794"/>
      <c r="H106" s="794"/>
      <c r="I106" s="794"/>
      <c r="J106" s="794"/>
      <c r="K106" s="794"/>
      <c r="L106" s="410"/>
    </row>
    <row r="107" spans="1:12" ht="15" customHeight="1">
      <c r="A107" s="410"/>
      <c r="B107" s="614"/>
      <c r="C107" s="454"/>
      <c r="D107" s="454"/>
      <c r="E107" s="610"/>
      <c r="F107" s="430"/>
      <c r="G107" s="610"/>
      <c r="H107" s="610"/>
      <c r="I107" s="610"/>
      <c r="J107" s="608"/>
      <c r="K107" s="614"/>
      <c r="L107" s="410"/>
    </row>
    <row r="108" spans="1:12" ht="15" customHeight="1">
      <c r="A108" s="410"/>
      <c r="B108" s="793" t="s">
        <v>716</v>
      </c>
      <c r="C108" s="795"/>
      <c r="D108" s="795"/>
      <c r="E108" s="795"/>
      <c r="F108" s="795"/>
      <c r="G108" s="795"/>
      <c r="H108" s="795"/>
      <c r="I108" s="795"/>
      <c r="J108" s="795"/>
      <c r="K108" s="795"/>
      <c r="L108" s="410"/>
    </row>
    <row r="109" spans="1:12" ht="15" customHeight="1">
      <c r="A109" s="410"/>
      <c r="B109" s="614"/>
      <c r="C109" s="454"/>
      <c r="D109" s="454"/>
      <c r="E109" s="610"/>
      <c r="F109" s="430"/>
      <c r="G109" s="610"/>
      <c r="H109" s="610"/>
      <c r="I109" s="610"/>
      <c r="J109" s="608"/>
      <c r="K109" s="614"/>
      <c r="L109" s="410"/>
    </row>
    <row r="110" spans="1:12" ht="59.25" customHeight="1">
      <c r="A110" s="410"/>
      <c r="B110" s="809" t="s">
        <v>717</v>
      </c>
      <c r="C110" s="798"/>
      <c r="D110" s="798"/>
      <c r="E110" s="798"/>
      <c r="F110" s="798"/>
      <c r="G110" s="798"/>
      <c r="H110" s="798"/>
      <c r="I110" s="798"/>
      <c r="J110" s="798"/>
      <c r="K110" s="798"/>
      <c r="L110" s="410"/>
    </row>
    <row r="111" spans="1:12" ht="15" thickBot="1">
      <c r="A111" s="410"/>
      <c r="B111" s="613"/>
      <c r="C111" s="613"/>
      <c r="D111" s="613"/>
      <c r="E111" s="613"/>
      <c r="F111" s="613"/>
      <c r="G111" s="613"/>
      <c r="H111" s="613"/>
      <c r="I111" s="613"/>
      <c r="J111" s="613"/>
      <c r="K111" s="613"/>
      <c r="L111" s="455"/>
    </row>
    <row r="112" spans="1:12" ht="14.25">
      <c r="A112" s="410"/>
      <c r="B112" s="416" t="s">
        <v>675</v>
      </c>
      <c r="C112" s="417"/>
      <c r="D112" s="417"/>
      <c r="E112" s="417"/>
      <c r="F112" s="417"/>
      <c r="G112" s="417"/>
      <c r="H112" s="417"/>
      <c r="I112" s="417"/>
      <c r="J112" s="417"/>
      <c r="K112" s="418"/>
      <c r="L112" s="410"/>
    </row>
    <row r="113" spans="1:12" ht="14.25">
      <c r="A113" s="410"/>
      <c r="B113" s="428"/>
      <c r="C113" s="420" t="s">
        <v>681</v>
      </c>
      <c r="D113" s="420"/>
      <c r="E113" s="420"/>
      <c r="F113" s="420"/>
      <c r="G113" s="420"/>
      <c r="H113" s="420"/>
      <c r="I113" s="420"/>
      <c r="J113" s="420"/>
      <c r="K113" s="422"/>
      <c r="L113" s="410"/>
    </row>
    <row r="114" spans="1:12" ht="14.25">
      <c r="A114" s="410"/>
      <c r="B114" s="428" t="s">
        <v>702</v>
      </c>
      <c r="C114" s="796">
        <v>312000000</v>
      </c>
      <c r="D114" s="796"/>
      <c r="E114" s="610" t="s">
        <v>680</v>
      </c>
      <c r="F114" s="610">
        <v>1000</v>
      </c>
      <c r="G114" s="610" t="s">
        <v>679</v>
      </c>
      <c r="H114" s="607">
        <f>C114/F114</f>
        <v>312000</v>
      </c>
      <c r="I114" s="420" t="s">
        <v>703</v>
      </c>
      <c r="J114" s="420"/>
      <c r="K114" s="422"/>
      <c r="L114" s="410"/>
    </row>
    <row r="115" spans="1:12" ht="14.25">
      <c r="A115" s="410"/>
      <c r="B115" s="428"/>
      <c r="C115" s="420"/>
      <c r="D115" s="420"/>
      <c r="E115" s="610"/>
      <c r="F115" s="420"/>
      <c r="G115" s="420"/>
      <c r="H115" s="420"/>
      <c r="I115" s="420"/>
      <c r="J115" s="420"/>
      <c r="K115" s="422"/>
      <c r="L115" s="410"/>
    </row>
    <row r="116" spans="1:12" ht="14.25">
      <c r="A116" s="410"/>
      <c r="B116" s="428"/>
      <c r="C116" s="420" t="s">
        <v>704</v>
      </c>
      <c r="D116" s="420"/>
      <c r="E116" s="610"/>
      <c r="F116" s="420" t="s">
        <v>703</v>
      </c>
      <c r="G116" s="420"/>
      <c r="H116" s="420"/>
      <c r="I116" s="420"/>
      <c r="J116" s="420"/>
      <c r="K116" s="422"/>
      <c r="L116" s="410"/>
    </row>
    <row r="117" spans="1:12" ht="14.25">
      <c r="A117" s="410"/>
      <c r="B117" s="428" t="s">
        <v>707</v>
      </c>
      <c r="C117" s="796">
        <v>50000</v>
      </c>
      <c r="D117" s="796"/>
      <c r="E117" s="610" t="s">
        <v>680</v>
      </c>
      <c r="F117" s="607">
        <f>H114</f>
        <v>312000</v>
      </c>
      <c r="G117" s="610" t="s">
        <v>679</v>
      </c>
      <c r="H117" s="430">
        <f>C117/F117</f>
        <v>0.16025641025641027</v>
      </c>
      <c r="I117" s="420" t="s">
        <v>705</v>
      </c>
      <c r="J117" s="420"/>
      <c r="K117" s="422"/>
      <c r="L117" s="410"/>
    </row>
    <row r="118" spans="1:12" ht="14.25">
      <c r="A118" s="410"/>
      <c r="B118" s="428"/>
      <c r="C118" s="420"/>
      <c r="D118" s="420"/>
      <c r="E118" s="610"/>
      <c r="F118" s="420"/>
      <c r="G118" s="420"/>
      <c r="H118" s="420"/>
      <c r="I118" s="420"/>
      <c r="J118" s="420"/>
      <c r="K118" s="422"/>
      <c r="L118" s="410"/>
    </row>
    <row r="119" spans="1:12" ht="14.25">
      <c r="A119" s="410"/>
      <c r="B119" s="436"/>
      <c r="C119" s="437" t="s">
        <v>714</v>
      </c>
      <c r="D119" s="437"/>
      <c r="E119" s="606"/>
      <c r="F119" s="437"/>
      <c r="G119" s="437"/>
      <c r="H119" s="437"/>
      <c r="I119" s="437"/>
      <c r="J119" s="437"/>
      <c r="K119" s="438"/>
      <c r="L119" s="410"/>
    </row>
    <row r="120" spans="1:12" ht="14.25">
      <c r="A120" s="410"/>
      <c r="B120" s="428" t="s">
        <v>787</v>
      </c>
      <c r="C120" s="796">
        <v>2500000</v>
      </c>
      <c r="D120" s="796"/>
      <c r="E120" s="610" t="s">
        <v>36</v>
      </c>
      <c r="F120" s="452">
        <v>0.25</v>
      </c>
      <c r="G120" s="610" t="s">
        <v>679</v>
      </c>
      <c r="H120" s="607">
        <f>C120*F120</f>
        <v>625000</v>
      </c>
      <c r="I120" s="420" t="s">
        <v>708</v>
      </c>
      <c r="J120" s="420"/>
      <c r="K120" s="422"/>
      <c r="L120" s="410"/>
    </row>
    <row r="121" spans="1:12" ht="14.25">
      <c r="A121" s="410"/>
      <c r="B121" s="428"/>
      <c r="C121" s="420"/>
      <c r="D121" s="420"/>
      <c r="E121" s="610"/>
      <c r="F121" s="420"/>
      <c r="G121" s="420"/>
      <c r="H121" s="420"/>
      <c r="I121" s="420"/>
      <c r="J121" s="420"/>
      <c r="K121" s="422"/>
      <c r="L121" s="410"/>
    </row>
    <row r="122" spans="1:12" ht="14.25">
      <c r="A122" s="410"/>
      <c r="B122" s="436"/>
      <c r="C122" s="437" t="s">
        <v>709</v>
      </c>
      <c r="D122" s="437"/>
      <c r="E122" s="606"/>
      <c r="F122" s="437" t="s">
        <v>705</v>
      </c>
      <c r="G122" s="437"/>
      <c r="H122" s="437"/>
      <c r="I122" s="437"/>
      <c r="J122" s="437" t="s">
        <v>710</v>
      </c>
      <c r="K122" s="438"/>
      <c r="L122" s="410"/>
    </row>
    <row r="123" spans="1:12" ht="14.25">
      <c r="A123" s="410"/>
      <c r="B123" s="428" t="s">
        <v>788</v>
      </c>
      <c r="C123" s="797">
        <f>H120</f>
        <v>625000</v>
      </c>
      <c r="D123" s="797"/>
      <c r="E123" s="610" t="s">
        <v>36</v>
      </c>
      <c r="F123" s="430">
        <f>H117</f>
        <v>0.16025641025641027</v>
      </c>
      <c r="G123" s="610" t="s">
        <v>680</v>
      </c>
      <c r="H123" s="610">
        <v>1000</v>
      </c>
      <c r="I123" s="610" t="s">
        <v>679</v>
      </c>
      <c r="J123" s="608">
        <f>C123*F123/H123</f>
        <v>100.16025641025642</v>
      </c>
      <c r="K123" s="422"/>
      <c r="L123" s="410"/>
    </row>
    <row r="124" spans="1:12" ht="15" thickBot="1">
      <c r="A124" s="410"/>
      <c r="B124" s="423"/>
      <c r="C124" s="439"/>
      <c r="D124" s="439"/>
      <c r="E124" s="440"/>
      <c r="F124" s="441"/>
      <c r="G124" s="440"/>
      <c r="H124" s="440"/>
      <c r="I124" s="440"/>
      <c r="J124" s="442"/>
      <c r="K124" s="425"/>
      <c r="L124" s="410"/>
    </row>
    <row r="125" spans="1:12" ht="40.5" customHeight="1">
      <c r="A125" s="410"/>
      <c r="B125" s="789" t="s">
        <v>671</v>
      </c>
      <c r="C125" s="789"/>
      <c r="D125" s="789"/>
      <c r="E125" s="789"/>
      <c r="F125" s="789"/>
      <c r="G125" s="789"/>
      <c r="H125" s="789"/>
      <c r="I125" s="789"/>
      <c r="J125" s="789"/>
      <c r="K125" s="789"/>
      <c r="L125" s="455"/>
    </row>
    <row r="126" spans="1:12" ht="14.25">
      <c r="A126" s="410"/>
      <c r="B126" s="790" t="s">
        <v>718</v>
      </c>
      <c r="C126" s="790"/>
      <c r="D126" s="790"/>
      <c r="E126" s="790"/>
      <c r="F126" s="790"/>
      <c r="G126" s="790"/>
      <c r="H126" s="790"/>
      <c r="I126" s="790"/>
      <c r="J126" s="790"/>
      <c r="K126" s="790"/>
      <c r="L126" s="455"/>
    </row>
    <row r="127" spans="1:12" ht="14.25">
      <c r="A127" s="410"/>
      <c r="B127" s="613"/>
      <c r="C127" s="613"/>
      <c r="D127" s="613"/>
      <c r="E127" s="613"/>
      <c r="F127" s="613"/>
      <c r="G127" s="613"/>
      <c r="H127" s="613"/>
      <c r="I127" s="613"/>
      <c r="J127" s="613"/>
      <c r="K127" s="613"/>
      <c r="L127" s="455"/>
    </row>
    <row r="128" spans="1:12" ht="14.25">
      <c r="A128" s="410"/>
      <c r="B128" s="790" t="s">
        <v>719</v>
      </c>
      <c r="C128" s="790"/>
      <c r="D128" s="790"/>
      <c r="E128" s="790"/>
      <c r="F128" s="790"/>
      <c r="G128" s="790"/>
      <c r="H128" s="790"/>
      <c r="I128" s="790"/>
      <c r="J128" s="790"/>
      <c r="K128" s="790"/>
      <c r="L128" s="455"/>
    </row>
    <row r="129" spans="1:12" ht="14.25">
      <c r="A129" s="410"/>
      <c r="B129" s="609"/>
      <c r="C129" s="609"/>
      <c r="D129" s="609"/>
      <c r="E129" s="609"/>
      <c r="F129" s="609"/>
      <c r="G129" s="609"/>
      <c r="H129" s="609"/>
      <c r="I129" s="609"/>
      <c r="J129" s="609"/>
      <c r="K129" s="609"/>
      <c r="L129" s="455"/>
    </row>
    <row r="130" spans="1:12" ht="74.25" customHeight="1">
      <c r="A130" s="410"/>
      <c r="B130" s="792" t="s">
        <v>789</v>
      </c>
      <c r="C130" s="792"/>
      <c r="D130" s="792"/>
      <c r="E130" s="792"/>
      <c r="F130" s="792"/>
      <c r="G130" s="792"/>
      <c r="H130" s="792"/>
      <c r="I130" s="792"/>
      <c r="J130" s="792"/>
      <c r="K130" s="792"/>
      <c r="L130" s="455"/>
    </row>
    <row r="131" spans="1:12" ht="15" thickBot="1">
      <c r="A131" s="410"/>
      <c r="L131" s="410"/>
    </row>
    <row r="132" spans="1:12" ht="14.25">
      <c r="A132" s="410"/>
      <c r="B132" s="416" t="s">
        <v>675</v>
      </c>
      <c r="C132" s="417"/>
      <c r="D132" s="417"/>
      <c r="E132" s="417"/>
      <c r="F132" s="417"/>
      <c r="G132" s="417"/>
      <c r="H132" s="417"/>
      <c r="I132" s="417"/>
      <c r="J132" s="417"/>
      <c r="K132" s="418"/>
      <c r="L132" s="410"/>
    </row>
    <row r="133" spans="1:12" ht="14.25">
      <c r="A133" s="410"/>
      <c r="B133" s="428"/>
      <c r="C133" s="791" t="s">
        <v>720</v>
      </c>
      <c r="D133" s="791"/>
      <c r="E133" s="420"/>
      <c r="F133" s="610" t="s">
        <v>721</v>
      </c>
      <c r="G133" s="420"/>
      <c r="H133" s="791" t="s">
        <v>708</v>
      </c>
      <c r="I133" s="791"/>
      <c r="J133" s="420"/>
      <c r="K133" s="422"/>
      <c r="L133" s="410"/>
    </row>
    <row r="134" spans="1:12" ht="14.25">
      <c r="A134" s="410"/>
      <c r="B134" s="428" t="s">
        <v>702</v>
      </c>
      <c r="C134" s="796">
        <v>100000</v>
      </c>
      <c r="D134" s="796"/>
      <c r="E134" s="610" t="s">
        <v>36</v>
      </c>
      <c r="F134" s="610">
        <v>0.115</v>
      </c>
      <c r="G134" s="610" t="s">
        <v>679</v>
      </c>
      <c r="H134" s="784">
        <f>C134*F134</f>
        <v>11500</v>
      </c>
      <c r="I134" s="784"/>
      <c r="J134" s="420"/>
      <c r="K134" s="422"/>
      <c r="L134" s="410"/>
    </row>
    <row r="135" spans="1:12" ht="14.25">
      <c r="A135" s="410"/>
      <c r="B135" s="428"/>
      <c r="C135" s="420"/>
      <c r="D135" s="420"/>
      <c r="E135" s="420"/>
      <c r="F135" s="420"/>
      <c r="G135" s="420"/>
      <c r="H135" s="420"/>
      <c r="I135" s="420"/>
      <c r="J135" s="420"/>
      <c r="K135" s="422"/>
      <c r="L135" s="410"/>
    </row>
    <row r="136" spans="1:12" ht="14.25">
      <c r="A136" s="410"/>
      <c r="B136" s="436"/>
      <c r="C136" s="780" t="s">
        <v>708</v>
      </c>
      <c r="D136" s="780"/>
      <c r="E136" s="437"/>
      <c r="F136" s="606" t="s">
        <v>722</v>
      </c>
      <c r="G136" s="606"/>
      <c r="H136" s="437"/>
      <c r="I136" s="437"/>
      <c r="J136" s="437" t="s">
        <v>723</v>
      </c>
      <c r="K136" s="438"/>
      <c r="L136" s="410"/>
    </row>
    <row r="137" spans="1:12" ht="14.25">
      <c r="A137" s="410"/>
      <c r="B137" s="428" t="s">
        <v>707</v>
      </c>
      <c r="C137" s="784">
        <f>H134</f>
        <v>11500</v>
      </c>
      <c r="D137" s="784"/>
      <c r="E137" s="610" t="s">
        <v>36</v>
      </c>
      <c r="F137" s="456">
        <v>52.869</v>
      </c>
      <c r="G137" s="610" t="s">
        <v>680</v>
      </c>
      <c r="H137" s="610">
        <v>1000</v>
      </c>
      <c r="I137" s="610" t="s">
        <v>679</v>
      </c>
      <c r="J137" s="457">
        <f>C137*F137/H137</f>
        <v>607.9935</v>
      </c>
      <c r="K137" s="422"/>
      <c r="L137" s="410"/>
    </row>
    <row r="138" spans="1:12" ht="15" thickBot="1">
      <c r="A138" s="410"/>
      <c r="B138" s="423"/>
      <c r="C138" s="548"/>
      <c r="D138" s="548"/>
      <c r="E138" s="440"/>
      <c r="F138" s="549"/>
      <c r="G138" s="440"/>
      <c r="H138" s="440"/>
      <c r="I138" s="440"/>
      <c r="J138" s="550"/>
      <c r="K138" s="425"/>
      <c r="L138" s="410"/>
    </row>
    <row r="139" spans="1:12" ht="40.5" customHeight="1">
      <c r="A139" s="410"/>
      <c r="B139" s="535" t="s">
        <v>671</v>
      </c>
      <c r="C139" s="536"/>
      <c r="D139" s="536"/>
      <c r="E139" s="537"/>
      <c r="F139" s="538"/>
      <c r="G139" s="537"/>
      <c r="H139" s="537"/>
      <c r="I139" s="537"/>
      <c r="J139" s="539"/>
      <c r="K139" s="540"/>
      <c r="L139" s="410"/>
    </row>
    <row r="140" spans="1:12" ht="14.25">
      <c r="A140" s="410"/>
      <c r="B140" s="541" t="s">
        <v>790</v>
      </c>
      <c r="C140" s="542"/>
      <c r="D140" s="542"/>
      <c r="E140" s="543"/>
      <c r="F140" s="544"/>
      <c r="G140" s="543"/>
      <c r="H140" s="543"/>
      <c r="I140" s="543"/>
      <c r="J140" s="545"/>
      <c r="K140" s="546"/>
      <c r="L140" s="410"/>
    </row>
    <row r="141" spans="1:12" ht="14.25">
      <c r="A141" s="410"/>
      <c r="B141" s="428"/>
      <c r="C141" s="607"/>
      <c r="D141" s="607"/>
      <c r="E141" s="610"/>
      <c r="F141" s="551"/>
      <c r="G141" s="610"/>
      <c r="H141" s="610"/>
      <c r="I141" s="610"/>
      <c r="J141" s="457"/>
      <c r="K141" s="422"/>
      <c r="L141" s="410"/>
    </row>
    <row r="142" spans="1:12" ht="14.25">
      <c r="A142" s="410"/>
      <c r="B142" s="541" t="s">
        <v>791</v>
      </c>
      <c r="C142" s="542"/>
      <c r="D142" s="542"/>
      <c r="E142" s="543"/>
      <c r="F142" s="544"/>
      <c r="G142" s="543"/>
      <c r="H142" s="543"/>
      <c r="I142" s="543"/>
      <c r="J142" s="545"/>
      <c r="K142" s="546"/>
      <c r="L142" s="410"/>
    </row>
    <row r="143" spans="1:12" ht="14.25">
      <c r="A143" s="410"/>
      <c r="B143" s="428"/>
      <c r="C143" s="607"/>
      <c r="D143" s="607"/>
      <c r="E143" s="610"/>
      <c r="F143" s="551"/>
      <c r="G143" s="610"/>
      <c r="H143" s="610"/>
      <c r="I143" s="610"/>
      <c r="J143" s="457"/>
      <c r="K143" s="422"/>
      <c r="L143" s="410"/>
    </row>
    <row r="144" spans="1:12" ht="76.5" customHeight="1">
      <c r="A144" s="410"/>
      <c r="B144" s="781" t="s">
        <v>792</v>
      </c>
      <c r="C144" s="782"/>
      <c r="D144" s="782"/>
      <c r="E144" s="782"/>
      <c r="F144" s="782"/>
      <c r="G144" s="782"/>
      <c r="H144" s="782"/>
      <c r="I144" s="782"/>
      <c r="J144" s="782"/>
      <c r="K144" s="783"/>
      <c r="L144" s="410"/>
    </row>
    <row r="145" spans="1:12" ht="15" thickBot="1">
      <c r="A145" s="410"/>
      <c r="B145" s="428"/>
      <c r="C145" s="607"/>
      <c r="D145" s="607"/>
      <c r="E145" s="610"/>
      <c r="F145" s="551"/>
      <c r="G145" s="610"/>
      <c r="H145" s="610"/>
      <c r="I145" s="610"/>
      <c r="J145" s="457"/>
      <c r="K145" s="422"/>
      <c r="L145" s="410"/>
    </row>
    <row r="146" spans="1:12" ht="14.25">
      <c r="A146" s="410"/>
      <c r="B146" s="416" t="s">
        <v>675</v>
      </c>
      <c r="C146" s="552"/>
      <c r="D146" s="552"/>
      <c r="E146" s="553"/>
      <c r="F146" s="554"/>
      <c r="G146" s="553"/>
      <c r="H146" s="553"/>
      <c r="I146" s="553"/>
      <c r="J146" s="555"/>
      <c r="K146" s="418"/>
      <c r="L146" s="410"/>
    </row>
    <row r="147" spans="1:12" ht="14.25">
      <c r="A147" s="410"/>
      <c r="B147" s="428"/>
      <c r="C147" s="784" t="s">
        <v>793</v>
      </c>
      <c r="D147" s="784"/>
      <c r="E147" s="610"/>
      <c r="F147" s="551" t="s">
        <v>794</v>
      </c>
      <c r="G147" s="610"/>
      <c r="H147" s="610"/>
      <c r="I147" s="610"/>
      <c r="J147" s="785" t="s">
        <v>795</v>
      </c>
      <c r="K147" s="786"/>
      <c r="L147" s="410"/>
    </row>
    <row r="148" spans="1:12" ht="14.25">
      <c r="A148" s="410"/>
      <c r="B148" s="428"/>
      <c r="C148" s="787">
        <v>52.869</v>
      </c>
      <c r="D148" s="787"/>
      <c r="E148" s="610" t="s">
        <v>36</v>
      </c>
      <c r="F148" s="611">
        <v>312000000</v>
      </c>
      <c r="G148" s="556" t="s">
        <v>680</v>
      </c>
      <c r="H148" s="610">
        <v>1000</v>
      </c>
      <c r="I148" s="610" t="s">
        <v>679</v>
      </c>
      <c r="J148" s="785">
        <f>C148*(F148/1000)</f>
        <v>16495128</v>
      </c>
      <c r="K148" s="788"/>
      <c r="L148" s="410"/>
    </row>
    <row r="149" spans="1:12" ht="15" thickBot="1">
      <c r="A149" s="410"/>
      <c r="B149" s="423"/>
      <c r="C149" s="548"/>
      <c r="D149" s="548"/>
      <c r="E149" s="440"/>
      <c r="F149" s="549"/>
      <c r="G149" s="440"/>
      <c r="H149" s="440"/>
      <c r="I149" s="440"/>
      <c r="J149" s="550"/>
      <c r="K149" s="425"/>
      <c r="L149" s="410"/>
    </row>
    <row r="150" spans="1:12" ht="15" thickBot="1">
      <c r="A150" s="410"/>
      <c r="B150" s="423"/>
      <c r="C150" s="424"/>
      <c r="D150" s="424"/>
      <c r="E150" s="424"/>
      <c r="F150" s="424"/>
      <c r="G150" s="424"/>
      <c r="H150" s="424"/>
      <c r="I150" s="424"/>
      <c r="J150" s="424"/>
      <c r="K150" s="425"/>
      <c r="L150" s="410"/>
    </row>
    <row r="151" spans="1:12" ht="14.25">
      <c r="A151" s="410"/>
      <c r="B151" s="410"/>
      <c r="C151" s="410"/>
      <c r="D151" s="410"/>
      <c r="E151" s="410"/>
      <c r="F151" s="410"/>
      <c r="G151" s="410"/>
      <c r="H151" s="410"/>
      <c r="I151" s="410"/>
      <c r="J151" s="410"/>
      <c r="K151" s="410"/>
      <c r="L151" s="410"/>
    </row>
    <row r="152" spans="1:12" ht="14.25">
      <c r="A152" s="410"/>
      <c r="B152" s="410"/>
      <c r="C152" s="410"/>
      <c r="D152" s="410"/>
      <c r="E152" s="410"/>
      <c r="F152" s="410"/>
      <c r="G152" s="410"/>
      <c r="H152" s="410"/>
      <c r="I152" s="410"/>
      <c r="J152" s="410"/>
      <c r="K152" s="410"/>
      <c r="L152" s="410"/>
    </row>
    <row r="153" spans="1:12" ht="14.25">
      <c r="A153" s="410"/>
      <c r="B153" s="410"/>
      <c r="C153" s="410"/>
      <c r="D153" s="410"/>
      <c r="E153" s="410"/>
      <c r="F153" s="410"/>
      <c r="G153" s="410"/>
      <c r="H153" s="410"/>
      <c r="I153" s="410"/>
      <c r="J153" s="410"/>
      <c r="K153" s="410"/>
      <c r="L153" s="410"/>
    </row>
    <row r="154" spans="1:12" ht="14.25">
      <c r="A154" s="458"/>
      <c r="B154" s="458"/>
      <c r="C154" s="458"/>
      <c r="D154" s="458"/>
      <c r="E154" s="458"/>
      <c r="F154" s="458"/>
      <c r="G154" s="458"/>
      <c r="H154" s="458"/>
      <c r="I154" s="458"/>
      <c r="J154" s="458"/>
      <c r="K154" s="458"/>
      <c r="L154" s="458"/>
    </row>
    <row r="155" spans="1:12" ht="14.25">
      <c r="A155" s="458"/>
      <c r="B155" s="458"/>
      <c r="C155" s="458"/>
      <c r="D155" s="458"/>
      <c r="E155" s="458"/>
      <c r="F155" s="458"/>
      <c r="G155" s="458"/>
      <c r="H155" s="458"/>
      <c r="I155" s="458"/>
      <c r="J155" s="458"/>
      <c r="K155" s="458"/>
      <c r="L155" s="458"/>
    </row>
    <row r="156" spans="1:12" ht="14.25">
      <c r="A156" s="458"/>
      <c r="B156" s="458"/>
      <c r="C156" s="458"/>
      <c r="D156" s="458"/>
      <c r="E156" s="458"/>
      <c r="F156" s="458"/>
      <c r="G156" s="458"/>
      <c r="H156" s="458"/>
      <c r="I156" s="458"/>
      <c r="J156" s="458"/>
      <c r="K156" s="458"/>
      <c r="L156" s="458"/>
    </row>
    <row r="157" spans="1:12" ht="14.25">
      <c r="A157" s="458"/>
      <c r="B157" s="458"/>
      <c r="C157" s="458"/>
      <c r="D157" s="458"/>
      <c r="E157" s="458"/>
      <c r="F157" s="458"/>
      <c r="G157" s="458"/>
      <c r="H157" s="458"/>
      <c r="I157" s="458"/>
      <c r="J157" s="458"/>
      <c r="K157" s="458"/>
      <c r="L157" s="458"/>
    </row>
    <row r="158" spans="1:12" ht="14.25">
      <c r="A158" s="458"/>
      <c r="B158" s="458"/>
      <c r="C158" s="458"/>
      <c r="D158" s="458"/>
      <c r="E158" s="458"/>
      <c r="F158" s="458"/>
      <c r="G158" s="458"/>
      <c r="H158" s="458"/>
      <c r="I158" s="458"/>
      <c r="J158" s="458"/>
      <c r="K158" s="458"/>
      <c r="L158" s="458"/>
    </row>
    <row r="159" spans="1:12" ht="14.25">
      <c r="A159" s="458"/>
      <c r="B159" s="458"/>
      <c r="C159" s="458"/>
      <c r="D159" s="458"/>
      <c r="E159" s="458"/>
      <c r="F159" s="458"/>
      <c r="G159" s="458"/>
      <c r="H159" s="458"/>
      <c r="I159" s="458"/>
      <c r="J159" s="458"/>
      <c r="K159" s="458"/>
      <c r="L159" s="458"/>
    </row>
    <row r="160" spans="1:12" ht="14.25">
      <c r="A160" s="458"/>
      <c r="B160" s="458"/>
      <c r="C160" s="458"/>
      <c r="D160" s="458"/>
      <c r="E160" s="458"/>
      <c r="F160" s="458"/>
      <c r="G160" s="458"/>
      <c r="H160" s="458"/>
      <c r="I160" s="458"/>
      <c r="J160" s="458"/>
      <c r="K160" s="458"/>
      <c r="L160" s="458"/>
    </row>
    <row r="161" spans="1:12" ht="14.25">
      <c r="A161" s="458"/>
      <c r="B161" s="458"/>
      <c r="C161" s="458"/>
      <c r="D161" s="458"/>
      <c r="E161" s="458"/>
      <c r="F161" s="458"/>
      <c r="G161" s="458"/>
      <c r="H161" s="458"/>
      <c r="I161" s="458"/>
      <c r="J161" s="458"/>
      <c r="K161" s="458"/>
      <c r="L161" s="458"/>
    </row>
    <row r="162" spans="1:12" ht="14.25">
      <c r="A162" s="458"/>
      <c r="B162" s="458"/>
      <c r="C162" s="458"/>
      <c r="D162" s="458"/>
      <c r="E162" s="458"/>
      <c r="F162" s="458"/>
      <c r="G162" s="458"/>
      <c r="H162" s="458"/>
      <c r="I162" s="458"/>
      <c r="J162" s="458"/>
      <c r="K162" s="458"/>
      <c r="L162" s="458"/>
    </row>
    <row r="163" spans="1:12" ht="14.25">
      <c r="A163" s="458"/>
      <c r="B163" s="458"/>
      <c r="C163" s="458"/>
      <c r="D163" s="458"/>
      <c r="E163" s="458"/>
      <c r="F163" s="458"/>
      <c r="G163" s="458"/>
      <c r="H163" s="458"/>
      <c r="I163" s="458"/>
      <c r="J163" s="458"/>
      <c r="K163" s="458"/>
      <c r="L163" s="458"/>
    </row>
    <row r="164" spans="1:12" ht="14.25">
      <c r="A164" s="458"/>
      <c r="B164" s="458"/>
      <c r="C164" s="458"/>
      <c r="D164" s="458"/>
      <c r="E164" s="458"/>
      <c r="F164" s="458"/>
      <c r="G164" s="458"/>
      <c r="H164" s="458"/>
      <c r="I164" s="458"/>
      <c r="J164" s="458"/>
      <c r="K164" s="458"/>
      <c r="L164" s="458"/>
    </row>
    <row r="165" spans="1:12" ht="14.25">
      <c r="A165" s="458"/>
      <c r="B165" s="458"/>
      <c r="C165" s="458"/>
      <c r="D165" s="458"/>
      <c r="E165" s="458"/>
      <c r="F165" s="458"/>
      <c r="G165" s="458"/>
      <c r="H165" s="458"/>
      <c r="I165" s="458"/>
      <c r="J165" s="458"/>
      <c r="K165" s="458"/>
      <c r="L165" s="458"/>
    </row>
    <row r="166" spans="1:12" ht="14.25">
      <c r="A166" s="458"/>
      <c r="B166" s="458"/>
      <c r="C166" s="458"/>
      <c r="D166" s="458"/>
      <c r="E166" s="458"/>
      <c r="F166" s="458"/>
      <c r="G166" s="458"/>
      <c r="H166" s="458"/>
      <c r="I166" s="458"/>
      <c r="J166" s="458"/>
      <c r="K166" s="458"/>
      <c r="L166" s="458"/>
    </row>
    <row r="167" spans="1:12" ht="14.25">
      <c r="A167" s="458"/>
      <c r="B167" s="458"/>
      <c r="C167" s="458"/>
      <c r="D167" s="458"/>
      <c r="E167" s="458"/>
      <c r="F167" s="458"/>
      <c r="G167" s="458"/>
      <c r="H167" s="458"/>
      <c r="I167" s="458"/>
      <c r="J167" s="458"/>
      <c r="K167" s="458"/>
      <c r="L167" s="458"/>
    </row>
    <row r="168" spans="1:12" ht="14.25">
      <c r="A168" s="458"/>
      <c r="B168" s="458"/>
      <c r="C168" s="458"/>
      <c r="D168" s="458"/>
      <c r="E168" s="458"/>
      <c r="F168" s="458"/>
      <c r="G168" s="458"/>
      <c r="H168" s="458"/>
      <c r="I168" s="458"/>
      <c r="J168" s="458"/>
      <c r="K168" s="458"/>
      <c r="L168" s="458"/>
    </row>
    <row r="169" spans="1:12" ht="14.25">
      <c r="A169" s="458"/>
      <c r="B169" s="458"/>
      <c r="C169" s="458"/>
      <c r="D169" s="458"/>
      <c r="E169" s="458"/>
      <c r="F169" s="458"/>
      <c r="G169" s="458"/>
      <c r="H169" s="458"/>
      <c r="I169" s="458"/>
      <c r="J169" s="458"/>
      <c r="K169" s="458"/>
      <c r="L169" s="458"/>
    </row>
    <row r="170" spans="1:12" ht="14.25">
      <c r="A170" s="458"/>
      <c r="B170" s="458"/>
      <c r="C170" s="458"/>
      <c r="D170" s="458"/>
      <c r="E170" s="458"/>
      <c r="F170" s="458"/>
      <c r="G170" s="458"/>
      <c r="H170" s="458"/>
      <c r="I170" s="458"/>
      <c r="J170" s="458"/>
      <c r="K170" s="458"/>
      <c r="L170" s="458"/>
    </row>
    <row r="171" spans="1:12" ht="14.25">
      <c r="A171" s="458"/>
      <c r="B171" s="458"/>
      <c r="C171" s="458"/>
      <c r="D171" s="458"/>
      <c r="E171" s="458"/>
      <c r="F171" s="458"/>
      <c r="G171" s="458"/>
      <c r="H171" s="458"/>
      <c r="I171" s="458"/>
      <c r="J171" s="458"/>
      <c r="K171" s="458"/>
      <c r="L171" s="458"/>
    </row>
    <row r="172" spans="1:12" ht="14.25">
      <c r="A172" s="458"/>
      <c r="B172" s="458"/>
      <c r="C172" s="458"/>
      <c r="D172" s="458"/>
      <c r="E172" s="458"/>
      <c r="F172" s="458"/>
      <c r="G172" s="458"/>
      <c r="H172" s="458"/>
      <c r="I172" s="458"/>
      <c r="J172" s="458"/>
      <c r="K172" s="458"/>
      <c r="L172" s="458"/>
    </row>
    <row r="173" spans="1:12" ht="14.25">
      <c r="A173" s="458"/>
      <c r="B173" s="458"/>
      <c r="C173" s="458"/>
      <c r="D173" s="458"/>
      <c r="E173" s="458"/>
      <c r="F173" s="458"/>
      <c r="G173" s="458"/>
      <c r="H173" s="458"/>
      <c r="I173" s="458"/>
      <c r="J173" s="458"/>
      <c r="K173" s="458"/>
      <c r="L173" s="458"/>
    </row>
    <row r="174" spans="1:12" ht="14.25">
      <c r="A174" s="458"/>
      <c r="B174" s="458"/>
      <c r="C174" s="458"/>
      <c r="D174" s="458"/>
      <c r="E174" s="458"/>
      <c r="F174" s="458"/>
      <c r="G174" s="458"/>
      <c r="H174" s="458"/>
      <c r="I174" s="458"/>
      <c r="J174" s="458"/>
      <c r="K174" s="458"/>
      <c r="L174" s="458"/>
    </row>
    <row r="175" spans="1:12" ht="14.25">
      <c r="A175" s="458"/>
      <c r="B175" s="458"/>
      <c r="C175" s="458"/>
      <c r="D175" s="458"/>
      <c r="E175" s="458"/>
      <c r="F175" s="458"/>
      <c r="G175" s="458"/>
      <c r="H175" s="458"/>
      <c r="I175" s="458"/>
      <c r="J175" s="458"/>
      <c r="K175" s="458"/>
      <c r="L175" s="458"/>
    </row>
    <row r="176" spans="1:12" ht="14.25">
      <c r="A176" s="458"/>
      <c r="B176" s="458"/>
      <c r="C176" s="458"/>
      <c r="D176" s="458"/>
      <c r="E176" s="458"/>
      <c r="F176" s="458"/>
      <c r="G176" s="458"/>
      <c r="H176" s="458"/>
      <c r="I176" s="458"/>
      <c r="J176" s="458"/>
      <c r="K176" s="458"/>
      <c r="L176" s="458"/>
    </row>
    <row r="177" spans="1:12" ht="14.25">
      <c r="A177" s="458"/>
      <c r="B177" s="458"/>
      <c r="C177" s="458"/>
      <c r="D177" s="458"/>
      <c r="E177" s="458"/>
      <c r="F177" s="458"/>
      <c r="G177" s="458"/>
      <c r="H177" s="458"/>
      <c r="I177" s="458"/>
      <c r="J177" s="458"/>
      <c r="K177" s="458"/>
      <c r="L177" s="458"/>
    </row>
    <row r="178" spans="1:12" ht="14.25">
      <c r="A178" s="458"/>
      <c r="B178" s="458"/>
      <c r="C178" s="458"/>
      <c r="D178" s="458"/>
      <c r="E178" s="458"/>
      <c r="F178" s="458"/>
      <c r="G178" s="458"/>
      <c r="H178" s="458"/>
      <c r="I178" s="458"/>
      <c r="J178" s="458"/>
      <c r="K178" s="458"/>
      <c r="L178" s="458"/>
    </row>
    <row r="179" spans="1:12" ht="14.25">
      <c r="A179" s="458"/>
      <c r="B179" s="458"/>
      <c r="C179" s="458"/>
      <c r="D179" s="458"/>
      <c r="E179" s="458"/>
      <c r="F179" s="458"/>
      <c r="G179" s="458"/>
      <c r="H179" s="458"/>
      <c r="I179" s="458"/>
      <c r="J179" s="458"/>
      <c r="K179" s="458"/>
      <c r="L179" s="458"/>
    </row>
    <row r="180" spans="1:12" ht="14.25">
      <c r="A180" s="458"/>
      <c r="B180" s="458"/>
      <c r="C180" s="458"/>
      <c r="D180" s="458"/>
      <c r="E180" s="458"/>
      <c r="F180" s="458"/>
      <c r="G180" s="458"/>
      <c r="H180" s="458"/>
      <c r="I180" s="458"/>
      <c r="J180" s="458"/>
      <c r="K180" s="458"/>
      <c r="L180" s="458"/>
    </row>
    <row r="181" spans="1:12" ht="14.25">
      <c r="A181" s="458"/>
      <c r="B181" s="458"/>
      <c r="C181" s="458"/>
      <c r="D181" s="458"/>
      <c r="E181" s="458"/>
      <c r="F181" s="458"/>
      <c r="G181" s="458"/>
      <c r="H181" s="458"/>
      <c r="I181" s="458"/>
      <c r="J181" s="458"/>
      <c r="K181" s="458"/>
      <c r="L181" s="458"/>
    </row>
    <row r="182" spans="1:12" ht="14.25">
      <c r="A182" s="458"/>
      <c r="B182" s="458"/>
      <c r="C182" s="458"/>
      <c r="D182" s="458"/>
      <c r="E182" s="458"/>
      <c r="F182" s="458"/>
      <c r="G182" s="458"/>
      <c r="H182" s="458"/>
      <c r="I182" s="458"/>
      <c r="J182" s="458"/>
      <c r="K182" s="458"/>
      <c r="L182" s="458"/>
    </row>
    <row r="183" spans="1:12" ht="14.25">
      <c r="A183" s="458"/>
      <c r="B183" s="458"/>
      <c r="C183" s="458"/>
      <c r="D183" s="458"/>
      <c r="E183" s="458"/>
      <c r="F183" s="458"/>
      <c r="G183" s="458"/>
      <c r="H183" s="458"/>
      <c r="I183" s="458"/>
      <c r="J183" s="458"/>
      <c r="K183" s="458"/>
      <c r="L183" s="458"/>
    </row>
    <row r="184" spans="1:12" ht="14.25">
      <c r="A184" s="458"/>
      <c r="B184" s="458"/>
      <c r="C184" s="458"/>
      <c r="D184" s="458"/>
      <c r="E184" s="458"/>
      <c r="F184" s="458"/>
      <c r="G184" s="458"/>
      <c r="H184" s="458"/>
      <c r="I184" s="458"/>
      <c r="J184" s="458"/>
      <c r="K184" s="458"/>
      <c r="L184" s="458"/>
    </row>
    <row r="185" spans="1:12" ht="14.25">
      <c r="A185" s="458"/>
      <c r="B185" s="458"/>
      <c r="C185" s="458"/>
      <c r="D185" s="458"/>
      <c r="E185" s="458"/>
      <c r="F185" s="458"/>
      <c r="G185" s="458"/>
      <c r="H185" s="458"/>
      <c r="I185" s="458"/>
      <c r="J185" s="458"/>
      <c r="K185" s="458"/>
      <c r="L185" s="458"/>
    </row>
    <row r="186" spans="1:12" ht="14.25">
      <c r="A186" s="458"/>
      <c r="B186" s="458"/>
      <c r="C186" s="458"/>
      <c r="D186" s="458"/>
      <c r="E186" s="458"/>
      <c r="F186" s="458"/>
      <c r="G186" s="458"/>
      <c r="H186" s="458"/>
      <c r="I186" s="458"/>
      <c r="J186" s="458"/>
      <c r="K186" s="458"/>
      <c r="L186" s="458"/>
    </row>
    <row r="187" spans="1:12" ht="14.25">
      <c r="A187" s="458"/>
      <c r="B187" s="458"/>
      <c r="C187" s="458"/>
      <c r="D187" s="458"/>
      <c r="E187" s="458"/>
      <c r="F187" s="458"/>
      <c r="G187" s="458"/>
      <c r="H187" s="458"/>
      <c r="I187" s="458"/>
      <c r="J187" s="458"/>
      <c r="K187" s="458"/>
      <c r="L187" s="458"/>
    </row>
    <row r="188" spans="1:12" ht="14.25">
      <c r="A188" s="458"/>
      <c r="B188" s="458"/>
      <c r="C188" s="458"/>
      <c r="D188" s="458"/>
      <c r="E188" s="458"/>
      <c r="F188" s="458"/>
      <c r="G188" s="458"/>
      <c r="H188" s="458"/>
      <c r="I188" s="458"/>
      <c r="J188" s="458"/>
      <c r="K188" s="458"/>
      <c r="L188" s="458"/>
    </row>
    <row r="189" spans="1:12" ht="14.25">
      <c r="A189" s="458"/>
      <c r="B189" s="458"/>
      <c r="C189" s="458"/>
      <c r="D189" s="458"/>
      <c r="E189" s="458"/>
      <c r="F189" s="458"/>
      <c r="G189" s="458"/>
      <c r="H189" s="458"/>
      <c r="I189" s="458"/>
      <c r="J189" s="458"/>
      <c r="K189" s="458"/>
      <c r="L189" s="458"/>
    </row>
    <row r="190" spans="1:12" ht="14.25">
      <c r="A190" s="458"/>
      <c r="B190" s="458"/>
      <c r="C190" s="458"/>
      <c r="D190" s="458"/>
      <c r="E190" s="458"/>
      <c r="F190" s="458"/>
      <c r="G190" s="458"/>
      <c r="H190" s="458"/>
      <c r="I190" s="458"/>
      <c r="J190" s="458"/>
      <c r="K190" s="458"/>
      <c r="L190" s="458"/>
    </row>
    <row r="191" spans="1:12" ht="14.25">
      <c r="A191" s="458"/>
      <c r="B191" s="458"/>
      <c r="C191" s="458"/>
      <c r="D191" s="458"/>
      <c r="E191" s="458"/>
      <c r="F191" s="458"/>
      <c r="G191" s="458"/>
      <c r="H191" s="458"/>
      <c r="I191" s="458"/>
      <c r="J191" s="458"/>
      <c r="K191" s="458"/>
      <c r="L191" s="458"/>
    </row>
    <row r="192" spans="1:12" ht="14.25">
      <c r="A192" s="458"/>
      <c r="B192" s="458"/>
      <c r="C192" s="458"/>
      <c r="D192" s="458"/>
      <c r="E192" s="458"/>
      <c r="F192" s="458"/>
      <c r="G192" s="458"/>
      <c r="H192" s="458"/>
      <c r="I192" s="458"/>
      <c r="J192" s="458"/>
      <c r="K192" s="458"/>
      <c r="L192" s="458"/>
    </row>
    <row r="193" spans="1:12" ht="14.25">
      <c r="A193" s="458"/>
      <c r="B193" s="458"/>
      <c r="C193" s="458"/>
      <c r="D193" s="458"/>
      <c r="E193" s="458"/>
      <c r="F193" s="458"/>
      <c r="G193" s="458"/>
      <c r="H193" s="458"/>
      <c r="I193" s="458"/>
      <c r="J193" s="458"/>
      <c r="K193" s="458"/>
      <c r="L193" s="458"/>
    </row>
    <row r="194" spans="1:12" ht="14.25">
      <c r="A194" s="458"/>
      <c r="B194" s="458"/>
      <c r="C194" s="458"/>
      <c r="D194" s="458"/>
      <c r="E194" s="458"/>
      <c r="F194" s="458"/>
      <c r="G194" s="458"/>
      <c r="H194" s="458"/>
      <c r="I194" s="458"/>
      <c r="J194" s="458"/>
      <c r="K194" s="458"/>
      <c r="L194" s="458"/>
    </row>
    <row r="195" spans="1:12" ht="14.25">
      <c r="A195" s="458"/>
      <c r="B195" s="458"/>
      <c r="C195" s="458"/>
      <c r="D195" s="458"/>
      <c r="E195" s="458"/>
      <c r="F195" s="458"/>
      <c r="G195" s="458"/>
      <c r="H195" s="458"/>
      <c r="I195" s="458"/>
      <c r="J195" s="458"/>
      <c r="K195" s="458"/>
      <c r="L195" s="458"/>
    </row>
    <row r="196" spans="1:12" ht="14.25">
      <c r="A196" s="458"/>
      <c r="B196" s="458"/>
      <c r="C196" s="458"/>
      <c r="D196" s="458"/>
      <c r="E196" s="458"/>
      <c r="F196" s="458"/>
      <c r="G196" s="458"/>
      <c r="H196" s="458"/>
      <c r="I196" s="458"/>
      <c r="J196" s="458"/>
      <c r="K196" s="458"/>
      <c r="L196" s="458"/>
    </row>
    <row r="197" spans="1:12" ht="14.25">
      <c r="A197" s="458"/>
      <c r="B197" s="458"/>
      <c r="C197" s="458"/>
      <c r="D197" s="458"/>
      <c r="E197" s="458"/>
      <c r="F197" s="458"/>
      <c r="G197" s="458"/>
      <c r="H197" s="458"/>
      <c r="I197" s="458"/>
      <c r="J197" s="458"/>
      <c r="K197" s="458"/>
      <c r="L197" s="458"/>
    </row>
    <row r="198" spans="1:12" ht="14.25">
      <c r="A198" s="458"/>
      <c r="B198" s="458"/>
      <c r="C198" s="458"/>
      <c r="D198" s="458"/>
      <c r="E198" s="458"/>
      <c r="F198" s="458"/>
      <c r="G198" s="458"/>
      <c r="H198" s="458"/>
      <c r="I198" s="458"/>
      <c r="J198" s="458"/>
      <c r="K198" s="458"/>
      <c r="L198" s="458"/>
    </row>
    <row r="199" spans="1:12" ht="14.25">
      <c r="A199" s="458"/>
      <c r="B199" s="458"/>
      <c r="C199" s="458"/>
      <c r="D199" s="458"/>
      <c r="E199" s="458"/>
      <c r="F199" s="458"/>
      <c r="G199" s="458"/>
      <c r="H199" s="458"/>
      <c r="I199" s="458"/>
      <c r="J199" s="458"/>
      <c r="K199" s="458"/>
      <c r="L199" s="458"/>
    </row>
    <row r="200" spans="1:12" ht="14.25">
      <c r="A200" s="458"/>
      <c r="B200" s="458"/>
      <c r="C200" s="458"/>
      <c r="D200" s="458"/>
      <c r="E200" s="458"/>
      <c r="F200" s="458"/>
      <c r="G200" s="458"/>
      <c r="H200" s="458"/>
      <c r="I200" s="458"/>
      <c r="J200" s="458"/>
      <c r="K200" s="458"/>
      <c r="L200" s="458"/>
    </row>
    <row r="201" spans="1:12" ht="14.25">
      <c r="A201" s="458"/>
      <c r="B201" s="458"/>
      <c r="C201" s="458"/>
      <c r="D201" s="458"/>
      <c r="E201" s="458"/>
      <c r="F201" s="458"/>
      <c r="G201" s="458"/>
      <c r="H201" s="458"/>
      <c r="I201" s="458"/>
      <c r="J201" s="458"/>
      <c r="K201" s="458"/>
      <c r="L201" s="458"/>
    </row>
    <row r="202" spans="1:12" ht="14.25">
      <c r="A202" s="458"/>
      <c r="B202" s="458"/>
      <c r="C202" s="458"/>
      <c r="D202" s="458"/>
      <c r="E202" s="458"/>
      <c r="F202" s="458"/>
      <c r="G202" s="458"/>
      <c r="H202" s="458"/>
      <c r="I202" s="458"/>
      <c r="J202" s="458"/>
      <c r="K202" s="458"/>
      <c r="L202" s="458"/>
    </row>
    <row r="203" spans="1:12" ht="14.25">
      <c r="A203" s="458"/>
      <c r="B203" s="458"/>
      <c r="C203" s="458"/>
      <c r="D203" s="458"/>
      <c r="E203" s="458"/>
      <c r="F203" s="458"/>
      <c r="G203" s="458"/>
      <c r="H203" s="458"/>
      <c r="I203" s="458"/>
      <c r="J203" s="458"/>
      <c r="K203" s="458"/>
      <c r="L203" s="458"/>
    </row>
    <row r="204" spans="1:12" ht="14.25">
      <c r="A204" s="458"/>
      <c r="B204" s="458"/>
      <c r="C204" s="458"/>
      <c r="D204" s="458"/>
      <c r="E204" s="458"/>
      <c r="F204" s="458"/>
      <c r="G204" s="458"/>
      <c r="H204" s="458"/>
      <c r="I204" s="458"/>
      <c r="J204" s="458"/>
      <c r="K204" s="458"/>
      <c r="L204" s="458"/>
    </row>
    <row r="205" spans="1:12" ht="14.25">
      <c r="A205" s="458"/>
      <c r="B205" s="458"/>
      <c r="C205" s="458"/>
      <c r="D205" s="458"/>
      <c r="E205" s="458"/>
      <c r="F205" s="458"/>
      <c r="G205" s="458"/>
      <c r="H205" s="458"/>
      <c r="I205" s="458"/>
      <c r="J205" s="458"/>
      <c r="K205" s="458"/>
      <c r="L205" s="458"/>
    </row>
    <row r="206" spans="1:12" ht="14.25">
      <c r="A206" s="458"/>
      <c r="B206" s="458"/>
      <c r="C206" s="458"/>
      <c r="D206" s="458"/>
      <c r="E206" s="458"/>
      <c r="F206" s="458"/>
      <c r="G206" s="458"/>
      <c r="H206" s="458"/>
      <c r="I206" s="458"/>
      <c r="J206" s="458"/>
      <c r="K206" s="458"/>
      <c r="L206" s="458"/>
    </row>
    <row r="207" spans="1:12" ht="14.25">
      <c r="A207" s="458"/>
      <c r="B207" s="458"/>
      <c r="C207" s="458"/>
      <c r="D207" s="458"/>
      <c r="E207" s="458"/>
      <c r="F207" s="458"/>
      <c r="G207" s="458"/>
      <c r="H207" s="458"/>
      <c r="I207" s="458"/>
      <c r="J207" s="458"/>
      <c r="K207" s="458"/>
      <c r="L207" s="458"/>
    </row>
    <row r="208" spans="1:12" ht="14.25">
      <c r="A208" s="458"/>
      <c r="B208" s="458"/>
      <c r="C208" s="458"/>
      <c r="D208" s="458"/>
      <c r="E208" s="458"/>
      <c r="F208" s="458"/>
      <c r="G208" s="458"/>
      <c r="H208" s="458"/>
      <c r="I208" s="458"/>
      <c r="J208" s="458"/>
      <c r="K208" s="458"/>
      <c r="L208" s="458"/>
    </row>
    <row r="209" spans="1:12" ht="14.25">
      <c r="A209" s="458"/>
      <c r="B209" s="458"/>
      <c r="C209" s="458"/>
      <c r="D209" s="458"/>
      <c r="E209" s="458"/>
      <c r="F209" s="458"/>
      <c r="G209" s="458"/>
      <c r="H209" s="458"/>
      <c r="I209" s="458"/>
      <c r="J209" s="458"/>
      <c r="K209" s="458"/>
      <c r="L209" s="458"/>
    </row>
    <row r="210" spans="1:12" ht="14.25">
      <c r="A210" s="458"/>
      <c r="B210" s="458"/>
      <c r="C210" s="458"/>
      <c r="D210" s="458"/>
      <c r="E210" s="458"/>
      <c r="F210" s="458"/>
      <c r="G210" s="458"/>
      <c r="H210" s="458"/>
      <c r="I210" s="458"/>
      <c r="J210" s="458"/>
      <c r="K210" s="458"/>
      <c r="L210" s="458"/>
    </row>
    <row r="211" spans="1:12" ht="14.25">
      <c r="A211" s="458"/>
      <c r="B211" s="458"/>
      <c r="C211" s="458"/>
      <c r="D211" s="458"/>
      <c r="E211" s="458"/>
      <c r="F211" s="458"/>
      <c r="G211" s="458"/>
      <c r="H211" s="458"/>
      <c r="I211" s="458"/>
      <c r="J211" s="458"/>
      <c r="K211" s="458"/>
      <c r="L211" s="458"/>
    </row>
    <row r="212" spans="1:12" ht="14.25">
      <c r="A212" s="458"/>
      <c r="B212" s="458"/>
      <c r="C212" s="458"/>
      <c r="D212" s="458"/>
      <c r="E212" s="458"/>
      <c r="F212" s="458"/>
      <c r="G212" s="458"/>
      <c r="H212" s="458"/>
      <c r="I212" s="458"/>
      <c r="J212" s="458"/>
      <c r="K212" s="458"/>
      <c r="L212" s="458"/>
    </row>
    <row r="213" spans="1:12" ht="14.25">
      <c r="A213" s="458"/>
      <c r="B213" s="458"/>
      <c r="C213" s="458"/>
      <c r="D213" s="458"/>
      <c r="E213" s="458"/>
      <c r="F213" s="458"/>
      <c r="G213" s="458"/>
      <c r="H213" s="458"/>
      <c r="I213" s="458"/>
      <c r="J213" s="458"/>
      <c r="K213" s="458"/>
      <c r="L213" s="458"/>
    </row>
    <row r="214" spans="1:12" ht="14.25">
      <c r="A214" s="458"/>
      <c r="B214" s="458"/>
      <c r="C214" s="458"/>
      <c r="D214" s="458"/>
      <c r="E214" s="458"/>
      <c r="F214" s="458"/>
      <c r="G214" s="458"/>
      <c r="H214" s="458"/>
      <c r="I214" s="458"/>
      <c r="J214" s="458"/>
      <c r="K214" s="458"/>
      <c r="L214" s="458"/>
    </row>
    <row r="215" spans="1:12" ht="14.25">
      <c r="A215" s="458"/>
      <c r="B215" s="458"/>
      <c r="C215" s="458"/>
      <c r="D215" s="458"/>
      <c r="E215" s="458"/>
      <c r="F215" s="458"/>
      <c r="G215" s="458"/>
      <c r="H215" s="458"/>
      <c r="I215" s="458"/>
      <c r="J215" s="458"/>
      <c r="K215" s="458"/>
      <c r="L215" s="458"/>
    </row>
    <row r="216" spans="1:12" ht="14.25">
      <c r="A216" s="458"/>
      <c r="B216" s="458"/>
      <c r="C216" s="458"/>
      <c r="D216" s="458"/>
      <c r="E216" s="458"/>
      <c r="F216" s="458"/>
      <c r="G216" s="458"/>
      <c r="H216" s="458"/>
      <c r="I216" s="458"/>
      <c r="J216" s="458"/>
      <c r="K216" s="458"/>
      <c r="L216" s="458"/>
    </row>
    <row r="217" spans="1:12" ht="14.25">
      <c r="A217" s="458"/>
      <c r="B217" s="458"/>
      <c r="C217" s="458"/>
      <c r="D217" s="458"/>
      <c r="E217" s="458"/>
      <c r="F217" s="458"/>
      <c r="G217" s="458"/>
      <c r="H217" s="458"/>
      <c r="I217" s="458"/>
      <c r="J217" s="458"/>
      <c r="K217" s="458"/>
      <c r="L217" s="458"/>
    </row>
    <row r="218" spans="1:12" ht="14.25">
      <c r="A218" s="458"/>
      <c r="B218" s="458"/>
      <c r="C218" s="458"/>
      <c r="D218" s="458"/>
      <c r="E218" s="458"/>
      <c r="F218" s="458"/>
      <c r="G218" s="458"/>
      <c r="H218" s="458"/>
      <c r="I218" s="458"/>
      <c r="J218" s="458"/>
      <c r="K218" s="458"/>
      <c r="L218" s="458"/>
    </row>
    <row r="219" spans="1:12" ht="14.25">
      <c r="A219" s="458"/>
      <c r="B219" s="458"/>
      <c r="C219" s="458"/>
      <c r="D219" s="458"/>
      <c r="E219" s="458"/>
      <c r="F219" s="458"/>
      <c r="G219" s="458"/>
      <c r="H219" s="458"/>
      <c r="I219" s="458"/>
      <c r="J219" s="458"/>
      <c r="K219" s="458"/>
      <c r="L219" s="458"/>
    </row>
    <row r="220" spans="1:12" ht="14.25">
      <c r="A220" s="458"/>
      <c r="B220" s="458"/>
      <c r="C220" s="458"/>
      <c r="D220" s="458"/>
      <c r="E220" s="458"/>
      <c r="F220" s="458"/>
      <c r="G220" s="458"/>
      <c r="H220" s="458"/>
      <c r="I220" s="458"/>
      <c r="J220" s="458"/>
      <c r="K220" s="458"/>
      <c r="L220" s="458"/>
    </row>
    <row r="221" spans="1:12" ht="14.25">
      <c r="A221" s="458"/>
      <c r="B221" s="458"/>
      <c r="C221" s="458"/>
      <c r="D221" s="458"/>
      <c r="E221" s="458"/>
      <c r="F221" s="458"/>
      <c r="G221" s="458"/>
      <c r="H221" s="458"/>
      <c r="I221" s="458"/>
      <c r="J221" s="458"/>
      <c r="K221" s="458"/>
      <c r="L221" s="458"/>
    </row>
    <row r="222" spans="1:12" ht="14.25">
      <c r="A222" s="458"/>
      <c r="B222" s="458"/>
      <c r="C222" s="458"/>
      <c r="D222" s="458"/>
      <c r="E222" s="458"/>
      <c r="F222" s="458"/>
      <c r="G222" s="458"/>
      <c r="H222" s="458"/>
      <c r="I222" s="458"/>
      <c r="J222" s="458"/>
      <c r="K222" s="458"/>
      <c r="L222" s="458"/>
    </row>
    <row r="223" spans="1:12" ht="14.25">
      <c r="A223" s="458"/>
      <c r="B223" s="458"/>
      <c r="C223" s="458"/>
      <c r="D223" s="458"/>
      <c r="E223" s="458"/>
      <c r="F223" s="458"/>
      <c r="G223" s="458"/>
      <c r="H223" s="458"/>
      <c r="I223" s="458"/>
      <c r="J223" s="458"/>
      <c r="K223" s="458"/>
      <c r="L223" s="458"/>
    </row>
    <row r="224" spans="1:12" ht="14.25">
      <c r="A224" s="458"/>
      <c r="B224" s="458"/>
      <c r="C224" s="458"/>
      <c r="D224" s="458"/>
      <c r="E224" s="458"/>
      <c r="F224" s="458"/>
      <c r="G224" s="458"/>
      <c r="H224" s="458"/>
      <c r="I224" s="458"/>
      <c r="J224" s="458"/>
      <c r="K224" s="458"/>
      <c r="L224" s="458"/>
    </row>
    <row r="225" spans="1:12" ht="14.25">
      <c r="A225" s="458"/>
      <c r="B225" s="458"/>
      <c r="C225" s="458"/>
      <c r="D225" s="458"/>
      <c r="E225" s="458"/>
      <c r="F225" s="458"/>
      <c r="G225" s="458"/>
      <c r="H225" s="458"/>
      <c r="I225" s="458"/>
      <c r="J225" s="458"/>
      <c r="K225" s="458"/>
      <c r="L225" s="458"/>
    </row>
    <row r="226" spans="1:12" ht="14.25">
      <c r="A226" s="458"/>
      <c r="B226" s="458"/>
      <c r="C226" s="458"/>
      <c r="D226" s="458"/>
      <c r="E226" s="458"/>
      <c r="F226" s="458"/>
      <c r="G226" s="458"/>
      <c r="H226" s="458"/>
      <c r="I226" s="458"/>
      <c r="J226" s="458"/>
      <c r="K226" s="458"/>
      <c r="L226" s="458"/>
    </row>
    <row r="227" spans="1:12" ht="14.25">
      <c r="A227" s="458"/>
      <c r="B227" s="458"/>
      <c r="C227" s="458"/>
      <c r="D227" s="458"/>
      <c r="E227" s="458"/>
      <c r="F227" s="458"/>
      <c r="G227" s="458"/>
      <c r="H227" s="458"/>
      <c r="I227" s="458"/>
      <c r="J227" s="458"/>
      <c r="K227" s="458"/>
      <c r="L227" s="458"/>
    </row>
    <row r="228" spans="1:12" ht="14.25">
      <c r="A228" s="458"/>
      <c r="B228" s="458"/>
      <c r="C228" s="458"/>
      <c r="D228" s="458"/>
      <c r="E228" s="458"/>
      <c r="F228" s="458"/>
      <c r="G228" s="458"/>
      <c r="H228" s="458"/>
      <c r="I228" s="458"/>
      <c r="J228" s="458"/>
      <c r="K228" s="458"/>
      <c r="L228" s="458"/>
    </row>
    <row r="229" spans="1:12" ht="14.25">
      <c r="A229" s="458"/>
      <c r="B229" s="458"/>
      <c r="C229" s="458"/>
      <c r="D229" s="458"/>
      <c r="E229" s="458"/>
      <c r="F229" s="458"/>
      <c r="G229" s="458"/>
      <c r="H229" s="458"/>
      <c r="I229" s="458"/>
      <c r="J229" s="458"/>
      <c r="K229" s="458"/>
      <c r="L229" s="458"/>
    </row>
    <row r="230" spans="1:12" ht="14.25">
      <c r="A230" s="458"/>
      <c r="B230" s="458"/>
      <c r="C230" s="458"/>
      <c r="D230" s="458"/>
      <c r="E230" s="458"/>
      <c r="F230" s="458"/>
      <c r="G230" s="458"/>
      <c r="H230" s="458"/>
      <c r="I230" s="458"/>
      <c r="J230" s="458"/>
      <c r="K230" s="458"/>
      <c r="L230" s="458"/>
    </row>
    <row r="231" spans="1:12" ht="14.25">
      <c r="A231" s="458"/>
      <c r="B231" s="458"/>
      <c r="C231" s="458"/>
      <c r="D231" s="458"/>
      <c r="E231" s="458"/>
      <c r="F231" s="458"/>
      <c r="G231" s="458"/>
      <c r="H231" s="458"/>
      <c r="I231" s="458"/>
      <c r="J231" s="458"/>
      <c r="K231" s="458"/>
      <c r="L231" s="458"/>
    </row>
    <row r="232" spans="1:12" ht="14.25">
      <c r="A232" s="458"/>
      <c r="B232" s="458"/>
      <c r="C232" s="458"/>
      <c r="D232" s="458"/>
      <c r="E232" s="458"/>
      <c r="F232" s="458"/>
      <c r="G232" s="458"/>
      <c r="H232" s="458"/>
      <c r="I232" s="458"/>
      <c r="J232" s="458"/>
      <c r="K232" s="458"/>
      <c r="L232" s="458"/>
    </row>
    <row r="233" spans="1:12" ht="14.25">
      <c r="A233" s="458"/>
      <c r="B233" s="458"/>
      <c r="C233" s="458"/>
      <c r="D233" s="458"/>
      <c r="E233" s="458"/>
      <c r="F233" s="458"/>
      <c r="G233" s="458"/>
      <c r="H233" s="458"/>
      <c r="I233" s="458"/>
      <c r="J233" s="458"/>
      <c r="K233" s="458"/>
      <c r="L233" s="458"/>
    </row>
    <row r="234" spans="1:12" ht="14.25">
      <c r="A234" s="458"/>
      <c r="B234" s="458"/>
      <c r="C234" s="458"/>
      <c r="D234" s="458"/>
      <c r="E234" s="458"/>
      <c r="F234" s="458"/>
      <c r="G234" s="458"/>
      <c r="H234" s="458"/>
      <c r="I234" s="458"/>
      <c r="J234" s="458"/>
      <c r="K234" s="458"/>
      <c r="L234" s="458"/>
    </row>
    <row r="235" spans="1:12" ht="14.25">
      <c r="A235" s="458"/>
      <c r="B235" s="458"/>
      <c r="C235" s="458"/>
      <c r="D235" s="458"/>
      <c r="E235" s="458"/>
      <c r="F235" s="458"/>
      <c r="G235" s="458"/>
      <c r="H235" s="458"/>
      <c r="I235" s="458"/>
      <c r="J235" s="458"/>
      <c r="K235" s="458"/>
      <c r="L235" s="458"/>
    </row>
    <row r="236" spans="1:12" ht="14.25">
      <c r="A236" s="458"/>
      <c r="B236" s="458"/>
      <c r="C236" s="458"/>
      <c r="D236" s="458"/>
      <c r="E236" s="458"/>
      <c r="F236" s="458"/>
      <c r="G236" s="458"/>
      <c r="H236" s="458"/>
      <c r="I236" s="458"/>
      <c r="J236" s="458"/>
      <c r="K236" s="458"/>
      <c r="L236" s="458"/>
    </row>
    <row r="237" spans="1:12" ht="14.25">
      <c r="A237" s="458"/>
      <c r="B237" s="458"/>
      <c r="C237" s="458"/>
      <c r="D237" s="458"/>
      <c r="E237" s="458"/>
      <c r="F237" s="458"/>
      <c r="G237" s="458"/>
      <c r="H237" s="458"/>
      <c r="I237" s="458"/>
      <c r="J237" s="458"/>
      <c r="K237" s="458"/>
      <c r="L237" s="458"/>
    </row>
    <row r="238" spans="1:12" ht="14.25">
      <c r="A238" s="458"/>
      <c r="B238" s="458"/>
      <c r="C238" s="458"/>
      <c r="D238" s="458"/>
      <c r="E238" s="458"/>
      <c r="F238" s="458"/>
      <c r="G238" s="458"/>
      <c r="H238" s="458"/>
      <c r="I238" s="458"/>
      <c r="J238" s="458"/>
      <c r="K238" s="458"/>
      <c r="L238" s="458"/>
    </row>
    <row r="239" spans="1:12" ht="14.25">
      <c r="A239" s="458"/>
      <c r="B239" s="458"/>
      <c r="C239" s="458"/>
      <c r="D239" s="458"/>
      <c r="E239" s="458"/>
      <c r="F239" s="458"/>
      <c r="G239" s="458"/>
      <c r="H239" s="458"/>
      <c r="I239" s="458"/>
      <c r="J239" s="458"/>
      <c r="K239" s="458"/>
      <c r="L239" s="458"/>
    </row>
    <row r="240" spans="1:12" ht="14.25">
      <c r="A240" s="458"/>
      <c r="B240" s="458"/>
      <c r="C240" s="458"/>
      <c r="D240" s="458"/>
      <c r="E240" s="458"/>
      <c r="F240" s="458"/>
      <c r="G240" s="458"/>
      <c r="H240" s="458"/>
      <c r="I240" s="458"/>
      <c r="J240" s="458"/>
      <c r="K240" s="458"/>
      <c r="L240" s="458"/>
    </row>
    <row r="241" spans="1:12" ht="14.25">
      <c r="A241" s="458"/>
      <c r="B241" s="458"/>
      <c r="C241" s="458"/>
      <c r="D241" s="458"/>
      <c r="E241" s="458"/>
      <c r="F241" s="458"/>
      <c r="G241" s="458"/>
      <c r="H241" s="458"/>
      <c r="I241" s="458"/>
      <c r="J241" s="458"/>
      <c r="K241" s="458"/>
      <c r="L241" s="458"/>
    </row>
    <row r="242" spans="1:12" ht="14.25">
      <c r="A242" s="458"/>
      <c r="B242" s="458"/>
      <c r="C242" s="458"/>
      <c r="D242" s="458"/>
      <c r="E242" s="458"/>
      <c r="F242" s="458"/>
      <c r="G242" s="458"/>
      <c r="H242" s="458"/>
      <c r="I242" s="458"/>
      <c r="J242" s="458"/>
      <c r="K242" s="458"/>
      <c r="L242" s="458"/>
    </row>
    <row r="243" spans="1:12" ht="14.25">
      <c r="A243" s="458"/>
      <c r="B243" s="458"/>
      <c r="C243" s="458"/>
      <c r="D243" s="458"/>
      <c r="E243" s="458"/>
      <c r="F243" s="458"/>
      <c r="G243" s="458"/>
      <c r="H243" s="458"/>
      <c r="I243" s="458"/>
      <c r="J243" s="458"/>
      <c r="K243" s="458"/>
      <c r="L243" s="458"/>
    </row>
    <row r="244" spans="1:12" ht="14.25">
      <c r="A244" s="458"/>
      <c r="B244" s="458"/>
      <c r="C244" s="458"/>
      <c r="D244" s="458"/>
      <c r="E244" s="458"/>
      <c r="F244" s="458"/>
      <c r="G244" s="458"/>
      <c r="H244" s="458"/>
      <c r="I244" s="458"/>
      <c r="J244" s="458"/>
      <c r="K244" s="458"/>
      <c r="L244" s="458"/>
    </row>
    <row r="245" spans="1:12" ht="14.25">
      <c r="A245" s="458"/>
      <c r="B245" s="458"/>
      <c r="C245" s="458"/>
      <c r="D245" s="458"/>
      <c r="E245" s="458"/>
      <c r="F245" s="458"/>
      <c r="G245" s="458"/>
      <c r="H245" s="458"/>
      <c r="I245" s="458"/>
      <c r="J245" s="458"/>
      <c r="K245" s="458"/>
      <c r="L245" s="458"/>
    </row>
    <row r="246" spans="1:12" ht="14.25">
      <c r="A246" s="458"/>
      <c r="B246" s="458"/>
      <c r="C246" s="458"/>
      <c r="D246" s="458"/>
      <c r="E246" s="458"/>
      <c r="F246" s="458"/>
      <c r="G246" s="458"/>
      <c r="H246" s="458"/>
      <c r="I246" s="458"/>
      <c r="J246" s="458"/>
      <c r="K246" s="458"/>
      <c r="L246" s="458"/>
    </row>
    <row r="247" spans="1:12" ht="14.25">
      <c r="A247" s="458"/>
      <c r="B247" s="458"/>
      <c r="C247" s="458"/>
      <c r="D247" s="458"/>
      <c r="E247" s="458"/>
      <c r="F247" s="458"/>
      <c r="G247" s="458"/>
      <c r="H247" s="458"/>
      <c r="I247" s="458"/>
      <c r="J247" s="458"/>
      <c r="K247" s="458"/>
      <c r="L247" s="458"/>
    </row>
    <row r="248" spans="1:12" ht="14.25">
      <c r="A248" s="458"/>
      <c r="B248" s="458"/>
      <c r="C248" s="458"/>
      <c r="D248" s="458"/>
      <c r="E248" s="458"/>
      <c r="F248" s="458"/>
      <c r="G248" s="458"/>
      <c r="H248" s="458"/>
      <c r="I248" s="458"/>
      <c r="J248" s="458"/>
      <c r="K248" s="458"/>
      <c r="L248" s="458"/>
    </row>
    <row r="249" spans="1:12" ht="14.25">
      <c r="A249" s="458"/>
      <c r="B249" s="458"/>
      <c r="C249" s="458"/>
      <c r="D249" s="458"/>
      <c r="E249" s="458"/>
      <c r="F249" s="458"/>
      <c r="G249" s="458"/>
      <c r="H249" s="458"/>
      <c r="I249" s="458"/>
      <c r="J249" s="458"/>
      <c r="K249" s="458"/>
      <c r="L249" s="458"/>
    </row>
    <row r="250" spans="1:12" ht="14.25">
      <c r="A250" s="458"/>
      <c r="B250" s="458"/>
      <c r="C250" s="458"/>
      <c r="D250" s="458"/>
      <c r="E250" s="458"/>
      <c r="F250" s="458"/>
      <c r="G250" s="458"/>
      <c r="H250" s="458"/>
      <c r="I250" s="458"/>
      <c r="J250" s="458"/>
      <c r="K250" s="458"/>
      <c r="L250" s="458"/>
    </row>
    <row r="251" spans="1:12" ht="14.25">
      <c r="A251" s="458"/>
      <c r="B251" s="458"/>
      <c r="C251" s="458"/>
      <c r="D251" s="458"/>
      <c r="E251" s="458"/>
      <c r="F251" s="458"/>
      <c r="G251" s="458"/>
      <c r="H251" s="458"/>
      <c r="I251" s="458"/>
      <c r="J251" s="458"/>
      <c r="K251" s="458"/>
      <c r="L251" s="458"/>
    </row>
    <row r="252" spans="1:12" ht="14.25">
      <c r="A252" s="458"/>
      <c r="B252" s="458"/>
      <c r="C252" s="458"/>
      <c r="D252" s="458"/>
      <c r="E252" s="458"/>
      <c r="F252" s="458"/>
      <c r="G252" s="458"/>
      <c r="H252" s="458"/>
      <c r="I252" s="458"/>
      <c r="J252" s="458"/>
      <c r="K252" s="458"/>
      <c r="L252" s="458"/>
    </row>
    <row r="253" spans="1:12" ht="14.25">
      <c r="A253" s="458"/>
      <c r="B253" s="458"/>
      <c r="C253" s="458"/>
      <c r="D253" s="458"/>
      <c r="E253" s="458"/>
      <c r="F253" s="458"/>
      <c r="G253" s="458"/>
      <c r="H253" s="458"/>
      <c r="I253" s="458"/>
      <c r="J253" s="458"/>
      <c r="K253" s="458"/>
      <c r="L253" s="458"/>
    </row>
    <row r="254" spans="1:12" ht="14.25">
      <c r="A254" s="458"/>
      <c r="B254" s="458"/>
      <c r="C254" s="458"/>
      <c r="D254" s="458"/>
      <c r="E254" s="458"/>
      <c r="F254" s="458"/>
      <c r="G254" s="458"/>
      <c r="H254" s="458"/>
      <c r="I254" s="458"/>
      <c r="J254" s="458"/>
      <c r="K254" s="458"/>
      <c r="L254" s="458"/>
    </row>
    <row r="255" spans="1:12" ht="14.25">
      <c r="A255" s="458"/>
      <c r="B255" s="458"/>
      <c r="C255" s="458"/>
      <c r="D255" s="458"/>
      <c r="E255" s="458"/>
      <c r="F255" s="458"/>
      <c r="G255" s="458"/>
      <c r="H255" s="458"/>
      <c r="I255" s="458"/>
      <c r="J255" s="458"/>
      <c r="K255" s="458"/>
      <c r="L255" s="458"/>
    </row>
    <row r="256" spans="1:12" ht="14.25">
      <c r="A256" s="458"/>
      <c r="B256" s="458"/>
      <c r="C256" s="458"/>
      <c r="D256" s="458"/>
      <c r="E256" s="458"/>
      <c r="F256" s="458"/>
      <c r="G256" s="458"/>
      <c r="H256" s="458"/>
      <c r="I256" s="458"/>
      <c r="J256" s="458"/>
      <c r="K256" s="458"/>
      <c r="L256" s="458"/>
    </row>
    <row r="257" spans="1:12" ht="14.25">
      <c r="A257" s="458"/>
      <c r="B257" s="458"/>
      <c r="C257" s="458"/>
      <c r="D257" s="458"/>
      <c r="E257" s="458"/>
      <c r="F257" s="458"/>
      <c r="G257" s="458"/>
      <c r="H257" s="458"/>
      <c r="I257" s="458"/>
      <c r="J257" s="458"/>
      <c r="K257" s="458"/>
      <c r="L257" s="458"/>
    </row>
    <row r="258" spans="1:12" ht="14.25">
      <c r="A258" s="458"/>
      <c r="B258" s="458"/>
      <c r="C258" s="458"/>
      <c r="D258" s="458"/>
      <c r="E258" s="458"/>
      <c r="F258" s="458"/>
      <c r="G258" s="458"/>
      <c r="H258" s="458"/>
      <c r="I258" s="458"/>
      <c r="J258" s="458"/>
      <c r="K258" s="458"/>
      <c r="L258" s="458"/>
    </row>
    <row r="259" spans="1:12" ht="14.25">
      <c r="A259" s="458"/>
      <c r="B259" s="458"/>
      <c r="C259" s="458"/>
      <c r="D259" s="458"/>
      <c r="E259" s="458"/>
      <c r="F259" s="458"/>
      <c r="G259" s="458"/>
      <c r="H259" s="458"/>
      <c r="I259" s="458"/>
      <c r="J259" s="458"/>
      <c r="K259" s="458"/>
      <c r="L259" s="458"/>
    </row>
    <row r="260" spans="1:12" ht="14.25">
      <c r="A260" s="458"/>
      <c r="B260" s="458"/>
      <c r="C260" s="458"/>
      <c r="D260" s="458"/>
      <c r="E260" s="458"/>
      <c r="F260" s="458"/>
      <c r="G260" s="458"/>
      <c r="H260" s="458"/>
      <c r="I260" s="458"/>
      <c r="J260" s="458"/>
      <c r="K260" s="458"/>
      <c r="L260" s="458"/>
    </row>
    <row r="261" spans="1:12" ht="14.25">
      <c r="A261" s="458"/>
      <c r="B261" s="458"/>
      <c r="C261" s="458"/>
      <c r="D261" s="458"/>
      <c r="E261" s="458"/>
      <c r="F261" s="458"/>
      <c r="G261" s="458"/>
      <c r="H261" s="458"/>
      <c r="I261" s="458"/>
      <c r="J261" s="458"/>
      <c r="K261" s="458"/>
      <c r="L261" s="458"/>
    </row>
    <row r="262" spans="1:12" ht="14.25">
      <c r="A262" s="458"/>
      <c r="B262" s="458"/>
      <c r="C262" s="458"/>
      <c r="D262" s="458"/>
      <c r="E262" s="458"/>
      <c r="F262" s="458"/>
      <c r="G262" s="458"/>
      <c r="H262" s="458"/>
      <c r="I262" s="458"/>
      <c r="J262" s="458"/>
      <c r="K262" s="458"/>
      <c r="L262" s="458"/>
    </row>
    <row r="263" spans="1:12" ht="14.25">
      <c r="A263" s="458"/>
      <c r="B263" s="458"/>
      <c r="C263" s="458"/>
      <c r="D263" s="458"/>
      <c r="E263" s="458"/>
      <c r="F263" s="458"/>
      <c r="G263" s="458"/>
      <c r="H263" s="458"/>
      <c r="I263" s="458"/>
      <c r="J263" s="458"/>
      <c r="K263" s="458"/>
      <c r="L263" s="458"/>
    </row>
    <row r="264" spans="1:12" ht="14.25">
      <c r="A264" s="458"/>
      <c r="B264" s="458"/>
      <c r="C264" s="458"/>
      <c r="D264" s="458"/>
      <c r="E264" s="458"/>
      <c r="F264" s="458"/>
      <c r="G264" s="458"/>
      <c r="H264" s="458"/>
      <c r="I264" s="458"/>
      <c r="J264" s="458"/>
      <c r="K264" s="458"/>
      <c r="L264" s="458"/>
    </row>
    <row r="265" spans="1:12" ht="14.25">
      <c r="A265" s="458"/>
      <c r="B265" s="458"/>
      <c r="C265" s="458"/>
      <c r="D265" s="458"/>
      <c r="E265" s="458"/>
      <c r="F265" s="458"/>
      <c r="G265" s="458"/>
      <c r="H265" s="458"/>
      <c r="I265" s="458"/>
      <c r="J265" s="458"/>
      <c r="K265" s="458"/>
      <c r="L265" s="458"/>
    </row>
    <row r="266" spans="1:12" ht="14.25">
      <c r="A266" s="458"/>
      <c r="B266" s="458"/>
      <c r="C266" s="458"/>
      <c r="D266" s="458"/>
      <c r="E266" s="458"/>
      <c r="F266" s="458"/>
      <c r="G266" s="458"/>
      <c r="H266" s="458"/>
      <c r="I266" s="458"/>
      <c r="J266" s="458"/>
      <c r="K266" s="458"/>
      <c r="L266" s="458"/>
    </row>
    <row r="267" spans="1:12" ht="14.25">
      <c r="A267" s="458"/>
      <c r="B267" s="458"/>
      <c r="C267" s="458"/>
      <c r="D267" s="458"/>
      <c r="E267" s="458"/>
      <c r="F267" s="458"/>
      <c r="G267" s="458"/>
      <c r="H267" s="458"/>
      <c r="I267" s="458"/>
      <c r="J267" s="458"/>
      <c r="K267" s="458"/>
      <c r="L267" s="458"/>
    </row>
    <row r="268" spans="1:12" ht="14.25">
      <c r="A268" s="458"/>
      <c r="B268" s="458"/>
      <c r="C268" s="458"/>
      <c r="D268" s="458"/>
      <c r="E268" s="458"/>
      <c r="F268" s="458"/>
      <c r="G268" s="458"/>
      <c r="H268" s="458"/>
      <c r="I268" s="458"/>
      <c r="J268" s="458"/>
      <c r="K268" s="458"/>
      <c r="L268" s="458"/>
    </row>
    <row r="269" spans="1:12" ht="14.25">
      <c r="A269" s="458"/>
      <c r="B269" s="458"/>
      <c r="C269" s="458"/>
      <c r="D269" s="458"/>
      <c r="E269" s="458"/>
      <c r="F269" s="458"/>
      <c r="G269" s="458"/>
      <c r="H269" s="458"/>
      <c r="I269" s="458"/>
      <c r="J269" s="458"/>
      <c r="K269" s="458"/>
      <c r="L269" s="458"/>
    </row>
    <row r="270" spans="1:12" ht="14.25">
      <c r="A270" s="458"/>
      <c r="B270" s="458"/>
      <c r="C270" s="458"/>
      <c r="D270" s="458"/>
      <c r="E270" s="458"/>
      <c r="F270" s="458"/>
      <c r="G270" s="458"/>
      <c r="H270" s="458"/>
      <c r="I270" s="458"/>
      <c r="J270" s="458"/>
      <c r="K270" s="458"/>
      <c r="L270" s="458"/>
    </row>
    <row r="271" spans="1:12" ht="14.25">
      <c r="A271" s="458"/>
      <c r="B271" s="458"/>
      <c r="C271" s="458"/>
      <c r="D271" s="458"/>
      <c r="E271" s="458"/>
      <c r="F271" s="458"/>
      <c r="G271" s="458"/>
      <c r="H271" s="458"/>
      <c r="I271" s="458"/>
      <c r="J271" s="458"/>
      <c r="K271" s="458"/>
      <c r="L271" s="458"/>
    </row>
    <row r="272" spans="1:12" ht="14.25">
      <c r="A272" s="458"/>
      <c r="B272" s="458"/>
      <c r="C272" s="458"/>
      <c r="D272" s="458"/>
      <c r="E272" s="458"/>
      <c r="F272" s="458"/>
      <c r="G272" s="458"/>
      <c r="H272" s="458"/>
      <c r="I272" s="458"/>
      <c r="J272" s="458"/>
      <c r="K272" s="458"/>
      <c r="L272" s="458"/>
    </row>
    <row r="273" spans="1:12" ht="14.25">
      <c r="A273" s="458"/>
      <c r="B273" s="458"/>
      <c r="C273" s="458"/>
      <c r="D273" s="458"/>
      <c r="E273" s="458"/>
      <c r="F273" s="458"/>
      <c r="G273" s="458"/>
      <c r="H273" s="458"/>
      <c r="I273" s="458"/>
      <c r="J273" s="458"/>
      <c r="K273" s="458"/>
      <c r="L273" s="458"/>
    </row>
    <row r="274" spans="1:12" ht="14.25">
      <c r="A274" s="458"/>
      <c r="B274" s="458"/>
      <c r="C274" s="458"/>
      <c r="D274" s="458"/>
      <c r="E274" s="458"/>
      <c r="F274" s="458"/>
      <c r="G274" s="458"/>
      <c r="H274" s="458"/>
      <c r="I274" s="458"/>
      <c r="J274" s="458"/>
      <c r="K274" s="458"/>
      <c r="L274" s="458"/>
    </row>
    <row r="275" spans="1:12" ht="14.25">
      <c r="A275" s="458"/>
      <c r="B275" s="458"/>
      <c r="C275" s="458"/>
      <c r="D275" s="458"/>
      <c r="E275" s="458"/>
      <c r="F275" s="458"/>
      <c r="G275" s="458"/>
      <c r="H275" s="458"/>
      <c r="I275" s="458"/>
      <c r="J275" s="458"/>
      <c r="K275" s="458"/>
      <c r="L275" s="458"/>
    </row>
    <row r="276" spans="1:12" ht="14.25">
      <c r="A276" s="458"/>
      <c r="B276" s="458"/>
      <c r="C276" s="458"/>
      <c r="D276" s="458"/>
      <c r="E276" s="458"/>
      <c r="F276" s="458"/>
      <c r="G276" s="458"/>
      <c r="H276" s="458"/>
      <c r="I276" s="458"/>
      <c r="J276" s="458"/>
      <c r="K276" s="458"/>
      <c r="L276" s="458"/>
    </row>
    <row r="277" spans="1:12" ht="14.25">
      <c r="A277" s="458"/>
      <c r="B277" s="458"/>
      <c r="C277" s="458"/>
      <c r="D277" s="458"/>
      <c r="E277" s="458"/>
      <c r="F277" s="458"/>
      <c r="G277" s="458"/>
      <c r="H277" s="458"/>
      <c r="I277" s="458"/>
      <c r="J277" s="458"/>
      <c r="K277" s="458"/>
      <c r="L277" s="458"/>
    </row>
    <row r="278" spans="1:12" ht="14.25">
      <c r="A278" s="458"/>
      <c r="B278" s="458"/>
      <c r="C278" s="458"/>
      <c r="D278" s="458"/>
      <c r="E278" s="458"/>
      <c r="F278" s="458"/>
      <c r="G278" s="458"/>
      <c r="H278" s="458"/>
      <c r="I278" s="458"/>
      <c r="J278" s="458"/>
      <c r="K278" s="458"/>
      <c r="L278" s="458"/>
    </row>
    <row r="279" spans="1:12" ht="14.25">
      <c r="A279" s="458"/>
      <c r="B279" s="458"/>
      <c r="C279" s="458"/>
      <c r="D279" s="458"/>
      <c r="E279" s="458"/>
      <c r="F279" s="458"/>
      <c r="G279" s="458"/>
      <c r="H279" s="458"/>
      <c r="I279" s="458"/>
      <c r="J279" s="458"/>
      <c r="K279" s="458"/>
      <c r="L279" s="458"/>
    </row>
    <row r="280" spans="1:12" ht="14.25">
      <c r="A280" s="458"/>
      <c r="B280" s="458"/>
      <c r="C280" s="458"/>
      <c r="D280" s="458"/>
      <c r="E280" s="458"/>
      <c r="F280" s="458"/>
      <c r="G280" s="458"/>
      <c r="H280" s="458"/>
      <c r="I280" s="458"/>
      <c r="J280" s="458"/>
      <c r="K280" s="458"/>
      <c r="L280" s="458"/>
    </row>
    <row r="281" spans="1:12" ht="14.25">
      <c r="A281" s="458"/>
      <c r="B281" s="458"/>
      <c r="C281" s="458"/>
      <c r="D281" s="458"/>
      <c r="E281" s="458"/>
      <c r="F281" s="458"/>
      <c r="G281" s="458"/>
      <c r="H281" s="458"/>
      <c r="I281" s="458"/>
      <c r="J281" s="458"/>
      <c r="K281" s="458"/>
      <c r="L281" s="458"/>
    </row>
    <row r="282" spans="1:12" ht="14.25">
      <c r="A282" s="458"/>
      <c r="B282" s="458"/>
      <c r="C282" s="458"/>
      <c r="D282" s="458"/>
      <c r="E282" s="458"/>
      <c r="F282" s="458"/>
      <c r="G282" s="458"/>
      <c r="H282" s="458"/>
      <c r="I282" s="458"/>
      <c r="J282" s="458"/>
      <c r="K282" s="458"/>
      <c r="L282" s="458"/>
    </row>
    <row r="283" spans="1:12" ht="14.25">
      <c r="A283" s="458"/>
      <c r="B283" s="458"/>
      <c r="C283" s="458"/>
      <c r="D283" s="458"/>
      <c r="E283" s="458"/>
      <c r="F283" s="458"/>
      <c r="G283" s="458"/>
      <c r="H283" s="458"/>
      <c r="I283" s="458"/>
      <c r="J283" s="458"/>
      <c r="K283" s="458"/>
      <c r="L283" s="458"/>
    </row>
    <row r="284" spans="1:12" ht="14.25">
      <c r="A284" s="458"/>
      <c r="B284" s="458"/>
      <c r="C284" s="458"/>
      <c r="D284" s="458"/>
      <c r="E284" s="458"/>
      <c r="F284" s="458"/>
      <c r="G284" s="458"/>
      <c r="H284" s="458"/>
      <c r="I284" s="458"/>
      <c r="J284" s="458"/>
      <c r="K284" s="458"/>
      <c r="L284" s="458"/>
    </row>
    <row r="285" spans="1:12" ht="14.25">
      <c r="A285" s="458"/>
      <c r="B285" s="458"/>
      <c r="C285" s="458"/>
      <c r="D285" s="458"/>
      <c r="E285" s="458"/>
      <c r="F285" s="458"/>
      <c r="G285" s="458"/>
      <c r="H285" s="458"/>
      <c r="I285" s="458"/>
      <c r="J285" s="458"/>
      <c r="K285" s="458"/>
      <c r="L285" s="458"/>
    </row>
    <row r="286" spans="1:12" ht="14.25">
      <c r="A286" s="458"/>
      <c r="B286" s="458"/>
      <c r="C286" s="458"/>
      <c r="D286" s="458"/>
      <c r="E286" s="458"/>
      <c r="F286" s="458"/>
      <c r="G286" s="458"/>
      <c r="H286" s="458"/>
      <c r="I286" s="458"/>
      <c r="J286" s="458"/>
      <c r="K286" s="458"/>
      <c r="L286" s="458"/>
    </row>
    <row r="287" spans="1:12" ht="14.25">
      <c r="A287" s="458"/>
      <c r="B287" s="458"/>
      <c r="C287" s="458"/>
      <c r="D287" s="458"/>
      <c r="E287" s="458"/>
      <c r="F287" s="458"/>
      <c r="G287" s="458"/>
      <c r="H287" s="458"/>
      <c r="I287" s="458"/>
      <c r="J287" s="458"/>
      <c r="K287" s="458"/>
      <c r="L287" s="458"/>
    </row>
    <row r="288" spans="1:12" ht="14.25">
      <c r="A288" s="458"/>
      <c r="B288" s="458"/>
      <c r="C288" s="458"/>
      <c r="D288" s="458"/>
      <c r="E288" s="458"/>
      <c r="F288" s="458"/>
      <c r="G288" s="458"/>
      <c r="H288" s="458"/>
      <c r="I288" s="458"/>
      <c r="J288" s="458"/>
      <c r="K288" s="458"/>
      <c r="L288" s="458"/>
    </row>
    <row r="289" spans="1:12" ht="14.25">
      <c r="A289" s="458"/>
      <c r="B289" s="458"/>
      <c r="C289" s="458"/>
      <c r="D289" s="458"/>
      <c r="E289" s="458"/>
      <c r="F289" s="458"/>
      <c r="G289" s="458"/>
      <c r="H289" s="458"/>
      <c r="I289" s="458"/>
      <c r="J289" s="458"/>
      <c r="K289" s="458"/>
      <c r="L289" s="458"/>
    </row>
    <row r="290" spans="1:12" ht="14.25">
      <c r="A290" s="458"/>
      <c r="B290" s="458"/>
      <c r="C290" s="458"/>
      <c r="D290" s="458"/>
      <c r="E290" s="458"/>
      <c r="F290" s="458"/>
      <c r="G290" s="458"/>
      <c r="H290" s="458"/>
      <c r="I290" s="458"/>
      <c r="J290" s="458"/>
      <c r="K290" s="458"/>
      <c r="L290" s="458"/>
    </row>
    <row r="291" spans="1:12" ht="14.25">
      <c r="A291" s="458"/>
      <c r="B291" s="458"/>
      <c r="C291" s="458"/>
      <c r="D291" s="458"/>
      <c r="E291" s="458"/>
      <c r="F291" s="458"/>
      <c r="G291" s="458"/>
      <c r="H291" s="458"/>
      <c r="I291" s="458"/>
      <c r="J291" s="458"/>
      <c r="K291" s="458"/>
      <c r="L291" s="458"/>
    </row>
    <row r="292" spans="1:12" ht="14.25">
      <c r="A292" s="458"/>
      <c r="B292" s="458"/>
      <c r="C292" s="458"/>
      <c r="D292" s="458"/>
      <c r="E292" s="458"/>
      <c r="F292" s="458"/>
      <c r="G292" s="458"/>
      <c r="H292" s="458"/>
      <c r="I292" s="458"/>
      <c r="J292" s="458"/>
      <c r="K292" s="458"/>
      <c r="L292" s="458"/>
    </row>
    <row r="293" spans="1:12" ht="14.25">
      <c r="A293" s="458"/>
      <c r="B293" s="458"/>
      <c r="C293" s="458"/>
      <c r="D293" s="458"/>
      <c r="E293" s="458"/>
      <c r="F293" s="458"/>
      <c r="G293" s="458"/>
      <c r="H293" s="458"/>
      <c r="I293" s="458"/>
      <c r="J293" s="458"/>
      <c r="K293" s="458"/>
      <c r="L293" s="458"/>
    </row>
    <row r="294" spans="1:12" ht="14.25">
      <c r="A294" s="458"/>
      <c r="B294" s="458"/>
      <c r="C294" s="458"/>
      <c r="D294" s="458"/>
      <c r="E294" s="458"/>
      <c r="F294" s="458"/>
      <c r="G294" s="458"/>
      <c r="H294" s="458"/>
      <c r="I294" s="458"/>
      <c r="J294" s="458"/>
      <c r="K294" s="458"/>
      <c r="L294" s="458"/>
    </row>
    <row r="295" spans="1:12" ht="14.25">
      <c r="A295" s="458"/>
      <c r="B295" s="458"/>
      <c r="C295" s="458"/>
      <c r="D295" s="458"/>
      <c r="E295" s="458"/>
      <c r="F295" s="458"/>
      <c r="G295" s="458"/>
      <c r="H295" s="458"/>
      <c r="I295" s="458"/>
      <c r="J295" s="458"/>
      <c r="K295" s="458"/>
      <c r="L295" s="458"/>
    </row>
    <row r="296" spans="1:12" ht="14.25">
      <c r="A296" s="458"/>
      <c r="B296" s="458"/>
      <c r="C296" s="458"/>
      <c r="D296" s="458"/>
      <c r="E296" s="458"/>
      <c r="F296" s="458"/>
      <c r="G296" s="458"/>
      <c r="H296" s="458"/>
      <c r="I296" s="458"/>
      <c r="J296" s="458"/>
      <c r="K296" s="458"/>
      <c r="L296" s="458"/>
    </row>
    <row r="297" spans="1:12" ht="14.25">
      <c r="A297" s="458"/>
      <c r="B297" s="458"/>
      <c r="C297" s="458"/>
      <c r="D297" s="458"/>
      <c r="E297" s="458"/>
      <c r="F297" s="458"/>
      <c r="G297" s="458"/>
      <c r="H297" s="458"/>
      <c r="I297" s="458"/>
      <c r="J297" s="458"/>
      <c r="K297" s="458"/>
      <c r="L297" s="458"/>
    </row>
    <row r="298" spans="1:12" ht="14.25">
      <c r="A298" s="458"/>
      <c r="B298" s="458"/>
      <c r="C298" s="458"/>
      <c r="D298" s="458"/>
      <c r="E298" s="458"/>
      <c r="F298" s="458"/>
      <c r="G298" s="458"/>
      <c r="H298" s="458"/>
      <c r="I298" s="458"/>
      <c r="J298" s="458"/>
      <c r="K298" s="458"/>
      <c r="L298" s="458"/>
    </row>
    <row r="299" spans="1:12" ht="14.25">
      <c r="A299" s="458"/>
      <c r="B299" s="458"/>
      <c r="C299" s="458"/>
      <c r="D299" s="458"/>
      <c r="E299" s="458"/>
      <c r="F299" s="458"/>
      <c r="G299" s="458"/>
      <c r="H299" s="458"/>
      <c r="I299" s="458"/>
      <c r="J299" s="458"/>
      <c r="K299" s="458"/>
      <c r="L299" s="458"/>
    </row>
    <row r="300" spans="1:12" ht="14.25">
      <c r="A300" s="458"/>
      <c r="B300" s="458"/>
      <c r="C300" s="458"/>
      <c r="D300" s="458"/>
      <c r="E300" s="458"/>
      <c r="F300" s="458"/>
      <c r="G300" s="458"/>
      <c r="H300" s="458"/>
      <c r="I300" s="458"/>
      <c r="J300" s="458"/>
      <c r="K300" s="458"/>
      <c r="L300" s="458"/>
    </row>
    <row r="301" spans="1:12" ht="14.25">
      <c r="A301" s="458"/>
      <c r="B301" s="458"/>
      <c r="C301" s="458"/>
      <c r="D301" s="458"/>
      <c r="E301" s="458"/>
      <c r="F301" s="458"/>
      <c r="G301" s="458"/>
      <c r="H301" s="458"/>
      <c r="I301" s="458"/>
      <c r="J301" s="458"/>
      <c r="K301" s="458"/>
      <c r="L301" s="458"/>
    </row>
    <row r="302" spans="1:12" ht="14.25">
      <c r="A302" s="458"/>
      <c r="B302" s="458"/>
      <c r="C302" s="458"/>
      <c r="D302" s="458"/>
      <c r="E302" s="458"/>
      <c r="F302" s="458"/>
      <c r="G302" s="458"/>
      <c r="H302" s="458"/>
      <c r="I302" s="458"/>
      <c r="J302" s="458"/>
      <c r="K302" s="458"/>
      <c r="L302" s="458"/>
    </row>
    <row r="303" spans="1:12" ht="14.25">
      <c r="A303" s="458"/>
      <c r="B303" s="458"/>
      <c r="C303" s="458"/>
      <c r="D303" s="458"/>
      <c r="E303" s="458"/>
      <c r="F303" s="458"/>
      <c r="G303" s="458"/>
      <c r="H303" s="458"/>
      <c r="I303" s="458"/>
      <c r="J303" s="458"/>
      <c r="K303" s="458"/>
      <c r="L303" s="458"/>
    </row>
    <row r="304" spans="1:12" ht="14.25">
      <c r="A304" s="458"/>
      <c r="B304" s="458"/>
      <c r="C304" s="458"/>
      <c r="D304" s="458"/>
      <c r="E304" s="458"/>
      <c r="F304" s="458"/>
      <c r="G304" s="458"/>
      <c r="H304" s="458"/>
      <c r="I304" s="458"/>
      <c r="J304" s="458"/>
      <c r="K304" s="458"/>
      <c r="L304" s="458"/>
    </row>
    <row r="305" spans="1:12" ht="14.25">
      <c r="A305" s="458"/>
      <c r="B305" s="458"/>
      <c r="C305" s="458"/>
      <c r="D305" s="458"/>
      <c r="E305" s="458"/>
      <c r="F305" s="458"/>
      <c r="G305" s="458"/>
      <c r="H305" s="458"/>
      <c r="I305" s="458"/>
      <c r="J305" s="458"/>
      <c r="K305" s="458"/>
      <c r="L305" s="458"/>
    </row>
    <row r="306" spans="1:12" ht="14.25">
      <c r="A306" s="458"/>
      <c r="B306" s="458"/>
      <c r="C306" s="458"/>
      <c r="D306" s="458"/>
      <c r="E306" s="458"/>
      <c r="F306" s="458"/>
      <c r="G306" s="458"/>
      <c r="H306" s="458"/>
      <c r="I306" s="458"/>
      <c r="J306" s="458"/>
      <c r="K306" s="458"/>
      <c r="L306" s="458"/>
    </row>
    <row r="307" spans="1:12" ht="14.25">
      <c r="A307" s="458"/>
      <c r="B307" s="458"/>
      <c r="C307" s="458"/>
      <c r="D307" s="458"/>
      <c r="E307" s="458"/>
      <c r="F307" s="458"/>
      <c r="G307" s="458"/>
      <c r="H307" s="458"/>
      <c r="I307" s="458"/>
      <c r="J307" s="458"/>
      <c r="K307" s="458"/>
      <c r="L307" s="458"/>
    </row>
    <row r="308" spans="1:12" ht="14.25">
      <c r="A308" s="458"/>
      <c r="B308" s="458"/>
      <c r="C308" s="458"/>
      <c r="D308" s="458"/>
      <c r="E308" s="458"/>
      <c r="F308" s="458"/>
      <c r="G308" s="458"/>
      <c r="H308" s="458"/>
      <c r="I308" s="458"/>
      <c r="J308" s="458"/>
      <c r="K308" s="458"/>
      <c r="L308" s="458"/>
    </row>
    <row r="309" spans="1:12" ht="14.25">
      <c r="A309" s="458"/>
      <c r="B309" s="458"/>
      <c r="C309" s="458"/>
      <c r="D309" s="458"/>
      <c r="E309" s="458"/>
      <c r="F309" s="458"/>
      <c r="G309" s="458"/>
      <c r="H309" s="458"/>
      <c r="I309" s="458"/>
      <c r="J309" s="458"/>
      <c r="K309" s="458"/>
      <c r="L309" s="458"/>
    </row>
    <row r="310" spans="1:12" ht="14.25">
      <c r="A310" s="458"/>
      <c r="B310" s="458"/>
      <c r="C310" s="458"/>
      <c r="D310" s="458"/>
      <c r="E310" s="458"/>
      <c r="F310" s="458"/>
      <c r="G310" s="458"/>
      <c r="H310" s="458"/>
      <c r="I310" s="458"/>
      <c r="J310" s="458"/>
      <c r="K310" s="458"/>
      <c r="L310" s="458"/>
    </row>
    <row r="311" spans="1:12" ht="14.25">
      <c r="A311" s="458"/>
      <c r="B311" s="458"/>
      <c r="C311" s="458"/>
      <c r="D311" s="458"/>
      <c r="E311" s="458"/>
      <c r="F311" s="458"/>
      <c r="G311" s="458"/>
      <c r="H311" s="458"/>
      <c r="I311" s="458"/>
      <c r="J311" s="458"/>
      <c r="K311" s="458"/>
      <c r="L311" s="458"/>
    </row>
    <row r="312" spans="1:12" ht="14.25">
      <c r="A312" s="458"/>
      <c r="B312" s="458"/>
      <c r="C312" s="458"/>
      <c r="D312" s="458"/>
      <c r="E312" s="458"/>
      <c r="F312" s="458"/>
      <c r="G312" s="458"/>
      <c r="H312" s="458"/>
      <c r="I312" s="458"/>
      <c r="J312" s="458"/>
      <c r="K312" s="458"/>
      <c r="L312" s="458"/>
    </row>
    <row r="313" spans="1:12" ht="14.25">
      <c r="A313" s="458"/>
      <c r="B313" s="458"/>
      <c r="C313" s="458"/>
      <c r="D313" s="458"/>
      <c r="E313" s="458"/>
      <c r="F313" s="458"/>
      <c r="G313" s="458"/>
      <c r="H313" s="458"/>
      <c r="I313" s="458"/>
      <c r="J313" s="458"/>
      <c r="K313" s="458"/>
      <c r="L313" s="458"/>
    </row>
    <row r="314" spans="1:12" ht="14.25">
      <c r="A314" s="458"/>
      <c r="B314" s="458"/>
      <c r="C314" s="458"/>
      <c r="D314" s="458"/>
      <c r="E314" s="458"/>
      <c r="F314" s="458"/>
      <c r="G314" s="458"/>
      <c r="H314" s="458"/>
      <c r="I314" s="458"/>
      <c r="J314" s="458"/>
      <c r="K314" s="458"/>
      <c r="L314" s="458"/>
    </row>
    <row r="315" spans="1:12" ht="14.25">
      <c r="A315" s="458"/>
      <c r="B315" s="458"/>
      <c r="C315" s="458"/>
      <c r="D315" s="458"/>
      <c r="E315" s="458"/>
      <c r="F315" s="458"/>
      <c r="G315" s="458"/>
      <c r="H315" s="458"/>
      <c r="I315" s="458"/>
      <c r="J315" s="458"/>
      <c r="K315" s="458"/>
      <c r="L315" s="458"/>
    </row>
    <row r="316" spans="1:12" ht="14.25">
      <c r="A316" s="458"/>
      <c r="B316" s="458"/>
      <c r="C316" s="458"/>
      <c r="D316" s="458"/>
      <c r="E316" s="458"/>
      <c r="F316" s="458"/>
      <c r="G316" s="458"/>
      <c r="H316" s="458"/>
      <c r="I316" s="458"/>
      <c r="J316" s="458"/>
      <c r="K316" s="458"/>
      <c r="L316" s="458"/>
    </row>
    <row r="317" spans="1:12" ht="14.25">
      <c r="A317" s="458"/>
      <c r="B317" s="458"/>
      <c r="C317" s="458"/>
      <c r="D317" s="458"/>
      <c r="E317" s="458"/>
      <c r="F317" s="458"/>
      <c r="G317" s="458"/>
      <c r="H317" s="458"/>
      <c r="I317" s="458"/>
      <c r="J317" s="458"/>
      <c r="K317" s="458"/>
      <c r="L317" s="458"/>
    </row>
    <row r="318" spans="1:12" ht="14.25">
      <c r="A318" s="458"/>
      <c r="B318" s="458"/>
      <c r="C318" s="458"/>
      <c r="D318" s="458"/>
      <c r="E318" s="458"/>
      <c r="F318" s="458"/>
      <c r="G318" s="458"/>
      <c r="H318" s="458"/>
      <c r="I318" s="458"/>
      <c r="J318" s="458"/>
      <c r="K318" s="458"/>
      <c r="L318" s="458"/>
    </row>
    <row r="319" spans="1:12" ht="14.25">
      <c r="A319" s="458"/>
      <c r="B319" s="458"/>
      <c r="C319" s="458"/>
      <c r="D319" s="458"/>
      <c r="E319" s="458"/>
      <c r="F319" s="458"/>
      <c r="G319" s="458"/>
      <c r="H319" s="458"/>
      <c r="I319" s="458"/>
      <c r="J319" s="458"/>
      <c r="K319" s="458"/>
      <c r="L319" s="458"/>
    </row>
    <row r="320" spans="1:12" ht="14.25">
      <c r="A320" s="458"/>
      <c r="B320" s="458"/>
      <c r="C320" s="458"/>
      <c r="D320" s="458"/>
      <c r="E320" s="458"/>
      <c r="F320" s="458"/>
      <c r="G320" s="458"/>
      <c r="H320" s="458"/>
      <c r="I320" s="458"/>
      <c r="J320" s="458"/>
      <c r="K320" s="458"/>
      <c r="L320" s="458"/>
    </row>
    <row r="321" spans="1:12" ht="14.25">
      <c r="A321" s="458"/>
      <c r="B321" s="458"/>
      <c r="C321" s="458"/>
      <c r="D321" s="458"/>
      <c r="E321" s="458"/>
      <c r="F321" s="458"/>
      <c r="G321" s="458"/>
      <c r="H321" s="458"/>
      <c r="I321" s="458"/>
      <c r="J321" s="458"/>
      <c r="K321" s="458"/>
      <c r="L321" s="458"/>
    </row>
    <row r="322" spans="1:12" ht="14.25">
      <c r="A322" s="458"/>
      <c r="B322" s="458"/>
      <c r="C322" s="458"/>
      <c r="D322" s="458"/>
      <c r="E322" s="458"/>
      <c r="F322" s="458"/>
      <c r="G322" s="458"/>
      <c r="H322" s="458"/>
      <c r="I322" s="458"/>
      <c r="J322" s="458"/>
      <c r="K322" s="458"/>
      <c r="L322" s="458"/>
    </row>
    <row r="323" spans="1:12" ht="14.25">
      <c r="A323" s="458"/>
      <c r="B323" s="458"/>
      <c r="C323" s="458"/>
      <c r="D323" s="458"/>
      <c r="E323" s="458"/>
      <c r="F323" s="458"/>
      <c r="G323" s="458"/>
      <c r="H323" s="458"/>
      <c r="I323" s="458"/>
      <c r="J323" s="458"/>
      <c r="K323" s="458"/>
      <c r="L323" s="458"/>
    </row>
    <row r="324" spans="1:12" ht="14.25">
      <c r="A324" s="458"/>
      <c r="B324" s="458"/>
      <c r="C324" s="458"/>
      <c r="D324" s="458"/>
      <c r="E324" s="458"/>
      <c r="F324" s="458"/>
      <c r="G324" s="458"/>
      <c r="H324" s="458"/>
      <c r="I324" s="458"/>
      <c r="J324" s="458"/>
      <c r="K324" s="458"/>
      <c r="L324" s="458"/>
    </row>
    <row r="325" spans="1:12" ht="14.25">
      <c r="A325" s="458"/>
      <c r="B325" s="458"/>
      <c r="C325" s="458"/>
      <c r="D325" s="458"/>
      <c r="E325" s="458"/>
      <c r="F325" s="458"/>
      <c r="G325" s="458"/>
      <c r="H325" s="458"/>
      <c r="I325" s="458"/>
      <c r="J325" s="458"/>
      <c r="K325" s="458"/>
      <c r="L325" s="458"/>
    </row>
    <row r="326" spans="1:12" ht="14.25">
      <c r="A326" s="458"/>
      <c r="B326" s="458"/>
      <c r="C326" s="458"/>
      <c r="D326" s="458"/>
      <c r="E326" s="458"/>
      <c r="F326" s="458"/>
      <c r="G326" s="458"/>
      <c r="H326" s="458"/>
      <c r="I326" s="458"/>
      <c r="J326" s="458"/>
      <c r="K326" s="458"/>
      <c r="L326" s="458"/>
    </row>
    <row r="327" spans="1:12" ht="14.25">
      <c r="A327" s="458"/>
      <c r="B327" s="458"/>
      <c r="C327" s="458"/>
      <c r="D327" s="458"/>
      <c r="E327" s="458"/>
      <c r="F327" s="458"/>
      <c r="G327" s="458"/>
      <c r="H327" s="458"/>
      <c r="I327" s="458"/>
      <c r="J327" s="458"/>
      <c r="K327" s="458"/>
      <c r="L327" s="458"/>
    </row>
    <row r="328" spans="1:12" ht="14.25">
      <c r="A328" s="458"/>
      <c r="B328" s="458"/>
      <c r="C328" s="458"/>
      <c r="D328" s="458"/>
      <c r="E328" s="458"/>
      <c r="F328" s="458"/>
      <c r="G328" s="458"/>
      <c r="H328" s="458"/>
      <c r="I328" s="458"/>
      <c r="J328" s="458"/>
      <c r="K328" s="458"/>
      <c r="L328" s="458"/>
    </row>
    <row r="329" spans="1:12" ht="14.25">
      <c r="A329" s="458"/>
      <c r="B329" s="458"/>
      <c r="C329" s="458"/>
      <c r="D329" s="458"/>
      <c r="E329" s="458"/>
      <c r="F329" s="458"/>
      <c r="G329" s="458"/>
      <c r="H329" s="458"/>
      <c r="I329" s="458"/>
      <c r="J329" s="458"/>
      <c r="K329" s="458"/>
      <c r="L329" s="458"/>
    </row>
    <row r="330" spans="1:12" ht="14.25">
      <c r="A330" s="458"/>
      <c r="B330" s="458"/>
      <c r="C330" s="458"/>
      <c r="D330" s="458"/>
      <c r="E330" s="458"/>
      <c r="F330" s="458"/>
      <c r="G330" s="458"/>
      <c r="H330" s="458"/>
      <c r="I330" s="458"/>
      <c r="J330" s="458"/>
      <c r="K330" s="458"/>
      <c r="L330" s="458"/>
    </row>
    <row r="331" spans="1:12" ht="14.25">
      <c r="A331" s="458"/>
      <c r="B331" s="458"/>
      <c r="C331" s="458"/>
      <c r="D331" s="458"/>
      <c r="E331" s="458"/>
      <c r="F331" s="458"/>
      <c r="G331" s="458"/>
      <c r="H331" s="458"/>
      <c r="I331" s="458"/>
      <c r="J331" s="458"/>
      <c r="K331" s="458"/>
      <c r="L331" s="458"/>
    </row>
    <row r="332" spans="1:12" ht="14.25">
      <c r="A332" s="458"/>
      <c r="B332" s="458"/>
      <c r="C332" s="458"/>
      <c r="D332" s="458"/>
      <c r="E332" s="458"/>
      <c r="F332" s="458"/>
      <c r="G332" s="458"/>
      <c r="H332" s="458"/>
      <c r="I332" s="458"/>
      <c r="J332" s="458"/>
      <c r="K332" s="458"/>
      <c r="L332" s="458"/>
    </row>
    <row r="333" spans="1:12" ht="14.25">
      <c r="A333" s="458"/>
      <c r="B333" s="458"/>
      <c r="C333" s="458"/>
      <c r="D333" s="458"/>
      <c r="E333" s="458"/>
      <c r="F333" s="458"/>
      <c r="G333" s="458"/>
      <c r="H333" s="458"/>
      <c r="I333" s="458"/>
      <c r="J333" s="458"/>
      <c r="K333" s="458"/>
      <c r="L333" s="458"/>
    </row>
    <row r="334" spans="1:12" ht="14.25">
      <c r="A334" s="458"/>
      <c r="B334" s="458"/>
      <c r="C334" s="458"/>
      <c r="D334" s="458"/>
      <c r="E334" s="458"/>
      <c r="F334" s="458"/>
      <c r="G334" s="458"/>
      <c r="H334" s="458"/>
      <c r="I334" s="458"/>
      <c r="J334" s="458"/>
      <c r="K334" s="458"/>
      <c r="L334" s="458"/>
    </row>
    <row r="335" spans="1:12" ht="14.25">
      <c r="A335" s="458"/>
      <c r="B335" s="458"/>
      <c r="C335" s="458"/>
      <c r="D335" s="458"/>
      <c r="E335" s="458"/>
      <c r="F335" s="458"/>
      <c r="G335" s="458"/>
      <c r="H335" s="458"/>
      <c r="I335" s="458"/>
      <c r="J335" s="458"/>
      <c r="K335" s="458"/>
      <c r="L335" s="458"/>
    </row>
    <row r="336" spans="1:12" ht="14.25">
      <c r="A336" s="458"/>
      <c r="B336" s="458"/>
      <c r="C336" s="458"/>
      <c r="D336" s="458"/>
      <c r="E336" s="458"/>
      <c r="F336" s="458"/>
      <c r="G336" s="458"/>
      <c r="H336" s="458"/>
      <c r="I336" s="458"/>
      <c r="J336" s="458"/>
      <c r="K336" s="458"/>
      <c r="L336" s="458"/>
    </row>
    <row r="337" spans="1:12" ht="14.25">
      <c r="A337" s="458"/>
      <c r="B337" s="458"/>
      <c r="C337" s="458"/>
      <c r="D337" s="458"/>
      <c r="E337" s="458"/>
      <c r="F337" s="458"/>
      <c r="G337" s="458"/>
      <c r="H337" s="458"/>
      <c r="I337" s="458"/>
      <c r="J337" s="458"/>
      <c r="K337" s="458"/>
      <c r="L337" s="458"/>
    </row>
    <row r="338" spans="1:12" ht="14.25">
      <c r="A338" s="458"/>
      <c r="B338" s="458"/>
      <c r="C338" s="458"/>
      <c r="D338" s="458"/>
      <c r="E338" s="458"/>
      <c r="F338" s="458"/>
      <c r="G338" s="458"/>
      <c r="H338" s="458"/>
      <c r="I338" s="458"/>
      <c r="J338" s="458"/>
      <c r="K338" s="458"/>
      <c r="L338" s="458"/>
    </row>
    <row r="339" spans="1:12" ht="14.25">
      <c r="A339" s="458"/>
      <c r="B339" s="458"/>
      <c r="C339" s="458"/>
      <c r="D339" s="458"/>
      <c r="E339" s="458"/>
      <c r="F339" s="458"/>
      <c r="G339" s="458"/>
      <c r="H339" s="458"/>
      <c r="I339" s="458"/>
      <c r="J339" s="458"/>
      <c r="K339" s="458"/>
      <c r="L339" s="458"/>
    </row>
    <row r="340" spans="1:12" ht="14.25">
      <c r="A340" s="458"/>
      <c r="B340" s="458"/>
      <c r="C340" s="458"/>
      <c r="D340" s="458"/>
      <c r="E340" s="458"/>
      <c r="F340" s="458"/>
      <c r="G340" s="458"/>
      <c r="H340" s="458"/>
      <c r="I340" s="458"/>
      <c r="J340" s="458"/>
      <c r="K340" s="458"/>
      <c r="L340" s="458"/>
    </row>
    <row r="341" spans="1:12" ht="14.25">
      <c r="A341" s="458"/>
      <c r="B341" s="458"/>
      <c r="C341" s="458"/>
      <c r="D341" s="458"/>
      <c r="E341" s="458"/>
      <c r="F341" s="458"/>
      <c r="G341" s="458"/>
      <c r="H341" s="458"/>
      <c r="I341" s="458"/>
      <c r="J341" s="458"/>
      <c r="K341" s="458"/>
      <c r="L341" s="458"/>
    </row>
    <row r="342" spans="1:12" ht="14.25">
      <c r="A342" s="458"/>
      <c r="B342" s="458"/>
      <c r="C342" s="458"/>
      <c r="D342" s="458"/>
      <c r="E342" s="458"/>
      <c r="F342" s="458"/>
      <c r="G342" s="458"/>
      <c r="H342" s="458"/>
      <c r="I342" s="458"/>
      <c r="J342" s="458"/>
      <c r="K342" s="458"/>
      <c r="L342" s="458"/>
    </row>
    <row r="343" spans="1:12" ht="14.25">
      <c r="A343" s="458"/>
      <c r="B343" s="458"/>
      <c r="C343" s="458"/>
      <c r="D343" s="458"/>
      <c r="E343" s="458"/>
      <c r="F343" s="458"/>
      <c r="G343" s="458"/>
      <c r="H343" s="458"/>
      <c r="I343" s="458"/>
      <c r="J343" s="458"/>
      <c r="K343" s="458"/>
      <c r="L343" s="458"/>
    </row>
    <row r="344" spans="1:12" ht="14.25">
      <c r="A344" s="458"/>
      <c r="B344" s="458"/>
      <c r="C344" s="458"/>
      <c r="D344" s="458"/>
      <c r="E344" s="458"/>
      <c r="F344" s="458"/>
      <c r="G344" s="458"/>
      <c r="H344" s="458"/>
      <c r="I344" s="458"/>
      <c r="J344" s="458"/>
      <c r="K344" s="458"/>
      <c r="L344" s="458"/>
    </row>
    <row r="345" spans="1:12" ht="14.25">
      <c r="A345" s="458"/>
      <c r="B345" s="458"/>
      <c r="C345" s="458"/>
      <c r="D345" s="458"/>
      <c r="E345" s="458"/>
      <c r="F345" s="458"/>
      <c r="G345" s="458"/>
      <c r="H345" s="458"/>
      <c r="I345" s="458"/>
      <c r="J345" s="458"/>
      <c r="K345" s="458"/>
      <c r="L345" s="458"/>
    </row>
    <row r="346" spans="1:12" ht="14.25">
      <c r="A346" s="458"/>
      <c r="B346" s="458"/>
      <c r="C346" s="458"/>
      <c r="D346" s="458"/>
      <c r="E346" s="458"/>
      <c r="F346" s="458"/>
      <c r="G346" s="458"/>
      <c r="H346" s="458"/>
      <c r="I346" s="458"/>
      <c r="J346" s="458"/>
      <c r="K346" s="458"/>
      <c r="L346" s="458"/>
    </row>
    <row r="347" spans="1:12" ht="14.25">
      <c r="A347" s="458"/>
      <c r="B347" s="458"/>
      <c r="C347" s="458"/>
      <c r="D347" s="458"/>
      <c r="E347" s="458"/>
      <c r="F347" s="458"/>
      <c r="G347" s="458"/>
      <c r="H347" s="458"/>
      <c r="I347" s="458"/>
      <c r="J347" s="458"/>
      <c r="K347" s="458"/>
      <c r="L347" s="458"/>
    </row>
    <row r="348" spans="1:12" ht="14.25">
      <c r="A348" s="458"/>
      <c r="B348" s="458"/>
      <c r="C348" s="458"/>
      <c r="D348" s="458"/>
      <c r="E348" s="458"/>
      <c r="F348" s="458"/>
      <c r="G348" s="458"/>
      <c r="H348" s="458"/>
      <c r="I348" s="458"/>
      <c r="J348" s="458"/>
      <c r="K348" s="458"/>
      <c r="L348" s="458"/>
    </row>
    <row r="349" spans="1:12" ht="14.25">
      <c r="A349" s="458"/>
      <c r="B349" s="458"/>
      <c r="C349" s="458"/>
      <c r="D349" s="458"/>
      <c r="E349" s="458"/>
      <c r="F349" s="458"/>
      <c r="G349" s="458"/>
      <c r="H349" s="458"/>
      <c r="I349" s="458"/>
      <c r="J349" s="458"/>
      <c r="K349" s="458"/>
      <c r="L349" s="458"/>
    </row>
    <row r="350" spans="1:12" ht="14.25">
      <c r="A350" s="458"/>
      <c r="B350" s="458"/>
      <c r="C350" s="458"/>
      <c r="D350" s="458"/>
      <c r="E350" s="458"/>
      <c r="F350" s="458"/>
      <c r="G350" s="458"/>
      <c r="H350" s="458"/>
      <c r="I350" s="458"/>
      <c r="J350" s="458"/>
      <c r="K350" s="458"/>
      <c r="L350" s="458"/>
    </row>
    <row r="351" spans="1:12" ht="14.25">
      <c r="A351" s="458"/>
      <c r="B351" s="458"/>
      <c r="C351" s="458"/>
      <c r="D351" s="458"/>
      <c r="E351" s="458"/>
      <c r="F351" s="458"/>
      <c r="G351" s="458"/>
      <c r="H351" s="458"/>
      <c r="I351" s="458"/>
      <c r="J351" s="458"/>
      <c r="K351" s="458"/>
      <c r="L351" s="458"/>
    </row>
    <row r="352" spans="1:12" ht="14.25">
      <c r="A352" s="458"/>
      <c r="B352" s="458"/>
      <c r="C352" s="458"/>
      <c r="D352" s="458"/>
      <c r="E352" s="458"/>
      <c r="F352" s="458"/>
      <c r="G352" s="458"/>
      <c r="H352" s="458"/>
      <c r="I352" s="458"/>
      <c r="J352" s="458"/>
      <c r="K352" s="458"/>
      <c r="L352" s="458"/>
    </row>
    <row r="353" spans="1:12" ht="14.25">
      <c r="A353" s="458"/>
      <c r="B353" s="458"/>
      <c r="C353" s="458"/>
      <c r="D353" s="458"/>
      <c r="E353" s="458"/>
      <c r="F353" s="458"/>
      <c r="G353" s="458"/>
      <c r="H353" s="458"/>
      <c r="I353" s="458"/>
      <c r="J353" s="458"/>
      <c r="K353" s="458"/>
      <c r="L353" s="458"/>
    </row>
    <row r="354" spans="1:12" ht="14.25">
      <c r="A354" s="458"/>
      <c r="B354" s="458"/>
      <c r="C354" s="458"/>
      <c r="D354" s="458"/>
      <c r="E354" s="458"/>
      <c r="F354" s="458"/>
      <c r="G354" s="458"/>
      <c r="H354" s="458"/>
      <c r="I354" s="458"/>
      <c r="J354" s="458"/>
      <c r="K354" s="458"/>
      <c r="L354" s="458"/>
    </row>
  </sheetData>
  <sheetProtection sheet="1"/>
  <mergeCells count="55">
    <mergeCell ref="C74:D74"/>
    <mergeCell ref="C134:D134"/>
    <mergeCell ref="H134:I134"/>
    <mergeCell ref="B110:K110"/>
    <mergeCell ref="B90:K90"/>
    <mergeCell ref="C94:D94"/>
    <mergeCell ref="B105:K105"/>
    <mergeCell ref="C97:D97"/>
    <mergeCell ref="C100:D100"/>
    <mergeCell ref="C103:D103"/>
    <mergeCell ref="C25:D25"/>
    <mergeCell ref="B88:K88"/>
    <mergeCell ref="B55:K55"/>
    <mergeCell ref="B58:K58"/>
    <mergeCell ref="G50:H50"/>
    <mergeCell ref="B52:K52"/>
    <mergeCell ref="I51:K51"/>
    <mergeCell ref="B30:K30"/>
    <mergeCell ref="B31:K31"/>
    <mergeCell ref="B33:K33"/>
    <mergeCell ref="B6:K6"/>
    <mergeCell ref="B7:K7"/>
    <mergeCell ref="B8:K8"/>
    <mergeCell ref="B10:K10"/>
    <mergeCell ref="B12:K12"/>
    <mergeCell ref="F23:G23"/>
    <mergeCell ref="B35:K35"/>
    <mergeCell ref="C41:D41"/>
    <mergeCell ref="B48:C48"/>
    <mergeCell ref="B85:K85"/>
    <mergeCell ref="B86:K86"/>
    <mergeCell ref="C77:D77"/>
    <mergeCell ref="C80:D80"/>
    <mergeCell ref="C83:D83"/>
    <mergeCell ref="B53:K53"/>
    <mergeCell ref="B57:K57"/>
    <mergeCell ref="B106:K106"/>
    <mergeCell ref="B108:K108"/>
    <mergeCell ref="C114:D114"/>
    <mergeCell ref="C117:D117"/>
    <mergeCell ref="C120:D120"/>
    <mergeCell ref="C123:D123"/>
    <mergeCell ref="B125:K125"/>
    <mergeCell ref="B126:K126"/>
    <mergeCell ref="B128:K128"/>
    <mergeCell ref="C133:D133"/>
    <mergeCell ref="H133:I133"/>
    <mergeCell ref="B130:K130"/>
    <mergeCell ref="C136:D136"/>
    <mergeCell ref="B144:K144"/>
    <mergeCell ref="C147:D147"/>
    <mergeCell ref="J147:K147"/>
    <mergeCell ref="C148:D148"/>
    <mergeCell ref="J148:K148"/>
    <mergeCell ref="C137:D137"/>
  </mergeCells>
  <printOptions/>
  <pageMargins left="0.7" right="0.7" top="0.75" bottom="0.75" header="0.3" footer="0.3"/>
  <pageSetup blackAndWhite="1" horizontalDpi="600" verticalDpi="600" orientation="portrait" scale="73" r:id="rId1"/>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
  <cols>
    <col min="1" max="1" width="71.19921875" style="0" customWidth="1"/>
  </cols>
  <sheetData>
    <row r="1" ht="16.5">
      <c r="A1" s="459" t="s">
        <v>724</v>
      </c>
    </row>
    <row r="3" ht="31.5">
      <c r="A3" s="460" t="s">
        <v>725</v>
      </c>
    </row>
    <row r="4" ht="15.75">
      <c r="A4" s="461" t="s">
        <v>726</v>
      </c>
    </row>
    <row r="7" ht="31.5">
      <c r="A7" s="460" t="s">
        <v>727</v>
      </c>
    </row>
    <row r="8" ht="15.75">
      <c r="A8" s="461" t="s">
        <v>728</v>
      </c>
    </row>
    <row r="11" ht="15.75">
      <c r="A11" s="1" t="s">
        <v>729</v>
      </c>
    </row>
    <row r="12" ht="15.75">
      <c r="A12" s="461" t="s">
        <v>730</v>
      </c>
    </row>
    <row r="15" ht="15.75">
      <c r="A15" s="1" t="s">
        <v>731</v>
      </c>
    </row>
    <row r="16" ht="15.75">
      <c r="A16" s="461" t="s">
        <v>732</v>
      </c>
    </row>
    <row r="19" ht="15.75">
      <c r="A19" s="1" t="s">
        <v>733</v>
      </c>
    </row>
    <row r="20" ht="15.75">
      <c r="A20" s="461" t="s">
        <v>734</v>
      </c>
    </row>
    <row r="23" ht="15.75">
      <c r="A23" s="1" t="s">
        <v>735</v>
      </c>
    </row>
    <row r="24" ht="15.75">
      <c r="A24" s="461" t="s">
        <v>736</v>
      </c>
    </row>
    <row r="27" ht="15.75">
      <c r="A27" s="1" t="s">
        <v>737</v>
      </c>
    </row>
    <row r="28" ht="15.75">
      <c r="A28" s="461" t="s">
        <v>738</v>
      </c>
    </row>
    <row r="31" ht="15.75">
      <c r="A31" s="1" t="s">
        <v>739</v>
      </c>
    </row>
    <row r="32" ht="15.75">
      <c r="A32" s="461" t="s">
        <v>740</v>
      </c>
    </row>
    <row r="35" ht="15.75">
      <c r="A35" s="1" t="s">
        <v>741</v>
      </c>
    </row>
    <row r="36" ht="15.75">
      <c r="A36" s="461" t="s">
        <v>742</v>
      </c>
    </row>
    <row r="39" ht="15.75">
      <c r="A39" s="1" t="s">
        <v>743</v>
      </c>
    </row>
    <row r="40" ht="15.75">
      <c r="A40" s="461" t="s">
        <v>744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84"/>
  <sheetViews>
    <sheetView zoomScalePageLayoutView="0" workbookViewId="0" topLeftCell="A1">
      <selection activeCell="C7" sqref="C7"/>
    </sheetView>
  </sheetViews>
  <sheetFormatPr defaultColWidth="8.796875" defaultRowHeight="15"/>
  <cols>
    <col min="1" max="1" width="84.59765625" style="10" customWidth="1"/>
    <col min="2" max="16384" width="8.8984375" style="10" customWidth="1"/>
  </cols>
  <sheetData>
    <row r="1" ht="15.75">
      <c r="A1" s="387" t="s">
        <v>955</v>
      </c>
    </row>
    <row r="2" ht="15.75">
      <c r="A2" s="669" t="s">
        <v>956</v>
      </c>
    </row>
    <row r="4" ht="15.75">
      <c r="A4" s="387" t="s">
        <v>952</v>
      </c>
    </row>
    <row r="5" ht="15.75">
      <c r="A5" s="10" t="s">
        <v>953</v>
      </c>
    </row>
    <row r="7" ht="15.75">
      <c r="A7" s="387" t="s">
        <v>872</v>
      </c>
    </row>
    <row r="8" ht="15.75">
      <c r="A8" s="656" t="s">
        <v>873</v>
      </c>
    </row>
    <row r="9" ht="15.75">
      <c r="A9" s="10" t="s">
        <v>874</v>
      </c>
    </row>
    <row r="10" ht="15.75">
      <c r="A10" s="10" t="s">
        <v>875</v>
      </c>
    </row>
    <row r="11" ht="15.75">
      <c r="A11" s="10" t="s">
        <v>876</v>
      </c>
    </row>
    <row r="12" ht="15.75">
      <c r="A12" s="10" t="s">
        <v>877</v>
      </c>
    </row>
    <row r="13" ht="15.75">
      <c r="A13" s="10" t="s">
        <v>878</v>
      </c>
    </row>
    <row r="14" ht="15.75">
      <c r="A14" s="10" t="s">
        <v>879</v>
      </c>
    </row>
    <row r="15" ht="15.75">
      <c r="A15" s="10" t="s">
        <v>880</v>
      </c>
    </row>
    <row r="16" ht="15.75">
      <c r="A16" s="10" t="s">
        <v>881</v>
      </c>
    </row>
    <row r="17" ht="15.75">
      <c r="A17" s="10" t="s">
        <v>882</v>
      </c>
    </row>
    <row r="18" ht="15.75">
      <c r="A18" s="10" t="s">
        <v>883</v>
      </c>
    </row>
    <row r="19" ht="15.75">
      <c r="A19" s="10" t="s">
        <v>884</v>
      </c>
    </row>
    <row r="20" ht="15.75">
      <c r="A20" s="10" t="s">
        <v>885</v>
      </c>
    </row>
    <row r="21" ht="15.75">
      <c r="A21" s="10" t="s">
        <v>886</v>
      </c>
    </row>
    <row r="22" ht="15.75">
      <c r="A22" s="10" t="s">
        <v>887</v>
      </c>
    </row>
    <row r="23" ht="15.75">
      <c r="A23" s="10" t="s">
        <v>888</v>
      </c>
    </row>
    <row r="24" ht="47.25">
      <c r="A24" s="13" t="s">
        <v>889</v>
      </c>
    </row>
    <row r="25" ht="15.75">
      <c r="A25" s="12" t="s">
        <v>890</v>
      </c>
    </row>
    <row r="26" ht="31.5">
      <c r="A26" s="13" t="s">
        <v>891</v>
      </c>
    </row>
    <row r="27" ht="15.75">
      <c r="A27" s="10" t="s">
        <v>892</v>
      </c>
    </row>
    <row r="28" ht="15.75">
      <c r="A28" s="10" t="s">
        <v>893</v>
      </c>
    </row>
    <row r="29" ht="15.75">
      <c r="A29" s="10" t="s">
        <v>894</v>
      </c>
    </row>
    <row r="30" ht="15.75">
      <c r="A30" s="10" t="s">
        <v>895</v>
      </c>
    </row>
    <row r="31" ht="15.75">
      <c r="A31" s="10" t="s">
        <v>896</v>
      </c>
    </row>
    <row r="32" ht="15.75">
      <c r="A32" s="10" t="s">
        <v>897</v>
      </c>
    </row>
    <row r="33" ht="15.75">
      <c r="A33" s="10" t="s">
        <v>898</v>
      </c>
    </row>
    <row r="34" ht="15.75">
      <c r="A34" s="10" t="s">
        <v>899</v>
      </c>
    </row>
    <row r="35" ht="15.75">
      <c r="A35" s="10" t="s">
        <v>900</v>
      </c>
    </row>
    <row r="36" ht="15.75">
      <c r="A36" s="10" t="s">
        <v>901</v>
      </c>
    </row>
    <row r="37" ht="15.75">
      <c r="A37" s="10" t="s">
        <v>902</v>
      </c>
    </row>
    <row r="38" ht="15.75">
      <c r="A38" s="10" t="s">
        <v>903</v>
      </c>
    </row>
    <row r="39" ht="15.75">
      <c r="A39" s="10" t="s">
        <v>904</v>
      </c>
    </row>
    <row r="40" ht="15.75">
      <c r="A40" s="10" t="s">
        <v>905</v>
      </c>
    </row>
    <row r="41" ht="15.75">
      <c r="A41" s="10" t="s">
        <v>906</v>
      </c>
    </row>
    <row r="42" ht="15.75">
      <c r="A42" s="10" t="s">
        <v>907</v>
      </c>
    </row>
    <row r="45" ht="15.75">
      <c r="A45" s="387" t="s">
        <v>796</v>
      </c>
    </row>
    <row r="46" ht="15.75">
      <c r="A46" s="483" t="s">
        <v>797</v>
      </c>
    </row>
    <row r="48" ht="15.75">
      <c r="A48" s="387" t="s">
        <v>751</v>
      </c>
    </row>
    <row r="49" ht="15.75">
      <c r="A49" s="483" t="s">
        <v>752</v>
      </c>
    </row>
    <row r="50" ht="15.75">
      <c r="A50" s="483" t="s">
        <v>753</v>
      </c>
    </row>
    <row r="51" ht="15.75">
      <c r="A51" s="484" t="s">
        <v>761</v>
      </c>
    </row>
    <row r="52" ht="15.75">
      <c r="A52" s="483" t="s">
        <v>762</v>
      </c>
    </row>
    <row r="53" ht="15.75">
      <c r="A53" s="483" t="s">
        <v>763</v>
      </c>
    </row>
    <row r="54" ht="15.75">
      <c r="A54" s="483" t="s">
        <v>764</v>
      </c>
    </row>
    <row r="55" ht="15.75">
      <c r="A55" s="483" t="s">
        <v>765</v>
      </c>
    </row>
    <row r="56" ht="15.75">
      <c r="A56" s="483" t="s">
        <v>766</v>
      </c>
    </row>
    <row r="57" ht="15.75">
      <c r="A57" s="483" t="s">
        <v>767</v>
      </c>
    </row>
    <row r="58" ht="15.75">
      <c r="A58" s="483" t="s">
        <v>768</v>
      </c>
    </row>
    <row r="59" ht="15.75">
      <c r="A59" s="483" t="s">
        <v>769</v>
      </c>
    </row>
    <row r="60" ht="15.75">
      <c r="A60" s="483" t="s">
        <v>770</v>
      </c>
    </row>
    <row r="61" ht="15.75">
      <c r="A61" s="483" t="s">
        <v>771</v>
      </c>
    </row>
    <row r="62" ht="15.75">
      <c r="A62" s="483" t="s">
        <v>772</v>
      </c>
    </row>
    <row r="63" ht="15.75">
      <c r="A63" s="483" t="s">
        <v>773</v>
      </c>
    </row>
    <row r="64" ht="15.75">
      <c r="A64" s="483" t="s">
        <v>774</v>
      </c>
    </row>
    <row r="65" ht="15.75">
      <c r="A65" s="483" t="s">
        <v>775</v>
      </c>
    </row>
    <row r="66" ht="15.75">
      <c r="A66" s="483" t="s">
        <v>776</v>
      </c>
    </row>
    <row r="67" ht="15.75">
      <c r="A67" s="483" t="s">
        <v>777</v>
      </c>
    </row>
    <row r="68" ht="15.75">
      <c r="A68" s="483" t="s">
        <v>778</v>
      </c>
    </row>
    <row r="69" ht="15.75">
      <c r="A69" s="483" t="s">
        <v>779</v>
      </c>
    </row>
    <row r="70" ht="15.75">
      <c r="A70" s="483" t="s">
        <v>780</v>
      </c>
    </row>
    <row r="71" ht="15.75">
      <c r="A71" s="483" t="s">
        <v>781</v>
      </c>
    </row>
    <row r="72" ht="15.75">
      <c r="A72" s="483" t="s">
        <v>782</v>
      </c>
    </row>
    <row r="73" ht="15.75">
      <c r="A73" s="483" t="s">
        <v>783</v>
      </c>
    </row>
    <row r="74" ht="15.75">
      <c r="A74" s="483" t="s">
        <v>784</v>
      </c>
    </row>
    <row r="75" ht="15.75">
      <c r="A75" s="483" t="s">
        <v>785</v>
      </c>
    </row>
    <row r="76" ht="15.75">
      <c r="A76" s="483" t="s">
        <v>786</v>
      </c>
    </row>
    <row r="78" ht="15.75">
      <c r="A78" s="387" t="s">
        <v>660</v>
      </c>
    </row>
    <row r="79" ht="15.75">
      <c r="A79" s="10" t="s">
        <v>661</v>
      </c>
    </row>
    <row r="80" ht="15.75">
      <c r="A80" s="10" t="s">
        <v>662</v>
      </c>
    </row>
    <row r="81" ht="15.75">
      <c r="A81" s="10" t="s">
        <v>663</v>
      </c>
    </row>
    <row r="83" ht="15.75">
      <c r="A83" s="390" t="s">
        <v>649</v>
      </c>
    </row>
    <row r="84" ht="15.75">
      <c r="A84" s="10" t="s">
        <v>659</v>
      </c>
    </row>
    <row r="86" ht="15.75">
      <c r="A86" s="387" t="s">
        <v>630</v>
      </c>
    </row>
    <row r="87" ht="15.75">
      <c r="A87" s="386" t="s">
        <v>631</v>
      </c>
    </row>
    <row r="88" ht="15.75">
      <c r="A88" s="386" t="s">
        <v>632</v>
      </c>
    </row>
    <row r="89" ht="15.75">
      <c r="A89" s="386" t="s">
        <v>633</v>
      </c>
    </row>
    <row r="90" ht="15.75">
      <c r="A90" s="10" t="s">
        <v>647</v>
      </c>
    </row>
    <row r="92" ht="15.75">
      <c r="A92" s="362" t="s">
        <v>375</v>
      </c>
    </row>
    <row r="93" ht="15.75">
      <c r="A93" s="367" t="s">
        <v>403</v>
      </c>
    </row>
    <row r="94" ht="15.75">
      <c r="A94" s="365" t="s">
        <v>404</v>
      </c>
    </row>
    <row r="95" ht="15.75">
      <c r="A95" s="365" t="s">
        <v>405</v>
      </c>
    </row>
    <row r="96" ht="21" customHeight="1">
      <c r="A96" s="366" t="s">
        <v>406</v>
      </c>
    </row>
    <row r="97" ht="15.75">
      <c r="A97" s="365" t="s">
        <v>407</v>
      </c>
    </row>
    <row r="98" ht="15.75">
      <c r="A98" s="365" t="s">
        <v>408</v>
      </c>
    </row>
    <row r="99" ht="15.75">
      <c r="A99" s="365" t="s">
        <v>409</v>
      </c>
    </row>
    <row r="100" ht="15.75">
      <c r="A100" s="365" t="s">
        <v>410</v>
      </c>
    </row>
    <row r="101" ht="15.75">
      <c r="A101" s="10" t="s">
        <v>411</v>
      </c>
    </row>
    <row r="102" ht="15.75">
      <c r="A102" s="10" t="s">
        <v>412</v>
      </c>
    </row>
    <row r="103" ht="15.75">
      <c r="A103" s="10" t="s">
        <v>413</v>
      </c>
    </row>
    <row r="105" ht="15.75">
      <c r="A105" s="362" t="s">
        <v>351</v>
      </c>
    </row>
    <row r="106" ht="31.5">
      <c r="A106" s="13" t="s">
        <v>352</v>
      </c>
    </row>
    <row r="108" ht="15.75">
      <c r="A108" s="362" t="s">
        <v>348</v>
      </c>
    </row>
    <row r="109" ht="15.75">
      <c r="A109" s="10" t="s">
        <v>349</v>
      </c>
    </row>
    <row r="110" ht="15.75">
      <c r="A110" s="10" t="s">
        <v>350</v>
      </c>
    </row>
    <row r="112" ht="15.75">
      <c r="A112" s="362" t="s">
        <v>345</v>
      </c>
    </row>
    <row r="113" ht="15.75">
      <c r="A113" s="10" t="s">
        <v>327</v>
      </c>
    </row>
    <row r="114" ht="15.75">
      <c r="A114" s="10" t="s">
        <v>328</v>
      </c>
    </row>
    <row r="115" ht="15.75">
      <c r="A115" s="10" t="s">
        <v>329</v>
      </c>
    </row>
    <row r="116" ht="15.75">
      <c r="A116" s="10" t="s">
        <v>330</v>
      </c>
    </row>
    <row r="117" ht="15.75">
      <c r="A117" s="10" t="s">
        <v>331</v>
      </c>
    </row>
    <row r="118" ht="15.75">
      <c r="A118" s="10" t="s">
        <v>332</v>
      </c>
    </row>
    <row r="119" ht="31.5">
      <c r="A119" s="13" t="s">
        <v>333</v>
      </c>
    </row>
    <row r="120" ht="31.5">
      <c r="A120" s="13" t="s">
        <v>334</v>
      </c>
    </row>
    <row r="121" ht="15.75">
      <c r="A121" s="13" t="s">
        <v>335</v>
      </c>
    </row>
    <row r="122" ht="15.75">
      <c r="A122" s="13" t="s">
        <v>336</v>
      </c>
    </row>
    <row r="123" ht="31.5">
      <c r="A123" s="13" t="s">
        <v>337</v>
      </c>
    </row>
    <row r="124" ht="15.75">
      <c r="A124" s="10" t="s">
        <v>338</v>
      </c>
    </row>
    <row r="125" ht="15.75">
      <c r="A125" s="13" t="s">
        <v>339</v>
      </c>
    </row>
    <row r="126" ht="15.75">
      <c r="A126" s="10" t="s">
        <v>340</v>
      </c>
    </row>
    <row r="127" ht="15.75">
      <c r="A127" s="10" t="s">
        <v>341</v>
      </c>
    </row>
    <row r="128" ht="15.75">
      <c r="A128" s="10" t="s">
        <v>342</v>
      </c>
    </row>
    <row r="129" ht="31.5">
      <c r="A129" s="13" t="s">
        <v>343</v>
      </c>
    </row>
    <row r="130" ht="15.75">
      <c r="A130" s="10" t="s">
        <v>344</v>
      </c>
    </row>
    <row r="133" ht="15.75">
      <c r="A133" s="362" t="s">
        <v>323</v>
      </c>
    </row>
    <row r="134" ht="15.75">
      <c r="A134" s="10" t="s">
        <v>0</v>
      </c>
    </row>
    <row r="135" ht="15.75">
      <c r="A135" s="10" t="s">
        <v>1</v>
      </c>
    </row>
    <row r="136" ht="15.75">
      <c r="A136" s="10" t="s">
        <v>2</v>
      </c>
    </row>
    <row r="137" ht="15.75">
      <c r="A137" s="10" t="s">
        <v>324</v>
      </c>
    </row>
    <row r="139" ht="15.75">
      <c r="A139" s="362" t="s">
        <v>318</v>
      </c>
    </row>
    <row r="140" ht="15.75">
      <c r="A140" s="10" t="s">
        <v>319</v>
      </c>
    </row>
    <row r="141" ht="15.75">
      <c r="A141" s="10" t="s">
        <v>320</v>
      </c>
    </row>
    <row r="142" ht="31.5">
      <c r="A142" s="13" t="s">
        <v>321</v>
      </c>
    </row>
    <row r="143" ht="15.75">
      <c r="A143" s="10" t="s">
        <v>322</v>
      </c>
    </row>
    <row r="146" ht="18" customHeight="1">
      <c r="A146" s="362" t="s">
        <v>207</v>
      </c>
    </row>
    <row r="147" ht="51" customHeight="1">
      <c r="A147" s="13" t="s">
        <v>251</v>
      </c>
    </row>
    <row r="148" ht="15.75">
      <c r="A148" s="10" t="s">
        <v>5</v>
      </c>
    </row>
    <row r="149" ht="15.75">
      <c r="A149" s="10" t="s">
        <v>209</v>
      </c>
    </row>
    <row r="150" ht="15.75">
      <c r="A150" s="10" t="s">
        <v>252</v>
      </c>
    </row>
    <row r="151" ht="15.75">
      <c r="A151" s="10" t="s">
        <v>210</v>
      </c>
    </row>
    <row r="152" ht="15.75">
      <c r="A152" s="10" t="s">
        <v>211</v>
      </c>
    </row>
    <row r="153" ht="15.75">
      <c r="A153" s="10" t="s">
        <v>212</v>
      </c>
    </row>
    <row r="154" ht="15.75">
      <c r="A154" s="10" t="s">
        <v>213</v>
      </c>
    </row>
    <row r="155" ht="15.75">
      <c r="A155" s="10" t="s">
        <v>214</v>
      </c>
    </row>
    <row r="156" ht="31.5">
      <c r="A156" s="13" t="s">
        <v>222</v>
      </c>
    </row>
    <row r="157" ht="31.5">
      <c r="A157" s="13" t="s">
        <v>283</v>
      </c>
    </row>
    <row r="158" ht="15.75">
      <c r="A158" s="10" t="s">
        <v>218</v>
      </c>
    </row>
    <row r="159" ht="15.75">
      <c r="A159" s="10" t="s">
        <v>223</v>
      </c>
    </row>
    <row r="160" ht="15.75">
      <c r="A160" s="10" t="s">
        <v>253</v>
      </c>
    </row>
    <row r="161" ht="15.75">
      <c r="A161" s="10" t="s">
        <v>220</v>
      </c>
    </row>
    <row r="162" ht="15.75">
      <c r="A162" s="10" t="s">
        <v>254</v>
      </c>
    </row>
    <row r="163" ht="31.5">
      <c r="A163" s="13" t="s">
        <v>255</v>
      </c>
    </row>
    <row r="164" ht="15.75">
      <c r="A164" s="10" t="s">
        <v>229</v>
      </c>
    </row>
    <row r="165" ht="15.75">
      <c r="A165" s="10" t="s">
        <v>230</v>
      </c>
    </row>
    <row r="166" ht="31.5">
      <c r="A166" s="13" t="s">
        <v>231</v>
      </c>
    </row>
    <row r="167" ht="15.75">
      <c r="A167" s="10" t="s">
        <v>300</v>
      </c>
    </row>
    <row r="168" ht="15.75">
      <c r="A168" s="10" t="s">
        <v>301</v>
      </c>
    </row>
    <row r="169" ht="15.75">
      <c r="A169" s="10" t="s">
        <v>302</v>
      </c>
    </row>
    <row r="170" ht="15.75">
      <c r="A170" s="10" t="s">
        <v>303</v>
      </c>
    </row>
    <row r="171" ht="15.75">
      <c r="A171" s="10" t="s">
        <v>304</v>
      </c>
    </row>
    <row r="172" ht="15.75">
      <c r="A172" s="10" t="s">
        <v>305</v>
      </c>
    </row>
    <row r="173" ht="15.75">
      <c r="A173" s="10" t="s">
        <v>306</v>
      </c>
    </row>
    <row r="174" ht="15.75">
      <c r="A174" s="10" t="s">
        <v>307</v>
      </c>
    </row>
    <row r="175" ht="15.75">
      <c r="A175" s="10" t="s">
        <v>308</v>
      </c>
    </row>
    <row r="176" ht="15.75">
      <c r="A176" s="10" t="s">
        <v>309</v>
      </c>
    </row>
    <row r="177" ht="15.75">
      <c r="A177" s="10" t="s">
        <v>310</v>
      </c>
    </row>
    <row r="178" ht="15.75">
      <c r="A178" s="10" t="s">
        <v>311</v>
      </c>
    </row>
    <row r="179" ht="15.75">
      <c r="A179" s="10" t="s">
        <v>312</v>
      </c>
    </row>
    <row r="180" ht="15.75">
      <c r="A180" s="10" t="s">
        <v>313</v>
      </c>
    </row>
    <row r="181" ht="15.75">
      <c r="A181" s="10" t="s">
        <v>314</v>
      </c>
    </row>
    <row r="182" ht="15.75">
      <c r="A182" s="10" t="s">
        <v>315</v>
      </c>
    </row>
    <row r="183" ht="15.75">
      <c r="A183" s="10" t="s">
        <v>317</v>
      </c>
    </row>
    <row r="184" ht="15.75">
      <c r="A184" s="10" t="s">
        <v>316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8"/>
  <sheetViews>
    <sheetView zoomScalePageLayoutView="0" workbookViewId="0" topLeftCell="B4">
      <selection activeCell="J1" sqref="J1"/>
    </sheetView>
  </sheetViews>
  <sheetFormatPr defaultColWidth="8.796875" defaultRowHeight="15"/>
  <cols>
    <col min="1" max="1" width="13.796875" style="0" customWidth="1"/>
    <col min="2" max="2" width="16.09765625" style="0" customWidth="1"/>
  </cols>
  <sheetData>
    <row r="1" ht="15">
      <c r="J1" s="616"/>
    </row>
    <row r="2" spans="1:10" ht="54" customHeight="1">
      <c r="A2" s="707" t="s">
        <v>414</v>
      </c>
      <c r="B2" s="708"/>
      <c r="C2" s="708"/>
      <c r="D2" s="708"/>
      <c r="E2" s="708"/>
      <c r="F2" s="708"/>
      <c r="J2" s="616"/>
    </row>
    <row r="3" spans="1:10" ht="15.75">
      <c r="A3" s="1" t="s">
        <v>859</v>
      </c>
      <c r="B3" s="617" t="s">
        <v>960</v>
      </c>
      <c r="C3" s="617"/>
      <c r="J3" s="616"/>
    </row>
    <row r="4" spans="1:10" ht="15.75">
      <c r="A4" s="1"/>
      <c r="B4" s="618"/>
      <c r="J4" s="616"/>
    </row>
    <row r="5" spans="1:10" ht="15.75">
      <c r="A5" s="1" t="s">
        <v>667</v>
      </c>
      <c r="B5" s="617" t="s">
        <v>183</v>
      </c>
      <c r="J5" s="616"/>
    </row>
    <row r="6" spans="1:10" ht="15.75">
      <c r="A6" s="370"/>
      <c r="B6" s="370"/>
      <c r="C6" s="370"/>
      <c r="D6" s="371" t="s">
        <v>988</v>
      </c>
      <c r="E6" s="370"/>
      <c r="F6" s="370"/>
      <c r="J6" s="616"/>
    </row>
    <row r="7" spans="1:10" ht="15.75">
      <c r="A7" s="371" t="s">
        <v>415</v>
      </c>
      <c r="B7" s="617" t="s">
        <v>983</v>
      </c>
      <c r="C7" s="372"/>
      <c r="D7" s="371" t="s">
        <v>990</v>
      </c>
      <c r="E7" s="370"/>
      <c r="F7" s="370"/>
      <c r="J7" s="616"/>
    </row>
    <row r="8" spans="1:10" ht="15.75">
      <c r="A8" s="371"/>
      <c r="B8" s="373"/>
      <c r="C8" s="374"/>
      <c r="D8" s="371" t="s">
        <v>989</v>
      </c>
      <c r="E8" s="370"/>
      <c r="F8" s="370"/>
      <c r="J8" s="616"/>
    </row>
    <row r="9" spans="1:10" ht="15.75">
      <c r="A9" s="371" t="s">
        <v>416</v>
      </c>
      <c r="B9" s="617" t="s">
        <v>984</v>
      </c>
      <c r="C9" s="375"/>
      <c r="D9" s="371"/>
      <c r="E9" s="370"/>
      <c r="F9" s="370"/>
      <c r="J9" s="616"/>
    </row>
    <row r="10" spans="1:10" ht="15.75">
      <c r="A10" s="371"/>
      <c r="B10" s="371"/>
      <c r="C10" s="371"/>
      <c r="D10" s="371"/>
      <c r="E10" s="370"/>
      <c r="F10" s="370"/>
      <c r="J10" s="616"/>
    </row>
    <row r="11" spans="1:10" ht="15.75">
      <c r="A11" s="371" t="s">
        <v>417</v>
      </c>
      <c r="B11" s="619" t="s">
        <v>985</v>
      </c>
      <c r="C11" s="619"/>
      <c r="D11" s="670"/>
      <c r="E11" s="620"/>
      <c r="F11" s="370"/>
      <c r="J11" s="616"/>
    </row>
    <row r="12" spans="1:10" ht="15.75">
      <c r="A12" s="371"/>
      <c r="B12" s="371"/>
      <c r="C12" s="371"/>
      <c r="D12" s="371"/>
      <c r="E12" s="370"/>
      <c r="F12" s="370"/>
      <c r="J12" s="616"/>
    </row>
    <row r="13" spans="1:6" ht="15.75">
      <c r="A13" s="371"/>
      <c r="B13" s="371"/>
      <c r="C13" s="371"/>
      <c r="D13" s="371"/>
      <c r="E13" s="370"/>
      <c r="F13" s="370"/>
    </row>
    <row r="14" spans="1:6" ht="15.75">
      <c r="A14" s="371" t="s">
        <v>418</v>
      </c>
      <c r="B14" s="619" t="s">
        <v>987</v>
      </c>
      <c r="C14" s="619" t="s">
        <v>986</v>
      </c>
      <c r="D14" s="619"/>
      <c r="E14" s="620"/>
      <c r="F14" s="370"/>
    </row>
    <row r="17" spans="1:6" ht="15.75">
      <c r="A17" s="709" t="s">
        <v>419</v>
      </c>
      <c r="B17" s="709"/>
      <c r="C17" s="371"/>
      <c r="D17" s="371"/>
      <c r="E17" s="371"/>
      <c r="F17" s="370"/>
    </row>
    <row r="18" spans="1:7" ht="15.75">
      <c r="A18" s="371"/>
      <c r="B18" s="371"/>
      <c r="C18" s="371"/>
      <c r="D18" s="371"/>
      <c r="E18" s="371"/>
      <c r="F18" s="370"/>
      <c r="G18" s="616"/>
    </row>
    <row r="19" spans="1:7" ht="15.75">
      <c r="A19" s="371" t="s">
        <v>667</v>
      </c>
      <c r="B19" s="371" t="s">
        <v>668</v>
      </c>
      <c r="C19" s="371"/>
      <c r="D19" s="371"/>
      <c r="E19" s="371"/>
      <c r="F19" s="370"/>
      <c r="G19" s="621"/>
    </row>
    <row r="20" spans="1:7" ht="15.75">
      <c r="A20" s="371"/>
      <c r="B20" s="371"/>
      <c r="C20" s="371"/>
      <c r="D20" s="371"/>
      <c r="E20" s="371"/>
      <c r="F20" s="370"/>
      <c r="G20" s="622"/>
    </row>
    <row r="21" spans="1:7" ht="15.75">
      <c r="A21" s="371" t="s">
        <v>415</v>
      </c>
      <c r="B21" s="373" t="s">
        <v>420</v>
      </c>
      <c r="C21" s="371"/>
      <c r="D21" s="371"/>
      <c r="E21" s="371"/>
      <c r="G21" s="623"/>
    </row>
    <row r="22" spans="1:7" ht="15.75">
      <c r="A22" s="371"/>
      <c r="B22" s="371"/>
      <c r="C22" s="371"/>
      <c r="D22" s="371"/>
      <c r="E22" s="371"/>
      <c r="G22" s="624"/>
    </row>
    <row r="23" spans="1:7" ht="15.75">
      <c r="A23" s="371" t="s">
        <v>416</v>
      </c>
      <c r="B23" s="371" t="s">
        <v>421</v>
      </c>
      <c r="C23" s="371"/>
      <c r="D23" s="371"/>
      <c r="E23" s="371"/>
      <c r="G23" s="625"/>
    </row>
    <row r="24" spans="1:5" ht="15.75">
      <c r="A24" s="371"/>
      <c r="B24" s="371"/>
      <c r="C24" s="371"/>
      <c r="D24" s="371"/>
      <c r="E24" s="371"/>
    </row>
    <row r="25" spans="1:5" ht="15.75">
      <c r="A25" s="371" t="s">
        <v>417</v>
      </c>
      <c r="B25" s="371" t="s">
        <v>422</v>
      </c>
      <c r="C25" s="371"/>
      <c r="D25" s="371"/>
      <c r="E25" s="371"/>
    </row>
    <row r="26" spans="1:5" ht="15.75">
      <c r="A26" s="371"/>
      <c r="B26" s="371"/>
      <c r="C26" s="371"/>
      <c r="D26" s="371"/>
      <c r="E26" s="371"/>
    </row>
    <row r="27" spans="1:5" ht="15.75">
      <c r="A27" s="371" t="s">
        <v>418</v>
      </c>
      <c r="B27" s="371" t="s">
        <v>422</v>
      </c>
      <c r="C27" s="371"/>
      <c r="E27" s="371"/>
    </row>
    <row r="28" ht="15.75">
      <c r="D28" s="371"/>
    </row>
  </sheetData>
  <sheetProtection/>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5"/>
  <sheetViews>
    <sheetView zoomScalePageLayoutView="0" workbookViewId="0" topLeftCell="A27">
      <selection activeCell="E22" sqref="E22"/>
    </sheetView>
  </sheetViews>
  <sheetFormatPr defaultColWidth="8.796875" defaultRowHeight="15" customHeight="1"/>
  <cols>
    <col min="1" max="1" width="24.3984375" style="140" customWidth="1"/>
    <col min="2" max="2" width="11.296875" style="140" customWidth="1"/>
    <col min="3" max="3" width="5.796875" style="140" customWidth="1"/>
    <col min="4" max="4" width="13.8984375" style="140" customWidth="1"/>
    <col min="5" max="5" width="14" style="140" customWidth="1"/>
    <col min="6" max="6" width="13" style="140" customWidth="1"/>
    <col min="7" max="16384" width="8.8984375" style="140" customWidth="1"/>
  </cols>
  <sheetData>
    <row r="1" spans="1:6" ht="15" customHeight="1">
      <c r="A1" s="138"/>
      <c r="B1" s="138"/>
      <c r="C1" s="138"/>
      <c r="D1" s="138"/>
      <c r="E1" s="138"/>
      <c r="F1" s="139">
        <f>inputPrYr!$C$10</f>
        <v>2013</v>
      </c>
    </row>
    <row r="2" spans="1:6" ht="15" customHeight="1">
      <c r="A2" s="28"/>
      <c r="B2" s="28"/>
      <c r="C2" s="27" t="s">
        <v>104</v>
      </c>
      <c r="D2" s="28"/>
      <c r="E2" s="28"/>
      <c r="F2" s="141"/>
    </row>
    <row r="3" spans="1:6" s="24" customFormat="1" ht="15" customHeight="1">
      <c r="A3" s="715" t="str">
        <f>CONCATENATE("To the Clerk of ",inputPrYr!D4,", State of Kansas")</f>
        <v>To the Clerk of County of Clay, State of Kansas</v>
      </c>
      <c r="B3" s="674"/>
      <c r="C3" s="674"/>
      <c r="D3" s="674"/>
      <c r="E3" s="674"/>
      <c r="F3" s="674"/>
    </row>
    <row r="4" spans="1:6" s="24" customFormat="1" ht="15" customHeight="1">
      <c r="A4" s="39" t="s">
        <v>664</v>
      </c>
      <c r="B4" s="38"/>
      <c r="C4" s="38"/>
      <c r="D4" s="38"/>
      <c r="E4" s="38"/>
      <c r="F4" s="38"/>
    </row>
    <row r="5" spans="1:6" s="24" customFormat="1" ht="15" customHeight="1">
      <c r="A5" s="28"/>
      <c r="B5" s="28"/>
      <c r="C5" s="521" t="str">
        <f>(inputPrYr!D3)</f>
        <v>City of Vining</v>
      </c>
      <c r="D5" s="28"/>
      <c r="E5" s="28"/>
      <c r="F5" s="28"/>
    </row>
    <row r="6" spans="1:6" s="24" customFormat="1" ht="15" customHeight="1">
      <c r="A6" s="39" t="s">
        <v>22</v>
      </c>
      <c r="B6" s="38"/>
      <c r="C6" s="38"/>
      <c r="D6" s="38"/>
      <c r="E6" s="38"/>
      <c r="F6" s="38"/>
    </row>
    <row r="7" spans="1:6" s="24" customFormat="1" ht="15" customHeight="1">
      <c r="A7" s="39" t="s">
        <v>23</v>
      </c>
      <c r="B7" s="38"/>
      <c r="C7" s="38"/>
      <c r="D7" s="38"/>
      <c r="E7" s="38"/>
      <c r="F7" s="38"/>
    </row>
    <row r="8" spans="1:6" s="24" customFormat="1" ht="15" customHeight="1">
      <c r="A8" s="39" t="str">
        <f>CONCATENATE("maximum expenditure for the various funds for the year ",D11,"; and")</f>
        <v>maximum expenditure for the various funds for the year 2013; and</v>
      </c>
      <c r="B8" s="38"/>
      <c r="C8" s="38"/>
      <c r="D8" s="38"/>
      <c r="E8" s="38"/>
      <c r="F8" s="38"/>
    </row>
    <row r="9" spans="1:6" s="24" customFormat="1" ht="15" customHeight="1">
      <c r="A9" s="39" t="str">
        <f>CONCATENATE("(3) the Amount(s) of ",E12," Ad Valorem Tax are within statutory limiations.")</f>
        <v>(3) the Amount(s) of Amount of 2012 Ad Valorem Tax Ad Valorem Tax are within statutory limiations.</v>
      </c>
      <c r="B9" s="38"/>
      <c r="C9" s="38"/>
      <c r="D9" s="38"/>
      <c r="E9" s="38"/>
      <c r="F9" s="38"/>
    </row>
    <row r="10" spans="1:6" ht="15" customHeight="1">
      <c r="A10" s="143"/>
      <c r="B10" s="144"/>
      <c r="C10" s="144"/>
      <c r="D10" s="145"/>
      <c r="E10" s="144"/>
      <c r="F10" s="144"/>
    </row>
    <row r="11" spans="1:6" ht="15" customHeight="1">
      <c r="A11" s="28"/>
      <c r="B11" s="28"/>
      <c r="C11" s="146"/>
      <c r="D11" s="147">
        <f>inputPrYr!$C$10</f>
        <v>2013</v>
      </c>
      <c r="E11" s="148" t="s">
        <v>48</v>
      </c>
      <c r="F11" s="149"/>
    </row>
    <row r="12" spans="1:6" ht="16.5" customHeight="1">
      <c r="A12" s="144"/>
      <c r="B12" s="28"/>
      <c r="C12" s="150"/>
      <c r="D12" s="151" t="s">
        <v>24</v>
      </c>
      <c r="E12" s="716" t="str">
        <f>CONCATENATE("Amount of ",$F$1-1," Ad Valorem Tax")</f>
        <v>Amount of 2012 Ad Valorem Tax</v>
      </c>
      <c r="F12" s="152" t="s">
        <v>25</v>
      </c>
    </row>
    <row r="13" spans="1:6" ht="14.25" customHeight="1">
      <c r="A13" s="28"/>
      <c r="B13" s="28"/>
      <c r="C13" s="152" t="s">
        <v>26</v>
      </c>
      <c r="D13" s="153" t="s">
        <v>277</v>
      </c>
      <c r="E13" s="717"/>
      <c r="F13" s="153" t="s">
        <v>27</v>
      </c>
    </row>
    <row r="14" spans="1:6" ht="12.75" customHeight="1">
      <c r="A14" s="154" t="s">
        <v>28</v>
      </c>
      <c r="B14" s="74"/>
      <c r="C14" s="155" t="s">
        <v>29</v>
      </c>
      <c r="D14" s="155" t="s">
        <v>754</v>
      </c>
      <c r="E14" s="681"/>
      <c r="F14" s="155" t="s">
        <v>31</v>
      </c>
    </row>
    <row r="15" spans="1:6" ht="15" customHeight="1">
      <c r="A15" s="113" t="s">
        <v>193</v>
      </c>
      <c r="B15" s="156">
        <f>inputPrYr!$C$10</f>
        <v>2013</v>
      </c>
      <c r="C15" s="157">
        <v>2</v>
      </c>
      <c r="D15" s="36"/>
      <c r="E15" s="36"/>
      <c r="F15" s="111"/>
    </row>
    <row r="16" spans="1:6" ht="15" customHeight="1">
      <c r="A16" s="151" t="s">
        <v>275</v>
      </c>
      <c r="B16" s="158"/>
      <c r="C16" s="157">
        <v>3</v>
      </c>
      <c r="D16" s="36"/>
      <c r="E16" s="36"/>
      <c r="F16" s="146"/>
    </row>
    <row r="17" spans="1:6" ht="15" customHeight="1">
      <c r="A17" s="113" t="s">
        <v>167</v>
      </c>
      <c r="B17" s="80"/>
      <c r="C17" s="159">
        <v>4</v>
      </c>
      <c r="D17" s="36"/>
      <c r="E17" s="36"/>
      <c r="F17" s="146"/>
    </row>
    <row r="18" spans="1:6" ht="15" customHeight="1">
      <c r="A18" s="113" t="s">
        <v>32</v>
      </c>
      <c r="B18" s="80"/>
      <c r="C18" s="159">
        <v>5</v>
      </c>
      <c r="D18" s="36"/>
      <c r="E18" s="36"/>
      <c r="F18" s="146"/>
    </row>
    <row r="19" spans="1:7" ht="15" customHeight="1">
      <c r="A19" s="113" t="s">
        <v>33</v>
      </c>
      <c r="B19" s="80"/>
      <c r="C19" s="159">
        <v>6</v>
      </c>
      <c r="D19" s="36"/>
      <c r="E19" s="36"/>
      <c r="F19" s="146"/>
      <c r="G19" s="160"/>
    </row>
    <row r="20" spans="1:7" ht="15" customHeight="1">
      <c r="A20" s="268">
        <f>IF(inputPrYr!D24="","","Computation to Determine State Library Grant")</f>
      </c>
      <c r="B20" s="74"/>
      <c r="C20" s="159">
        <f>IF(inputPrYr!D24="","",'Library Grant'!F40)</f>
      </c>
      <c r="D20" s="36"/>
      <c r="E20" s="36"/>
      <c r="F20" s="146"/>
      <c r="G20" s="160"/>
    </row>
    <row r="21" spans="1:6" ht="15" customHeight="1">
      <c r="A21" s="161" t="s">
        <v>34</v>
      </c>
      <c r="B21" s="162" t="s">
        <v>35</v>
      </c>
      <c r="C21" s="163"/>
      <c r="D21" s="36"/>
      <c r="E21" s="36"/>
      <c r="F21" s="146"/>
    </row>
    <row r="22" spans="1:6" ht="15" customHeight="1">
      <c r="A22" s="50" t="s">
        <v>17</v>
      </c>
      <c r="B22" s="164" t="str">
        <f>inputPrYr!C22</f>
        <v>12-101a</v>
      </c>
      <c r="C22" s="157">
        <f>general!C70</f>
        <v>7</v>
      </c>
      <c r="D22" s="271">
        <f>IF((general!$E$61)&lt;&gt;0,general!$E$61,"  ")</f>
        <v>42150</v>
      </c>
      <c r="E22" s="589">
        <f>IF((general!$E$68)&lt;&gt;0,(general!$E$68),0)</f>
        <v>8052.990000000005</v>
      </c>
      <c r="F22" s="590">
        <f aca="true" t="shared" si="0" ref="F22:F28">IF($B$46=0,"",ROUND(E22/$B$46*1000,3))</f>
      </c>
    </row>
    <row r="23" spans="1:6" ht="15" customHeight="1">
      <c r="A23" s="50" t="s">
        <v>326</v>
      </c>
      <c r="B23" s="164" t="s">
        <v>192</v>
      </c>
      <c r="C23" s="157" t="str">
        <f>IF('DebtSvs-Library'!C81&gt;0,'DebtSvs-Library'!C81," ")</f>
        <v> </v>
      </c>
      <c r="D23" s="271" t="str">
        <f>IF(('DebtSvs-Library'!$E$33)&lt;&gt;0,'DebtSvs-Library'!$E$33,"  ")</f>
        <v>  </v>
      </c>
      <c r="E23" s="589">
        <f>IF(('DebtSvs-Library'!$E$40)&lt;&gt;0,('DebtSvs-Library'!$E$40),0)</f>
        <v>0</v>
      </c>
      <c r="F23" s="590">
        <f t="shared" si="0"/>
      </c>
    </row>
    <row r="24" spans="1:6" ht="15" customHeight="1">
      <c r="A24" s="72" t="str">
        <f>IF((inputPrYr!$B24&gt;"  "),(inputPrYr!$B24),"  ")</f>
        <v>Library</v>
      </c>
      <c r="B24" s="164" t="str">
        <f>IF((inputPrYr!$C24&gt;"  "),(inputPrYr!$C24),"  ")</f>
        <v>12-1220</v>
      </c>
      <c r="C24" s="157" t="str">
        <f>IF('DebtSvs-Library'!C81&gt;0,'DebtSvs-Library'!C81," ")</f>
        <v> </v>
      </c>
      <c r="D24" s="271" t="str">
        <f>IF(('DebtSvs-Library'!$E$73)&lt;&gt;0,('DebtSvs-Library'!$E$73),"  ")</f>
        <v>  </v>
      </c>
      <c r="E24" s="589">
        <f>IF(('DebtSvs-Library'!$E$80)&lt;&gt;0,('DebtSvs-Library'!$E$80),0)</f>
        <v>0</v>
      </c>
      <c r="F24" s="590">
        <f t="shared" si="0"/>
      </c>
    </row>
    <row r="25" spans="1:6" ht="15" customHeight="1">
      <c r="A25" s="72" t="str">
        <f>IF((inputPrYr!$B26&gt;"  "),(inputPrYr!$B26),"  ")</f>
        <v>  </v>
      </c>
      <c r="B25" s="164" t="str">
        <f>IF((inputPrYr!$C26&gt;"  "),(inputPrYr!$C26),"  ")</f>
        <v>  </v>
      </c>
      <c r="C25" s="157" t="str">
        <f>IF('levy page9'!C81&gt;0,'levy page9'!C81," ")</f>
        <v> </v>
      </c>
      <c r="D25" s="271" t="str">
        <f>IF(('levy page9'!$E$33)&lt;&gt;0,('levy page9'!$E$33),"  ")</f>
        <v>  </v>
      </c>
      <c r="E25" s="589">
        <f>IF(('levy page9'!$E$40)&lt;&gt;0,('levy page9'!$E$40),0)</f>
        <v>0</v>
      </c>
      <c r="F25" s="590">
        <f t="shared" si="0"/>
      </c>
    </row>
    <row r="26" spans="1:6" ht="15" customHeight="1">
      <c r="A26" s="72" t="str">
        <f>IF((inputPrYr!$B27&gt;"  "),(inputPrYr!$B27),"  ")</f>
        <v>  </v>
      </c>
      <c r="B26" s="164" t="str">
        <f>IF((inputPrYr!$C27&gt;"  "),(inputPrYr!$C27),"  ")</f>
        <v>  </v>
      </c>
      <c r="C26" s="157" t="str">
        <f>IF('levy page9'!C81&gt;0,'levy page9'!C81," ")</f>
        <v> </v>
      </c>
      <c r="D26" s="271" t="str">
        <f>IF(('levy page9'!$E$73)&lt;&gt;0,('levy page9'!$E$73),"  ")</f>
        <v>  </v>
      </c>
      <c r="E26" s="589">
        <f>IF(('levy page9'!$E$80)&lt;&gt;0,('levy page9'!$E$80),0)</f>
        <v>0</v>
      </c>
      <c r="F26" s="590">
        <f t="shared" si="0"/>
      </c>
    </row>
    <row r="27" spans="1:6" ht="15" customHeight="1">
      <c r="A27" s="72" t="str">
        <f>IF((inputPrYr!$B28&gt;"  "),(inputPrYr!$B28),"  ")</f>
        <v>  </v>
      </c>
      <c r="B27" s="164" t="str">
        <f>IF((inputPrYr!$C28&gt;"  "),(inputPrYr!$C28),"  ")</f>
        <v>  </v>
      </c>
      <c r="C27" s="157" t="str">
        <f>IF('levy page10'!C81&gt;0,'levy page10'!C81," ")</f>
        <v> </v>
      </c>
      <c r="D27" s="271" t="str">
        <f>IF(('levy page10'!$E$33)&lt;&gt;0,('levy page10'!$E$33),"  ")</f>
        <v>  </v>
      </c>
      <c r="E27" s="589">
        <f>IF(('levy page10'!$E$40)&lt;&gt;0,('levy page10'!$E$40),0)</f>
        <v>0</v>
      </c>
      <c r="F27" s="590">
        <f t="shared" si="0"/>
      </c>
    </row>
    <row r="28" spans="1:6" ht="15" customHeight="1">
      <c r="A28" s="72" t="str">
        <f>IF((inputPrYr!B29&gt;"  "),(inputPrYr!B29),"  ")</f>
        <v>  </v>
      </c>
      <c r="B28" s="164" t="str">
        <f>IF((inputPrYr!$C29&gt;"  "),(inputPrYr!$C29),"  ")</f>
        <v>  </v>
      </c>
      <c r="C28" s="157" t="str">
        <f>IF('levy page10'!C81&gt;0,'levy page10'!C81," ")</f>
        <v> </v>
      </c>
      <c r="D28" s="271" t="str">
        <f>IF(('levy page10'!$E$73)&lt;&gt;0,('levy page10'!$E$73),"  ")</f>
        <v>  </v>
      </c>
      <c r="E28" s="589">
        <f>IF(('levy page10'!$E$80)&lt;&gt;0,('levy page10'!$E$80),0)</f>
        <v>0</v>
      </c>
      <c r="F28" s="590">
        <f t="shared" si="0"/>
      </c>
    </row>
    <row r="29" spans="1:6" ht="15" customHeight="1">
      <c r="A29" s="166" t="str">
        <f>IF((inputPrYr!$B33&gt;"  "),(inputPrYr!$B33),"  ")</f>
        <v>Special Highway</v>
      </c>
      <c r="B29" s="111"/>
      <c r="C29" s="159">
        <f>IF(SpecHwy!C68&gt;0,SpecHwy!C68," ")</f>
        <v>8</v>
      </c>
      <c r="D29" s="271">
        <f>IF((SpecHwy!$E$31)&lt;&gt;0,(SpecHwy!$E$31),"  ")</f>
        <v>4550</v>
      </c>
      <c r="E29" s="591"/>
      <c r="F29" s="591"/>
    </row>
    <row r="30" spans="1:6" ht="15" customHeight="1">
      <c r="A30" s="166" t="str">
        <f>IF((inputPrYr!$B34&gt;"  "),(inputPrYr!$B34),"  ")</f>
        <v>Parks &amp; Recreation</v>
      </c>
      <c r="B30" s="80"/>
      <c r="C30" s="159">
        <f>IF(SpecHwy!C68&gt;0,SpecHwy!C68," ")</f>
        <v>8</v>
      </c>
      <c r="D30" s="271">
        <f>IF((SpecHwy!$E$62)&lt;&gt;0,(SpecHwy!$E$62),"  ")</f>
        <v>2650</v>
      </c>
      <c r="E30" s="591"/>
      <c r="F30" s="591"/>
    </row>
    <row r="31" spans="1:6" ht="15" customHeight="1">
      <c r="A31" s="167" t="str">
        <f>IF((inputPrYr!$B35&gt;"  "),(inputPrYr!$B35),"  ")</f>
        <v>  </v>
      </c>
      <c r="B31" s="80"/>
      <c r="C31" s="159" t="str">
        <f>IF('no levy page12'!C66&gt;0,'no levy page12'!C66," ")</f>
        <v> </v>
      </c>
      <c r="D31" s="271" t="str">
        <f>IF(('no levy page12'!$E$29)&lt;&gt;0,('no levy page12'!$E$29),"  ")</f>
        <v>  </v>
      </c>
      <c r="E31" s="591"/>
      <c r="F31" s="591"/>
    </row>
    <row r="32" spans="1:6" ht="15" customHeight="1">
      <c r="A32" s="167" t="str">
        <f>IF((inputPrYr!$B36&gt;"  "),(inputPrYr!$B36),"  ")</f>
        <v>  </v>
      </c>
      <c r="B32" s="146"/>
      <c r="C32" s="159" t="str">
        <f>IF('no levy page12'!C66&gt;0,'no levy page12'!C66," ")</f>
        <v> </v>
      </c>
      <c r="D32" s="271" t="str">
        <f>IF(('no levy page12'!$E$60)&lt;&gt;0,('no levy page12'!$E$60),"  ")</f>
        <v>  </v>
      </c>
      <c r="E32" s="591"/>
      <c r="F32" s="591"/>
    </row>
    <row r="33" spans="1:6" ht="15" customHeight="1">
      <c r="A33" s="167" t="str">
        <f>IF((inputPrYr!$B37&gt;"  "),(inputPrYr!$B37),"  ")</f>
        <v>  </v>
      </c>
      <c r="B33" s="80"/>
      <c r="C33" s="159" t="str">
        <f>IF('no levy page13'!C66&gt;0,'no levy page13'!C66," ")</f>
        <v> </v>
      </c>
      <c r="D33" s="271" t="str">
        <f>IF(('no levy page13'!$E$29)&lt;&gt;0,('no levy page13'!$E$29),"  ")</f>
        <v>  </v>
      </c>
      <c r="E33" s="591"/>
      <c r="F33" s="591"/>
    </row>
    <row r="34" spans="1:6" ht="15" customHeight="1">
      <c r="A34" s="167" t="str">
        <f>IF((inputPrYr!$B38&gt;"  "),(inputPrYr!$B38),"  ")</f>
        <v>  </v>
      </c>
      <c r="B34" s="74"/>
      <c r="C34" s="159" t="str">
        <f>IF('no levy page13'!C66&gt;0,'no levy page13'!C66," ")</f>
        <v> </v>
      </c>
      <c r="D34" s="271" t="str">
        <f>IF(('no levy page13'!$E$60)&lt;&gt;0,('no levy page13'!$E$60),"  ")</f>
        <v>  </v>
      </c>
      <c r="E34" s="591"/>
      <c r="F34" s="591"/>
    </row>
    <row r="35" spans="1:6" ht="15" customHeight="1">
      <c r="A35" s="167" t="str">
        <f>IF((inputPrYr!$B40&gt;"  "),(inputPrYr!$B40),"  ")</f>
        <v>  </v>
      </c>
      <c r="B35" s="146"/>
      <c r="C35" s="159" t="str">
        <f>IF(Sinnolevy14!C53&gt;0,Sinnolevy14!C53," ")</f>
        <v> </v>
      </c>
      <c r="D35" s="271" t="str">
        <f>IF((Sinnolevy14!$E$47)&lt;&gt;0,(Sinnolevy14!$E$47),"  ")</f>
        <v>  </v>
      </c>
      <c r="E35" s="591"/>
      <c r="F35" s="591"/>
    </row>
    <row r="36" spans="1:6" ht="15" customHeight="1" thickBot="1">
      <c r="A36" s="166" t="str">
        <f>IF((inputPrYr!$B43&gt;"  "),(nonbud!$A3),"  ")</f>
        <v>Non-Budgeted Funds</v>
      </c>
      <c r="B36" s="80"/>
      <c r="C36" s="159">
        <f>IF(nonbud!F33&gt;0,nonbud!F33,"")</f>
        <v>9</v>
      </c>
      <c r="D36" s="592"/>
      <c r="E36" s="593"/>
      <c r="F36" s="593"/>
    </row>
    <row r="37" spans="1:6" ht="15" customHeight="1" thickBot="1">
      <c r="A37" s="169" t="s">
        <v>760</v>
      </c>
      <c r="B37" s="80"/>
      <c r="C37" s="170" t="s">
        <v>36</v>
      </c>
      <c r="D37" s="594">
        <f>SUM(D22:D35)</f>
        <v>49350</v>
      </c>
      <c r="E37" s="594">
        <f>SUM(E22:E35)</f>
        <v>8052.990000000005</v>
      </c>
      <c r="F37" s="595">
        <f>IF(SUM(F22:F35)=0,"",SUM(F22:F35))</f>
      </c>
    </row>
    <row r="38" spans="1:6" ht="15" customHeight="1" thickTop="1">
      <c r="A38" s="172" t="s">
        <v>246</v>
      </c>
      <c r="B38" s="173"/>
      <c r="C38" s="408"/>
      <c r="D38" s="522"/>
      <c r="E38" s="523" t="str">
        <f>IF(E34&gt;computation!J37,"Yes","No")</f>
        <v>No</v>
      </c>
      <c r="F38" s="28"/>
    </row>
    <row r="39" spans="1:6" ht="15" customHeight="1">
      <c r="A39" s="113" t="s">
        <v>235</v>
      </c>
      <c r="B39" s="74"/>
      <c r="C39" s="157">
        <f>IF(summ!D51&gt;0,summ!D51,"")</f>
        <v>10</v>
      </c>
      <c r="D39" s="171"/>
      <c r="E39" s="28"/>
      <c r="F39" s="28"/>
    </row>
    <row r="40" spans="1:6" ht="15" customHeight="1">
      <c r="A40" s="113" t="s">
        <v>11</v>
      </c>
      <c r="B40" s="80"/>
      <c r="C40" s="157">
        <f>IF(nhood!C35&gt;0,nhood!C35,"")</f>
        <v>11</v>
      </c>
      <c r="D40" s="171"/>
      <c r="E40" s="28"/>
      <c r="F40" s="28"/>
    </row>
    <row r="41" spans="1:6" ht="15" customHeight="1">
      <c r="A41" s="174" t="s">
        <v>272</v>
      </c>
      <c r="B41" s="718" t="s">
        <v>172</v>
      </c>
      <c r="C41" s="719"/>
      <c r="D41" s="28"/>
      <c r="E41" s="28"/>
      <c r="F41" s="28"/>
    </row>
    <row r="42" spans="1:6" ht="15" customHeight="1">
      <c r="A42" s="175" t="str">
        <f>inputPrYr!D4</f>
        <v>County of Clay</v>
      </c>
      <c r="B42" s="720"/>
      <c r="C42" s="721"/>
      <c r="D42" s="28"/>
      <c r="E42" s="28"/>
      <c r="F42" s="28"/>
    </row>
    <row r="43" spans="1:6" ht="15" customHeight="1">
      <c r="A43" s="50" t="str">
        <f>inputPrYr!D6</f>
        <v>County of Washington</v>
      </c>
      <c r="B43" s="720"/>
      <c r="C43" s="721"/>
      <c r="D43" s="28"/>
      <c r="E43" s="28"/>
      <c r="F43" s="28"/>
    </row>
    <row r="44" spans="1:6" ht="15" customHeight="1">
      <c r="A44" s="50">
        <f>inputPrYr!D7</f>
        <v>0</v>
      </c>
      <c r="B44" s="720"/>
      <c r="C44" s="721"/>
      <c r="D44" s="28"/>
      <c r="E44" s="28"/>
      <c r="F44" s="28"/>
    </row>
    <row r="45" spans="1:6" ht="15" customHeight="1">
      <c r="A45" s="50">
        <f>inputPrYr!D8</f>
        <v>0</v>
      </c>
      <c r="B45" s="720"/>
      <c r="C45" s="721"/>
      <c r="D45" s="28"/>
      <c r="E45" s="28"/>
      <c r="F45" s="28"/>
    </row>
    <row r="46" spans="1:6" ht="15" customHeight="1">
      <c r="A46" s="175" t="s">
        <v>265</v>
      </c>
      <c r="B46" s="722">
        <f>SUM(B42:C45)</f>
        <v>0</v>
      </c>
      <c r="C46" s="723"/>
      <c r="D46" s="28"/>
      <c r="E46" s="28"/>
      <c r="F46" s="28"/>
    </row>
    <row r="47" spans="1:6" ht="15" customHeight="1">
      <c r="A47" s="36" t="s">
        <v>37</v>
      </c>
      <c r="B47" s="710" t="str">
        <f>CONCATENATE("Nov 1, ",F1-1," Total Accessed Valuation")</f>
        <v>Nov 1, 2012 Total Accessed Valuation</v>
      </c>
      <c r="C47" s="711"/>
      <c r="D47" s="36"/>
      <c r="E47" s="176"/>
      <c r="F47" s="176"/>
    </row>
    <row r="48" spans="1:6" ht="15" customHeight="1">
      <c r="A48" s="368"/>
      <c r="B48" s="712"/>
      <c r="C48" s="713"/>
      <c r="D48" s="36"/>
      <c r="E48" s="488"/>
      <c r="F48" s="36"/>
    </row>
    <row r="49" spans="1:6" ht="15" customHeight="1">
      <c r="A49" s="369"/>
      <c r="B49" s="36"/>
      <c r="C49" s="28"/>
      <c r="D49" s="36" t="s">
        <v>849</v>
      </c>
      <c r="E49" s="488"/>
      <c r="F49" s="36"/>
    </row>
    <row r="50" spans="1:6" ht="15" customHeight="1">
      <c r="A50" s="28" t="s">
        <v>190</v>
      </c>
      <c r="B50" s="36"/>
      <c r="C50" s="34"/>
      <c r="D50" s="36"/>
      <c r="E50" s="36"/>
      <c r="F50" s="36"/>
    </row>
    <row r="51" spans="1:6" ht="15" customHeight="1">
      <c r="A51" s="368"/>
      <c r="B51" s="34"/>
      <c r="C51" s="36"/>
      <c r="D51" s="36" t="s">
        <v>849</v>
      </c>
      <c r="E51" s="208"/>
      <c r="F51" s="208"/>
    </row>
    <row r="52" spans="1:6" ht="15" customHeight="1">
      <c r="A52" s="369"/>
      <c r="B52" s="34"/>
      <c r="C52" s="36"/>
      <c r="D52" s="28"/>
      <c r="E52" s="25"/>
      <c r="F52" s="25"/>
    </row>
    <row r="53" spans="1:6" ht="15" customHeight="1">
      <c r="A53" s="36" t="s">
        <v>850</v>
      </c>
      <c r="B53" s="304"/>
      <c r="C53" s="36"/>
      <c r="D53" s="36" t="s">
        <v>849</v>
      </c>
      <c r="E53" s="208"/>
      <c r="F53" s="208"/>
    </row>
    <row r="54" spans="1:6" ht="15" customHeight="1">
      <c r="A54" s="368"/>
      <c r="B54" s="28"/>
      <c r="C54" s="36"/>
      <c r="D54" s="28"/>
      <c r="E54" s="25"/>
      <c r="F54" s="25"/>
    </row>
    <row r="55" spans="1:6" ht="15" customHeight="1">
      <c r="A55" s="33" t="s">
        <v>234</v>
      </c>
      <c r="B55" s="177">
        <f>inputPrYr!$C$10-1</f>
        <v>2012</v>
      </c>
      <c r="C55" s="36"/>
      <c r="D55" s="36" t="s">
        <v>849</v>
      </c>
      <c r="E55" s="208"/>
      <c r="F55" s="208"/>
    </row>
    <row r="56" spans="1:6" ht="15" customHeight="1">
      <c r="A56" s="28"/>
      <c r="B56" s="28"/>
      <c r="C56" s="208"/>
      <c r="D56" s="25"/>
      <c r="E56" s="178"/>
      <c r="F56" s="179"/>
    </row>
    <row r="57" spans="1:6" ht="15" customHeight="1">
      <c r="A57" s="520"/>
      <c r="B57" s="28"/>
      <c r="C57" s="36"/>
      <c r="D57" s="36" t="s">
        <v>849</v>
      </c>
      <c r="E57" s="208"/>
      <c r="F57" s="208"/>
    </row>
    <row r="58" spans="1:6" ht="15" customHeight="1">
      <c r="A58" s="48" t="s">
        <v>39</v>
      </c>
      <c r="B58" s="28"/>
      <c r="C58" s="180"/>
      <c r="D58" s="714" t="s">
        <v>38</v>
      </c>
      <c r="E58" s="714"/>
      <c r="F58" s="714"/>
    </row>
    <row r="59" spans="1:2" ht="15" customHeight="1">
      <c r="A59" s="10"/>
      <c r="B59" s="181"/>
    </row>
    <row r="61" ht="15" customHeight="1">
      <c r="D61" s="182"/>
    </row>
    <row r="62" spans="1:6" ht="15" customHeight="1">
      <c r="A62" s="10"/>
      <c r="B62" s="10"/>
      <c r="C62" s="10"/>
      <c r="D62" s="10"/>
      <c r="E62" s="10"/>
      <c r="F62" s="10"/>
    </row>
    <row r="63" spans="1:6" ht="15" customHeight="1">
      <c r="A63" s="10"/>
      <c r="B63" s="10"/>
      <c r="C63" s="10"/>
      <c r="D63" s="10"/>
      <c r="E63" s="10"/>
      <c r="F63" s="10"/>
    </row>
    <row r="64" ht="15" customHeight="1">
      <c r="A64" s="10"/>
    </row>
    <row r="65" ht="15" customHeight="1">
      <c r="A65" s="10"/>
    </row>
  </sheetData>
  <sheetProtection sheet="1"/>
  <mergeCells count="10">
    <mergeCell ref="B47:C48"/>
    <mergeCell ref="D58:F58"/>
    <mergeCell ref="A3:F3"/>
    <mergeCell ref="E12:E14"/>
    <mergeCell ref="B41:C41"/>
    <mergeCell ref="B42:C42"/>
    <mergeCell ref="B43:C43"/>
    <mergeCell ref="B44:C44"/>
    <mergeCell ref="B45:C45"/>
    <mergeCell ref="B46:C46"/>
  </mergeCells>
  <printOptions/>
  <pageMargins left="0.5" right="0.5" top="0.5" bottom="0.5" header="0" footer="0.5"/>
  <pageSetup blackAndWhite="1" fitToHeight="1" fitToWidth="1" horizontalDpi="600" verticalDpi="60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6">
      <selection activeCell="J5" sqref="J5"/>
    </sheetView>
  </sheetViews>
  <sheetFormatPr defaultColWidth="8.796875" defaultRowHeight="15.75" customHeight="1"/>
  <cols>
    <col min="1" max="2" width="3.296875" style="10" customWidth="1"/>
    <col min="3" max="3" width="31.296875" style="10" customWidth="1"/>
    <col min="4" max="4" width="2.296875" style="10" customWidth="1"/>
    <col min="5" max="5" width="15.796875" style="10" customWidth="1"/>
    <col min="6" max="6" width="2" style="10" customWidth="1"/>
    <col min="7" max="7" width="15.796875" style="10" customWidth="1"/>
    <col min="8" max="8" width="1.8984375" style="10" customWidth="1"/>
    <col min="9" max="9" width="1.796875" style="10" customWidth="1"/>
    <col min="10" max="10" width="15.796875" style="10" customWidth="1"/>
    <col min="11" max="16384" width="8.8984375" style="10" customWidth="1"/>
  </cols>
  <sheetData>
    <row r="1" spans="1:10" ht="15.75" customHeight="1">
      <c r="A1" s="28"/>
      <c r="B1" s="28"/>
      <c r="C1" s="183" t="str">
        <f>inputPrYr!D3</f>
        <v>City of Vining</v>
      </c>
      <c r="D1" s="28"/>
      <c r="E1" s="28"/>
      <c r="F1" s="28"/>
      <c r="G1" s="28"/>
      <c r="H1" s="28"/>
      <c r="I1" s="28"/>
      <c r="J1" s="139">
        <f>inputPrYr!$C$10</f>
        <v>2013</v>
      </c>
    </row>
    <row r="2" spans="1:10" ht="15.75" customHeight="1">
      <c r="A2" s="28"/>
      <c r="B2" s="28"/>
      <c r="C2" s="28"/>
      <c r="D2" s="28"/>
      <c r="E2" s="28"/>
      <c r="F2" s="28"/>
      <c r="G2" s="28"/>
      <c r="H2" s="28"/>
      <c r="I2" s="28"/>
      <c r="J2" s="28"/>
    </row>
    <row r="3" spans="1:10" ht="15.75">
      <c r="A3" s="726" t="str">
        <f>CONCATENATE("Computation to Determine Limit for ",J1)</f>
        <v>Computation to Determine Limit for 2013</v>
      </c>
      <c r="B3" s="727"/>
      <c r="C3" s="727"/>
      <c r="D3" s="727"/>
      <c r="E3" s="727"/>
      <c r="F3" s="727"/>
      <c r="G3" s="727"/>
      <c r="H3" s="727"/>
      <c r="I3" s="727"/>
      <c r="J3" s="727"/>
    </row>
    <row r="4" spans="1:10" ht="15.75">
      <c r="A4" s="28"/>
      <c r="B4" s="28"/>
      <c r="C4" s="28"/>
      <c r="D4" s="28"/>
      <c r="E4" s="727"/>
      <c r="F4" s="727"/>
      <c r="G4" s="727"/>
      <c r="H4" s="184"/>
      <c r="I4" s="28"/>
      <c r="J4" s="185" t="s">
        <v>115</v>
      </c>
    </row>
    <row r="5" spans="1:10" ht="15.75">
      <c r="A5" s="186" t="s">
        <v>116</v>
      </c>
      <c r="B5" s="28" t="str">
        <f>CONCATENATE("Total Tax Levy Amount in ",J1-1," Budget")</f>
        <v>Total Tax Levy Amount in 2012 Budget</v>
      </c>
      <c r="C5" s="28"/>
      <c r="D5" s="28"/>
      <c r="E5" s="53"/>
      <c r="F5" s="53"/>
      <c r="G5" s="53"/>
      <c r="H5" s="187" t="s">
        <v>117</v>
      </c>
      <c r="I5" s="53" t="s">
        <v>118</v>
      </c>
      <c r="J5" s="188">
        <f>inputPrYr!E30</f>
        <v>8959</v>
      </c>
    </row>
    <row r="6" spans="1:10" ht="15.75">
      <c r="A6" s="186" t="s">
        <v>119</v>
      </c>
      <c r="B6" s="28" t="str">
        <f>CONCATENATE("Debt Service Levy in ",J1-1," Budget")</f>
        <v>Debt Service Levy in 2012 Budget</v>
      </c>
      <c r="C6" s="28"/>
      <c r="D6" s="28"/>
      <c r="E6" s="53"/>
      <c r="F6" s="53"/>
      <c r="G6" s="53"/>
      <c r="H6" s="187" t="s">
        <v>120</v>
      </c>
      <c r="I6" s="53" t="s">
        <v>118</v>
      </c>
      <c r="J6" s="189">
        <f>inputPrYr!$E$23</f>
        <v>0</v>
      </c>
    </row>
    <row r="7" spans="1:10" ht="15.75">
      <c r="A7" s="186" t="s">
        <v>144</v>
      </c>
      <c r="B7" s="46" t="s">
        <v>147</v>
      </c>
      <c r="C7" s="28"/>
      <c r="D7" s="28"/>
      <c r="E7" s="53"/>
      <c r="F7" s="53"/>
      <c r="G7" s="53"/>
      <c r="H7" s="53"/>
      <c r="I7" s="53" t="s">
        <v>118</v>
      </c>
      <c r="J7" s="58">
        <f>J5-J6</f>
        <v>8959</v>
      </c>
    </row>
    <row r="8" spans="1:10" ht="15.75">
      <c r="A8" s="28"/>
      <c r="B8" s="28"/>
      <c r="C8" s="28"/>
      <c r="D8" s="28"/>
      <c r="E8" s="53"/>
      <c r="F8" s="53"/>
      <c r="G8" s="53"/>
      <c r="H8" s="53"/>
      <c r="I8" s="53"/>
      <c r="J8" s="53"/>
    </row>
    <row r="9" spans="1:10" ht="15.75">
      <c r="A9" s="28"/>
      <c r="B9" s="46" t="str">
        <f>CONCATENATE(J1-1," Valuation Information for Valuation Adjustments:")</f>
        <v>2012 Valuation Information for Valuation Adjustments:</v>
      </c>
      <c r="C9" s="28"/>
      <c r="D9" s="28"/>
      <c r="E9" s="53"/>
      <c r="F9" s="53"/>
      <c r="G9" s="53"/>
      <c r="H9" s="53"/>
      <c r="I9" s="53"/>
      <c r="J9" s="53"/>
    </row>
    <row r="10" spans="1:10" ht="15.75">
      <c r="A10" s="28"/>
      <c r="B10" s="28"/>
      <c r="C10" s="46"/>
      <c r="D10" s="28"/>
      <c r="E10" s="53"/>
      <c r="F10" s="53"/>
      <c r="G10" s="53"/>
      <c r="H10" s="53"/>
      <c r="I10" s="53"/>
      <c r="J10" s="53"/>
    </row>
    <row r="11" spans="1:10" ht="15.75">
      <c r="A11" s="186" t="s">
        <v>121</v>
      </c>
      <c r="B11" s="46" t="str">
        <f>CONCATENATE("New Improvements for ",J1-1," :")</f>
        <v>New Improvements for 2012 :</v>
      </c>
      <c r="C11" s="28"/>
      <c r="D11" s="28"/>
      <c r="E11" s="187"/>
      <c r="F11" s="187" t="s">
        <v>117</v>
      </c>
      <c r="G11" s="188">
        <f>inputOth!C14</f>
        <v>0</v>
      </c>
      <c r="H11" s="190"/>
      <c r="I11" s="53"/>
      <c r="J11" s="53"/>
    </row>
    <row r="12" spans="1:10" ht="15.75">
      <c r="A12" s="186"/>
      <c r="B12" s="191"/>
      <c r="C12" s="28"/>
      <c r="D12" s="28"/>
      <c r="E12" s="187"/>
      <c r="F12" s="187"/>
      <c r="G12" s="190"/>
      <c r="H12" s="190"/>
      <c r="I12" s="53"/>
      <c r="J12" s="53"/>
    </row>
    <row r="13" spans="1:10" ht="15.75">
      <c r="A13" s="186" t="s">
        <v>122</v>
      </c>
      <c r="B13" s="46" t="str">
        <f>CONCATENATE("Increase in Personal Property for ",J1-1," :")</f>
        <v>Increase in Personal Property for 2012 :</v>
      </c>
      <c r="C13" s="28"/>
      <c r="D13" s="28"/>
      <c r="E13" s="187"/>
      <c r="F13" s="187"/>
      <c r="G13" s="190"/>
      <c r="H13" s="190"/>
      <c r="I13" s="53"/>
      <c r="J13" s="53"/>
    </row>
    <row r="14" spans="1:10" ht="15.75">
      <c r="A14" s="192"/>
      <c r="B14" s="28" t="s">
        <v>123</v>
      </c>
      <c r="C14" s="28" t="str">
        <f>CONCATENATE("Personal Property ",J1-1)</f>
        <v>Personal Property 2012</v>
      </c>
      <c r="D14" s="191" t="s">
        <v>117</v>
      </c>
      <c r="E14" s="188">
        <f>inputOth!D14</f>
        <v>20942</v>
      </c>
      <c r="F14" s="187"/>
      <c r="G14" s="53"/>
      <c r="H14" s="53"/>
      <c r="I14" s="190"/>
      <c r="J14" s="53"/>
    </row>
    <row r="15" spans="1:10" ht="15.75">
      <c r="A15" s="191"/>
      <c r="B15" s="28" t="s">
        <v>124</v>
      </c>
      <c r="C15" s="28" t="str">
        <f>CONCATENATE("Personal Property ",J1-2)</f>
        <v>Personal Property 2011</v>
      </c>
      <c r="D15" s="191" t="s">
        <v>120</v>
      </c>
      <c r="E15" s="58">
        <f>inputOth!F14</f>
        <v>14026</v>
      </c>
      <c r="F15" s="187"/>
      <c r="G15" s="190"/>
      <c r="H15" s="190"/>
      <c r="I15" s="53"/>
      <c r="J15" s="53"/>
    </row>
    <row r="16" spans="1:10" ht="15.75">
      <c r="A16" s="191"/>
      <c r="B16" s="28" t="s">
        <v>125</v>
      </c>
      <c r="C16" s="28" t="s">
        <v>148</v>
      </c>
      <c r="D16" s="28"/>
      <c r="E16" s="53"/>
      <c r="F16" s="53" t="s">
        <v>117</v>
      </c>
      <c r="G16" s="188">
        <f>IF(E14&gt;E15,E14-E15,0)</f>
        <v>6916</v>
      </c>
      <c r="H16" s="190"/>
      <c r="I16" s="53"/>
      <c r="J16" s="53"/>
    </row>
    <row r="17" spans="1:10" ht="15.75">
      <c r="A17" s="191"/>
      <c r="B17" s="191"/>
      <c r="C17" s="28"/>
      <c r="D17" s="28"/>
      <c r="E17" s="53"/>
      <c r="F17" s="53"/>
      <c r="G17" s="190" t="s">
        <v>138</v>
      </c>
      <c r="H17" s="190"/>
      <c r="I17" s="53"/>
      <c r="J17" s="53"/>
    </row>
    <row r="18" spans="1:10" ht="15.75">
      <c r="A18" s="191" t="s">
        <v>126</v>
      </c>
      <c r="B18" s="46" t="str">
        <f>CONCATENATE("Valuation of annexed territory for ",J1-1," :")</f>
        <v>Valuation of annexed territory for 2012 :</v>
      </c>
      <c r="C18" s="28"/>
      <c r="D18" s="28"/>
      <c r="E18" s="190"/>
      <c r="F18" s="53"/>
      <c r="G18" s="53"/>
      <c r="H18" s="53"/>
      <c r="I18" s="53"/>
      <c r="J18" s="53"/>
    </row>
    <row r="19" spans="1:10" ht="15.75">
      <c r="A19" s="191"/>
      <c r="B19" s="28" t="s">
        <v>127</v>
      </c>
      <c r="C19" s="28" t="s">
        <v>149</v>
      </c>
      <c r="D19" s="191" t="s">
        <v>117</v>
      </c>
      <c r="E19" s="188">
        <f>inputOth!B22</f>
        <v>0</v>
      </c>
      <c r="F19" s="53"/>
      <c r="G19" s="53"/>
      <c r="H19" s="53"/>
      <c r="I19" s="53"/>
      <c r="J19" s="53"/>
    </row>
    <row r="20" spans="1:10" ht="15.75">
      <c r="A20" s="191"/>
      <c r="B20" s="28" t="s">
        <v>128</v>
      </c>
      <c r="C20" s="28" t="s">
        <v>150</v>
      </c>
      <c r="D20" s="191" t="s">
        <v>117</v>
      </c>
      <c r="E20" s="58">
        <f>inputOth!C22</f>
        <v>0</v>
      </c>
      <c r="F20" s="53"/>
      <c r="G20" s="190"/>
      <c r="H20" s="190"/>
      <c r="I20" s="53"/>
      <c r="J20" s="53"/>
    </row>
    <row r="21" spans="1:10" ht="15.75">
      <c r="A21" s="191"/>
      <c r="B21" s="28" t="s">
        <v>129</v>
      </c>
      <c r="C21" s="28" t="s">
        <v>151</v>
      </c>
      <c r="D21" s="191" t="s">
        <v>120</v>
      </c>
      <c r="E21" s="58">
        <f>inputOth!D22</f>
        <v>0</v>
      </c>
      <c r="F21" s="53"/>
      <c r="G21" s="190"/>
      <c r="H21" s="190"/>
      <c r="I21" s="53"/>
      <c r="J21" s="53"/>
    </row>
    <row r="22" spans="1:10" ht="15.75">
      <c r="A22" s="191"/>
      <c r="B22" s="28" t="s">
        <v>130</v>
      </c>
      <c r="C22" s="28" t="s">
        <v>152</v>
      </c>
      <c r="D22" s="191"/>
      <c r="E22" s="190"/>
      <c r="F22" s="53" t="s">
        <v>117</v>
      </c>
      <c r="G22" s="188">
        <f>E19+E20-E21</f>
        <v>0</v>
      </c>
      <c r="H22" s="190"/>
      <c r="I22" s="53"/>
      <c r="J22" s="53"/>
    </row>
    <row r="23" spans="1:10" ht="15.75">
      <c r="A23" s="191"/>
      <c r="B23" s="191"/>
      <c r="C23" s="28"/>
      <c r="D23" s="191"/>
      <c r="E23" s="190"/>
      <c r="F23" s="53"/>
      <c r="G23" s="190"/>
      <c r="H23" s="190"/>
      <c r="I23" s="53"/>
      <c r="J23" s="53"/>
    </row>
    <row r="24" spans="1:10" ht="15.75">
      <c r="A24" s="191" t="s">
        <v>131</v>
      </c>
      <c r="B24" s="46" t="str">
        <f>CONCATENATE("Valuation of Property that has Changed in Use during ",J1-1," :")</f>
        <v>Valuation of Property that has Changed in Use during 2012 :</v>
      </c>
      <c r="C24" s="28"/>
      <c r="D24" s="28"/>
      <c r="E24" s="53"/>
      <c r="F24" s="187" t="s">
        <v>117</v>
      </c>
      <c r="G24" s="188">
        <f>inputOth!E14</f>
        <v>0</v>
      </c>
      <c r="H24" s="53"/>
      <c r="I24" s="53"/>
      <c r="J24" s="53"/>
    </row>
    <row r="25" spans="1:10" ht="15.75">
      <c r="A25" s="28" t="s">
        <v>24</v>
      </c>
      <c r="B25" s="28"/>
      <c r="C25" s="28"/>
      <c r="D25" s="191"/>
      <c r="E25" s="190"/>
      <c r="F25" s="53"/>
      <c r="G25" s="53"/>
      <c r="H25" s="53"/>
      <c r="I25" s="53"/>
      <c r="J25" s="53"/>
    </row>
    <row r="26" spans="1:10" ht="15.75">
      <c r="A26" s="191" t="s">
        <v>132</v>
      </c>
      <c r="B26" s="46" t="s">
        <v>153</v>
      </c>
      <c r="C26" s="28"/>
      <c r="D26" s="28"/>
      <c r="E26" s="53"/>
      <c r="F26" s="53"/>
      <c r="G26" s="188">
        <f>G11+G16+G22+G24</f>
        <v>6916</v>
      </c>
      <c r="H26" s="190"/>
      <c r="I26" s="53"/>
      <c r="J26" s="53"/>
    </row>
    <row r="27" spans="1:10" ht="15.75">
      <c r="A27" s="191"/>
      <c r="B27" s="191"/>
      <c r="C27" s="46"/>
      <c r="D27" s="28"/>
      <c r="E27" s="53"/>
      <c r="F27" s="53"/>
      <c r="G27" s="190"/>
      <c r="H27" s="190"/>
      <c r="I27" s="53"/>
      <c r="J27" s="53"/>
    </row>
    <row r="28" spans="1:10" ht="15.75">
      <c r="A28" s="191" t="s">
        <v>133</v>
      </c>
      <c r="B28" s="28" t="str">
        <f>CONCATENATE("Total Estimated Valuation July 1, ",J1-1)</f>
        <v>Total Estimated Valuation July 1, 2012</v>
      </c>
      <c r="C28" s="28"/>
      <c r="D28" s="28"/>
      <c r="E28" s="188">
        <f>inputOth!B14</f>
        <v>197394</v>
      </c>
      <c r="F28" s="53"/>
      <c r="G28" s="53"/>
      <c r="H28" s="53"/>
      <c r="I28" s="187"/>
      <c r="J28" s="53"/>
    </row>
    <row r="29" spans="1:10" ht="15.75">
      <c r="A29" s="191"/>
      <c r="B29" s="191"/>
      <c r="C29" s="28"/>
      <c r="D29" s="28"/>
      <c r="E29" s="190"/>
      <c r="F29" s="53"/>
      <c r="G29" s="53"/>
      <c r="H29" s="53"/>
      <c r="I29" s="187"/>
      <c r="J29" s="53"/>
    </row>
    <row r="30" spans="1:10" ht="15.75">
      <c r="A30" s="191" t="s">
        <v>134</v>
      </c>
      <c r="B30" s="46" t="s">
        <v>154</v>
      </c>
      <c r="C30" s="28"/>
      <c r="D30" s="28"/>
      <c r="E30" s="53"/>
      <c r="F30" s="53"/>
      <c r="G30" s="188">
        <f>E28-G26</f>
        <v>190478</v>
      </c>
      <c r="H30" s="190"/>
      <c r="I30" s="187"/>
      <c r="J30" s="53"/>
    </row>
    <row r="31" spans="1:10" ht="15.75">
      <c r="A31" s="191"/>
      <c r="B31" s="191"/>
      <c r="C31" s="46"/>
      <c r="D31" s="28"/>
      <c r="E31" s="53"/>
      <c r="F31" s="53"/>
      <c r="G31" s="193"/>
      <c r="H31" s="190"/>
      <c r="I31" s="187"/>
      <c r="J31" s="53"/>
    </row>
    <row r="32" spans="1:10" ht="15.75">
      <c r="A32" s="191" t="s">
        <v>135</v>
      </c>
      <c r="B32" s="28" t="s">
        <v>155</v>
      </c>
      <c r="C32" s="28"/>
      <c r="D32" s="28"/>
      <c r="E32" s="28"/>
      <c r="F32" s="28"/>
      <c r="G32" s="194">
        <f>IF(G26&gt;0,G26/G30,0)</f>
        <v>0.036308655067776856</v>
      </c>
      <c r="H32" s="36"/>
      <c r="I32" s="28"/>
      <c r="J32" s="28"/>
    </row>
    <row r="33" spans="1:10" ht="15.75">
      <c r="A33" s="191"/>
      <c r="B33" s="191"/>
      <c r="C33" s="28"/>
      <c r="D33" s="28"/>
      <c r="E33" s="28"/>
      <c r="F33" s="28"/>
      <c r="G33" s="36"/>
      <c r="H33" s="36"/>
      <c r="I33" s="28"/>
      <c r="J33" s="28"/>
    </row>
    <row r="34" spans="1:10" ht="15.75">
      <c r="A34" s="191" t="s">
        <v>136</v>
      </c>
      <c r="B34" s="28" t="s">
        <v>156</v>
      </c>
      <c r="C34" s="28"/>
      <c r="D34" s="28"/>
      <c r="E34" s="28"/>
      <c r="F34" s="28"/>
      <c r="G34" s="36"/>
      <c r="H34" s="195" t="s">
        <v>117</v>
      </c>
      <c r="I34" s="28" t="s">
        <v>118</v>
      </c>
      <c r="J34" s="188">
        <f>ROUND(G32*J7,0)</f>
        <v>325</v>
      </c>
    </row>
    <row r="35" spans="1:10" ht="15.75">
      <c r="A35" s="191"/>
      <c r="B35" s="191"/>
      <c r="C35" s="28"/>
      <c r="D35" s="28"/>
      <c r="E35" s="28"/>
      <c r="F35" s="28"/>
      <c r="G35" s="36"/>
      <c r="H35" s="195"/>
      <c r="I35" s="28"/>
      <c r="J35" s="190"/>
    </row>
    <row r="36" spans="1:10" ht="16.5" thickBot="1">
      <c r="A36" s="191" t="s">
        <v>137</v>
      </c>
      <c r="B36" s="46" t="s">
        <v>161</v>
      </c>
      <c r="C36" s="28"/>
      <c r="D36" s="28"/>
      <c r="E36" s="28"/>
      <c r="F36" s="28"/>
      <c r="G36" s="28"/>
      <c r="H36" s="28"/>
      <c r="I36" s="28" t="s">
        <v>118</v>
      </c>
      <c r="J36" s="196">
        <f>J7+J34</f>
        <v>9284</v>
      </c>
    </row>
    <row r="37" spans="1:10" ht="16.5" thickTop="1">
      <c r="A37" s="28"/>
      <c r="B37" s="28"/>
      <c r="C37" s="28"/>
      <c r="D37" s="28"/>
      <c r="E37" s="28"/>
      <c r="F37" s="28"/>
      <c r="G37" s="28"/>
      <c r="H37" s="28"/>
      <c r="I37" s="28"/>
      <c r="J37" s="190"/>
    </row>
    <row r="38" spans="1:10" ht="15.75">
      <c r="A38" s="191" t="s">
        <v>159</v>
      </c>
      <c r="B38" s="46" t="str">
        <f>CONCATENATE("Debt Service Levy in this ",J1," Budget")</f>
        <v>Debt Service Levy in this 2013 Budget</v>
      </c>
      <c r="C38" s="28"/>
      <c r="D38" s="28"/>
      <c r="E38" s="28"/>
      <c r="F38" s="28"/>
      <c r="G38" s="28"/>
      <c r="H38" s="28"/>
      <c r="I38" s="28"/>
      <c r="J38" s="197">
        <f>'DebtSvs-Library'!$E$40</f>
        <v>0</v>
      </c>
    </row>
    <row r="39" spans="1:10" ht="15.75">
      <c r="A39" s="191"/>
      <c r="B39" s="46"/>
      <c r="C39" s="28"/>
      <c r="D39" s="28"/>
      <c r="E39" s="28"/>
      <c r="F39" s="28"/>
      <c r="G39" s="28"/>
      <c r="H39" s="28"/>
      <c r="I39" s="28"/>
      <c r="J39" s="190"/>
    </row>
    <row r="40" spans="1:10" ht="16.5" thickBot="1">
      <c r="A40" s="191" t="s">
        <v>160</v>
      </c>
      <c r="B40" s="46" t="s">
        <v>162</v>
      </c>
      <c r="C40" s="28"/>
      <c r="D40" s="28"/>
      <c r="E40" s="28"/>
      <c r="F40" s="28"/>
      <c r="G40" s="28"/>
      <c r="H40" s="28"/>
      <c r="I40" s="28"/>
      <c r="J40" s="196">
        <f>J36+J38</f>
        <v>9284</v>
      </c>
    </row>
    <row r="41" spans="1:10" ht="19.5" thickTop="1">
      <c r="A41" s="725"/>
      <c r="B41" s="725"/>
      <c r="C41" s="725"/>
      <c r="D41" s="725"/>
      <c r="E41" s="725"/>
      <c r="F41" s="725"/>
      <c r="G41" s="725"/>
      <c r="H41" s="725"/>
      <c r="I41" s="725"/>
      <c r="J41" s="725"/>
    </row>
    <row r="42" spans="1:10" s="198" customFormat="1" ht="18.75">
      <c r="A42" s="725" t="str">
        <f>CONCATENATE("If the ",J1," budget includes tax levies exceeding the total on line 15, you must")</f>
        <v>If the 2013 budget includes tax levies exceeding the total on line 15, you must</v>
      </c>
      <c r="B42" s="725"/>
      <c r="C42" s="725"/>
      <c r="D42" s="725"/>
      <c r="E42" s="725"/>
      <c r="F42" s="725"/>
      <c r="G42" s="725"/>
      <c r="H42" s="725"/>
      <c r="I42" s="725"/>
      <c r="J42" s="725"/>
    </row>
    <row r="43" spans="1:10" s="198" customFormat="1" ht="18.75">
      <c r="A43" s="725" t="s">
        <v>215</v>
      </c>
      <c r="B43" s="725"/>
      <c r="C43" s="725"/>
      <c r="D43" s="725"/>
      <c r="E43" s="725"/>
      <c r="F43" s="725"/>
      <c r="G43" s="725"/>
      <c r="H43" s="725"/>
      <c r="I43" s="725"/>
      <c r="J43" s="725"/>
    </row>
    <row r="44" spans="1:10" ht="15.75" customHeight="1">
      <c r="A44" s="724" t="s">
        <v>216</v>
      </c>
      <c r="B44" s="724"/>
      <c r="C44" s="724"/>
      <c r="D44" s="724"/>
      <c r="E44" s="724"/>
      <c r="F44" s="724"/>
      <c r="G44" s="724"/>
      <c r="H44" s="724"/>
      <c r="I44" s="724"/>
      <c r="J44" s="724"/>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48"/>
  <sheetViews>
    <sheetView zoomScalePageLayoutView="0" workbookViewId="0" topLeftCell="A7">
      <selection activeCell="D9" sqref="D9"/>
    </sheetView>
  </sheetViews>
  <sheetFormatPr defaultColWidth="8.796875" defaultRowHeight="15" customHeight="1"/>
  <cols>
    <col min="1" max="1" width="8.8984375" style="24" customWidth="1"/>
    <col min="2" max="3" width="17.3984375" style="24" customWidth="1"/>
    <col min="4" max="6" width="12.796875" style="24" customWidth="1"/>
    <col min="7" max="7" width="12.796875" style="142" customWidth="1"/>
    <col min="8" max="16384" width="8.8984375" style="24" customWidth="1"/>
  </cols>
  <sheetData>
    <row r="1" spans="1:7" ht="15" customHeight="1">
      <c r="A1" s="36"/>
      <c r="B1" s="183" t="str">
        <f>inputPrYr!D3</f>
        <v>City of Vining</v>
      </c>
      <c r="C1" s="28"/>
      <c r="D1" s="28"/>
      <c r="E1" s="28"/>
      <c r="F1" s="199"/>
      <c r="G1" s="139">
        <f>inputPrYr!$C$10</f>
        <v>2013</v>
      </c>
    </row>
    <row r="2" spans="1:7" ht="15" customHeight="1">
      <c r="A2" s="36"/>
      <c r="B2" s="28"/>
      <c r="C2" s="28"/>
      <c r="D2" s="28"/>
      <c r="E2" s="28"/>
      <c r="F2" s="28"/>
      <c r="G2" s="36"/>
    </row>
    <row r="3" spans="1:7" ht="20.25" customHeight="1">
      <c r="A3" s="36"/>
      <c r="B3" s="726" t="s">
        <v>950</v>
      </c>
      <c r="C3" s="726"/>
      <c r="D3" s="726"/>
      <c r="E3" s="726"/>
      <c r="F3" s="726"/>
      <c r="G3" s="36"/>
    </row>
    <row r="4" spans="1:7" ht="15" customHeight="1">
      <c r="A4" s="36"/>
      <c r="B4" s="39"/>
      <c r="C4" s="38"/>
      <c r="D4" s="38"/>
      <c r="E4" s="38"/>
      <c r="F4" s="28"/>
      <c r="G4" s="36"/>
    </row>
    <row r="5" spans="1:7" ht="15" customHeight="1">
      <c r="A5" s="36"/>
      <c r="B5" s="28"/>
      <c r="C5" s="28"/>
      <c r="D5" s="28"/>
      <c r="E5" s="28"/>
      <c r="F5" s="28"/>
      <c r="G5" s="36"/>
    </row>
    <row r="6" spans="1:7" ht="15.75" customHeight="1">
      <c r="A6" s="36"/>
      <c r="B6" s="200" t="s">
        <v>908</v>
      </c>
      <c r="C6" s="152" t="s">
        <v>357</v>
      </c>
      <c r="D6" s="728" t="str">
        <f>CONCATENATE("Allocation for Year ",G1,"")</f>
        <v>Allocation for Year 2013</v>
      </c>
      <c r="E6" s="729"/>
      <c r="F6" s="730"/>
      <c r="G6" s="36"/>
    </row>
    <row r="7" spans="1:7" ht="23.25" customHeight="1">
      <c r="A7" s="36"/>
      <c r="B7" s="201" t="str">
        <f>CONCATENATE("for ",G1-1,"")</f>
        <v>for 2012</v>
      </c>
      <c r="C7" s="202" t="str">
        <f>CONCATENATE("Amount for ",G1-2,"")</f>
        <v>Amount for 2011</v>
      </c>
      <c r="D7" s="157" t="s">
        <v>114</v>
      </c>
      <c r="E7" s="560" t="s">
        <v>113</v>
      </c>
      <c r="F7" s="157" t="s">
        <v>112</v>
      </c>
      <c r="G7" s="605"/>
    </row>
    <row r="8" spans="1:7" ht="15" customHeight="1">
      <c r="A8" s="36"/>
      <c r="B8" s="50" t="s">
        <v>17</v>
      </c>
      <c r="C8" s="203">
        <f>IF((inputPrYr!E22)&gt;0,(inputPrYr!E22),"  ")</f>
        <v>8959</v>
      </c>
      <c r="D8" s="203">
        <v>1242</v>
      </c>
      <c r="E8" s="604">
        <v>17</v>
      </c>
      <c r="F8" s="203">
        <f>IF(inputPrYr!E22=0,0,F21-SUM(F9:F14))</f>
        <v>29</v>
      </c>
      <c r="G8" s="528"/>
    </row>
    <row r="9" spans="1:7" ht="15" customHeight="1">
      <c r="A9" s="36"/>
      <c r="B9" s="50" t="str">
        <f>inputPrYr!B23</f>
        <v>Debt Service</v>
      </c>
      <c r="C9" s="203"/>
      <c r="D9" s="203" t="str">
        <f>IF(inputPrYr!$E23&gt;0,ROUND(C9*D$23,0),"  ")</f>
        <v>  </v>
      </c>
      <c r="E9" s="604">
        <f>IF(inputPrYr!$E22&gt;0,ROUND(+C9*E$25,0),"  ")</f>
        <v>0</v>
      </c>
      <c r="F9" s="203" t="str">
        <f>IF(inputPrYr!$E23&gt;0,ROUND(C9*F$27,0),"  ")</f>
        <v>  </v>
      </c>
      <c r="G9" s="528"/>
    </row>
    <row r="10" spans="1:8" ht="15" customHeight="1">
      <c r="A10" s="36"/>
      <c r="B10" s="72" t="str">
        <f>IF((inputPrYr!$B24&gt;"  "),(inputPrYr!$B24),"  ")</f>
        <v>Library</v>
      </c>
      <c r="C10" s="203" t="str">
        <f>IF((inputPrYr!E24)&gt;0,(inputPrYr!E24),"  ")</f>
        <v>  </v>
      </c>
      <c r="D10" s="203" t="str">
        <f>IF(inputPrYr!$E24&gt;0,ROUND(C10*D$23,0),"  ")</f>
        <v>  </v>
      </c>
      <c r="E10" s="604" t="str">
        <f>IF(inputPrYr!$E24&gt;0,ROUND(+C10*E$25,0),"  ")</f>
        <v>  </v>
      </c>
      <c r="F10" s="203" t="str">
        <f>IF(inputPrYr!E24&gt;0,ROUND(C10*F$27,0),"  ")</f>
        <v>  </v>
      </c>
      <c r="G10" s="528"/>
      <c r="H10" s="142"/>
    </row>
    <row r="11" spans="1:7" ht="15" customHeight="1">
      <c r="A11" s="36"/>
      <c r="B11" s="72" t="str">
        <f>IF((inputPrYr!$B26&gt;"  "),(inputPrYr!$B26),"  ")</f>
        <v>  </v>
      </c>
      <c r="C11" s="203" t="str">
        <f>IF((inputPrYr!E26)&gt;0,(inputPrYr!E26),"  ")</f>
        <v>  </v>
      </c>
      <c r="D11" s="203" t="str">
        <f>IF(inputPrYr!$E26&gt;0,ROUND(C11*D$23,0),"  ")</f>
        <v>  </v>
      </c>
      <c r="E11" s="604" t="str">
        <f>IF(inputPrYr!$E26&gt;0,ROUND(+C11*E$25,0),"  ")</f>
        <v>  </v>
      </c>
      <c r="F11" s="203" t="str">
        <f>IF(inputPrYr!E26&gt;0,ROUND(C11*F$27,0),"  ")</f>
        <v>  </v>
      </c>
      <c r="G11" s="528"/>
    </row>
    <row r="12" spans="1:7" ht="15" customHeight="1">
      <c r="A12" s="36"/>
      <c r="B12" s="72" t="str">
        <f>IF((inputPrYr!$B27&gt;"  "),(inputPrYr!$B27),"  ")</f>
        <v>  </v>
      </c>
      <c r="C12" s="203" t="str">
        <f>IF((inputPrYr!E27)&gt;0,(inputPrYr!E27),"  ")</f>
        <v>  </v>
      </c>
      <c r="D12" s="203" t="str">
        <f>IF(inputPrYr!$E27&gt;0,ROUND(C12*D$23,0),"  ")</f>
        <v>  </v>
      </c>
      <c r="E12" s="604" t="str">
        <f>IF(inputPrYr!$E27&gt;0,ROUND(+C12*E$25,0),"  ")</f>
        <v>  </v>
      </c>
      <c r="F12" s="203" t="str">
        <f>IF(inputPrYr!E27&gt;0,ROUND(C12*F$27,0),"  ")</f>
        <v>  </v>
      </c>
      <c r="G12" s="528"/>
    </row>
    <row r="13" spans="1:7" ht="15" customHeight="1">
      <c r="A13" s="36"/>
      <c r="B13" s="72" t="str">
        <f>IF((inputPrYr!$B28&gt;"  "),(inputPrYr!$B28),"  ")</f>
        <v>  </v>
      </c>
      <c r="C13" s="203" t="str">
        <f>IF((inputPrYr!E28)&gt;0,(inputPrYr!E28),"  ")</f>
        <v>  </v>
      </c>
      <c r="D13" s="203" t="str">
        <f>IF(inputPrYr!$E28&gt;0,ROUND(C13*D$23,0),"  ")</f>
        <v>  </v>
      </c>
      <c r="E13" s="604" t="str">
        <f>IF(inputPrYr!$E28&gt;0,ROUND(+C13*E$25,0),"  ")</f>
        <v>  </v>
      </c>
      <c r="F13" s="203" t="str">
        <f>IF(inputPrYr!E28&gt;0,ROUND(C13*F$27,0),"  ")</f>
        <v>  </v>
      </c>
      <c r="G13" s="528"/>
    </row>
    <row r="14" spans="1:7" ht="15" customHeight="1">
      <c r="A14" s="36"/>
      <c r="B14" s="72" t="str">
        <f>IF((inputPrYr!B29&gt;"  "),(inputPrYr!B29),"  ")</f>
        <v>  </v>
      </c>
      <c r="C14" s="203" t="str">
        <f>IF((inputPrYr!E29)&gt;0,(inputPrYr!E29),"  ")</f>
        <v>  </v>
      </c>
      <c r="D14" s="203" t="str">
        <f>IF(inputPrYr!$E29&gt;0,ROUND(C14*D$23,0),"  ")</f>
        <v>  </v>
      </c>
      <c r="E14" s="604" t="str">
        <f>IF(inputPrYr!$E29&gt;0,ROUND(+C14*E$25,0),"  ")</f>
        <v>  </v>
      </c>
      <c r="F14" s="203" t="str">
        <f>IF(inputPrYr!E29&gt;0,ROUND(C14*F$27,0),"  ")</f>
        <v>  </v>
      </c>
      <c r="G14" s="528"/>
    </row>
    <row r="15" spans="1:7" ht="18.75" customHeight="1" thickBot="1">
      <c r="A15" s="36"/>
      <c r="B15" s="51" t="s">
        <v>42</v>
      </c>
      <c r="C15" s="204">
        <f>SUM(C8:C14)</f>
        <v>8959</v>
      </c>
      <c r="D15" s="204">
        <f>SUM(D8:D14)</f>
        <v>1242</v>
      </c>
      <c r="E15" s="205">
        <f>SUM(E8:E14)</f>
        <v>17</v>
      </c>
      <c r="F15" s="204">
        <f>SUM(F8:F14)</f>
        <v>29</v>
      </c>
      <c r="G15" s="36"/>
    </row>
    <row r="16" spans="1:7" ht="15" customHeight="1" thickTop="1">
      <c r="A16" s="36"/>
      <c r="B16" s="28"/>
      <c r="C16" s="28"/>
      <c r="D16" s="28"/>
      <c r="E16" s="28"/>
      <c r="F16" s="28"/>
      <c r="G16" s="36"/>
    </row>
    <row r="17" spans="1:7" ht="16.5" customHeight="1">
      <c r="A17" s="36"/>
      <c r="B17" s="34" t="s">
        <v>43</v>
      </c>
      <c r="C17" s="206"/>
      <c r="D17" s="188">
        <v>85</v>
      </c>
      <c r="E17" s="206"/>
      <c r="F17" s="28"/>
      <c r="G17" s="36"/>
    </row>
    <row r="18" spans="1:7" ht="15" customHeight="1">
      <c r="A18" s="36"/>
      <c r="B18" s="28"/>
      <c r="C18" s="28"/>
      <c r="D18" s="28"/>
      <c r="E18" s="28"/>
      <c r="F18" s="28"/>
      <c r="G18" s="36"/>
    </row>
    <row r="19" spans="1:7" ht="17.25" customHeight="1">
      <c r="A19" s="36"/>
      <c r="B19" s="34" t="s">
        <v>44</v>
      </c>
      <c r="C19" s="28"/>
      <c r="D19" s="28"/>
      <c r="E19" s="188">
        <f>(inputOth!D54)</f>
        <v>16.62</v>
      </c>
      <c r="F19" s="28"/>
      <c r="G19" s="36"/>
    </row>
    <row r="20" spans="1:7" ht="15" customHeight="1">
      <c r="A20" s="36"/>
      <c r="B20" s="28"/>
      <c r="C20" s="28"/>
      <c r="D20" s="28"/>
      <c r="E20" s="28"/>
      <c r="F20" s="28"/>
      <c r="G20" s="36"/>
    </row>
    <row r="21" spans="1:7" ht="16.5" customHeight="1">
      <c r="A21" s="36"/>
      <c r="B21" s="34" t="s">
        <v>111</v>
      </c>
      <c r="C21" s="28"/>
      <c r="D21" s="28"/>
      <c r="E21" s="28"/>
      <c r="F21" s="188">
        <f>inputOth!E54</f>
        <v>29</v>
      </c>
      <c r="G21" s="36"/>
    </row>
    <row r="22" spans="1:7" ht="15" customHeight="1">
      <c r="A22" s="36"/>
      <c r="B22" s="28"/>
      <c r="C22" s="28"/>
      <c r="D22" s="28"/>
      <c r="E22" s="28"/>
      <c r="F22" s="28"/>
      <c r="G22" s="36"/>
    </row>
    <row r="23" spans="1:7" ht="16.5" customHeight="1">
      <c r="A23" s="36"/>
      <c r="B23" s="34" t="s">
        <v>45</v>
      </c>
      <c r="C23" s="28"/>
      <c r="D23" s="207">
        <f>IF(C15=0,0,D17/C15)</f>
        <v>0.009487666034155597</v>
      </c>
      <c r="E23" s="28"/>
      <c r="F23" s="28"/>
      <c r="G23" s="36"/>
    </row>
    <row r="24" spans="1:7" ht="15" customHeight="1">
      <c r="A24" s="36"/>
      <c r="B24" s="28"/>
      <c r="C24" s="28"/>
      <c r="D24" s="28"/>
      <c r="E24" s="28"/>
      <c r="F24" s="28"/>
      <c r="G24" s="36"/>
    </row>
    <row r="25" spans="1:7" ht="18" customHeight="1">
      <c r="A25" s="36"/>
      <c r="B25" s="34"/>
      <c r="C25" s="34" t="s">
        <v>46</v>
      </c>
      <c r="D25" s="28"/>
      <c r="E25" s="207">
        <f>IF(C15=0,0,E19/C15)</f>
        <v>0.001855117758678424</v>
      </c>
      <c r="F25" s="28"/>
      <c r="G25" s="36"/>
    </row>
    <row r="26" spans="1:7" ht="15" customHeight="1">
      <c r="A26" s="36"/>
      <c r="B26" s="28"/>
      <c r="C26" s="28"/>
      <c r="D26" s="28"/>
      <c r="E26" s="28"/>
      <c r="F26" s="28"/>
      <c r="G26" s="36"/>
    </row>
    <row r="27" spans="1:7" ht="18" customHeight="1">
      <c r="A27" s="36"/>
      <c r="B27" s="28"/>
      <c r="C27" s="28"/>
      <c r="D27" s="28" t="s">
        <v>110</v>
      </c>
      <c r="E27" s="28"/>
      <c r="F27" s="207">
        <f>IF(C15=0,0,F21/C15)</f>
        <v>0.0032369684116530864</v>
      </c>
      <c r="G27" s="36"/>
    </row>
    <row r="28" spans="1:7" ht="15" customHeight="1">
      <c r="A28" s="36"/>
      <c r="B28" s="25"/>
      <c r="C28" s="25"/>
      <c r="D28" s="25"/>
      <c r="E28" s="25"/>
      <c r="F28" s="25"/>
      <c r="G28" s="208"/>
    </row>
    <row r="29" spans="1:7" ht="15" customHeight="1">
      <c r="A29" s="36"/>
      <c r="B29" s="25"/>
      <c r="C29" s="25"/>
      <c r="D29" s="25"/>
      <c r="E29" s="25"/>
      <c r="F29" s="25"/>
      <c r="G29" s="208"/>
    </row>
    <row r="30" spans="1:7" ht="15" customHeight="1">
      <c r="A30" s="36"/>
      <c r="B30" s="25"/>
      <c r="C30" s="25"/>
      <c r="D30" s="25"/>
      <c r="E30" s="25"/>
      <c r="F30" s="25"/>
      <c r="G30" s="208"/>
    </row>
    <row r="31" spans="2:7" ht="16.5" customHeight="1">
      <c r="B31" s="88"/>
      <c r="C31" s="88"/>
      <c r="D31" s="88"/>
      <c r="E31" s="88"/>
      <c r="F31" s="88"/>
      <c r="G31" s="88"/>
    </row>
    <row r="32" spans="2:7" ht="15.75" customHeight="1">
      <c r="B32" s="88"/>
      <c r="C32" s="88"/>
      <c r="D32" s="88"/>
      <c r="E32" s="88"/>
      <c r="F32" s="88"/>
      <c r="G32" s="88"/>
    </row>
    <row r="33" spans="2:7" s="209" customFormat="1" ht="15.75" customHeight="1">
      <c r="B33" s="88"/>
      <c r="C33" s="88"/>
      <c r="D33" s="88"/>
      <c r="E33" s="88"/>
      <c r="F33" s="88"/>
      <c r="G33" s="88"/>
    </row>
    <row r="34" spans="2:7" ht="18.75" customHeight="1">
      <c r="B34" s="88"/>
      <c r="C34" s="88"/>
      <c r="D34" s="88"/>
      <c r="E34" s="88"/>
      <c r="F34" s="88"/>
      <c r="G34" s="88"/>
    </row>
    <row r="35" spans="2:7" ht="15" customHeight="1">
      <c r="B35" s="88"/>
      <c r="C35" s="88"/>
      <c r="D35" s="88"/>
      <c r="E35" s="88"/>
      <c r="F35" s="88"/>
      <c r="G35" s="88"/>
    </row>
    <row r="36" spans="2:7" ht="15" customHeight="1">
      <c r="B36" s="88"/>
      <c r="C36" s="88"/>
      <c r="D36" s="88"/>
      <c r="E36" s="88"/>
      <c r="F36" s="88"/>
      <c r="G36" s="88"/>
    </row>
    <row r="37" spans="2:7" ht="15" customHeight="1">
      <c r="B37" s="88"/>
      <c r="C37" s="88"/>
      <c r="D37" s="88"/>
      <c r="E37" s="88"/>
      <c r="F37" s="88"/>
      <c r="G37" s="88"/>
    </row>
    <row r="38" spans="2:7" ht="15" customHeight="1">
      <c r="B38" s="88"/>
      <c r="C38" s="88"/>
      <c r="D38" s="88"/>
      <c r="E38" s="88"/>
      <c r="F38" s="88"/>
      <c r="G38" s="88"/>
    </row>
    <row r="39" spans="2:7" ht="15" customHeight="1">
      <c r="B39" s="88"/>
      <c r="C39" s="88"/>
      <c r="D39" s="88"/>
      <c r="E39" s="88"/>
      <c r="F39" s="88"/>
      <c r="G39" s="88"/>
    </row>
    <row r="40" spans="2:7" ht="15" customHeight="1">
      <c r="B40" s="88"/>
      <c r="C40" s="88"/>
      <c r="D40" s="88"/>
      <c r="E40" s="88"/>
      <c r="F40" s="88"/>
      <c r="G40" s="88"/>
    </row>
    <row r="41" spans="2:7" ht="15" customHeight="1">
      <c r="B41" s="88"/>
      <c r="C41" s="88"/>
      <c r="D41" s="88"/>
      <c r="E41" s="88"/>
      <c r="F41" s="88"/>
      <c r="G41" s="88"/>
    </row>
    <row r="42" spans="2:7" ht="15" customHeight="1">
      <c r="B42" s="88"/>
      <c r="C42" s="88"/>
      <c r="D42" s="88"/>
      <c r="E42" s="88"/>
      <c r="F42" s="88"/>
      <c r="G42" s="88"/>
    </row>
    <row r="43" spans="2:7" ht="15" customHeight="1">
      <c r="B43" s="88"/>
      <c r="C43" s="88"/>
      <c r="D43" s="88"/>
      <c r="E43" s="88"/>
      <c r="F43" s="88"/>
      <c r="G43" s="88"/>
    </row>
    <row r="44" spans="2:7" ht="15" customHeight="1">
      <c r="B44" s="88"/>
      <c r="C44" s="88"/>
      <c r="D44" s="88"/>
      <c r="E44" s="88"/>
      <c r="F44" s="88"/>
      <c r="G44" s="88"/>
    </row>
    <row r="45" spans="2:7" ht="15" customHeight="1">
      <c r="B45" s="88"/>
      <c r="C45" s="88"/>
      <c r="D45" s="88"/>
      <c r="E45" s="88"/>
      <c r="F45" s="88"/>
      <c r="G45" s="88"/>
    </row>
    <row r="46" spans="2:7" ht="15" customHeight="1">
      <c r="B46" s="88"/>
      <c r="C46" s="88"/>
      <c r="D46" s="88"/>
      <c r="E46" s="88"/>
      <c r="F46" s="88"/>
      <c r="G46" s="88"/>
    </row>
    <row r="47" spans="2:7" ht="15" customHeight="1">
      <c r="B47" s="88"/>
      <c r="C47" s="88"/>
      <c r="D47" s="88"/>
      <c r="E47" s="88"/>
      <c r="F47" s="88"/>
      <c r="G47" s="88"/>
    </row>
    <row r="48" spans="2:7" ht="15" customHeight="1">
      <c r="B48" s="88"/>
      <c r="C48" s="88"/>
      <c r="D48" s="88"/>
      <c r="E48" s="88"/>
      <c r="F48" s="88"/>
      <c r="G48" s="88"/>
    </row>
  </sheetData>
  <sheetProtection/>
  <mergeCells count="2">
    <mergeCell ref="B3:F3"/>
    <mergeCell ref="D6:F6"/>
  </mergeCells>
  <printOptions/>
  <pageMargins left="0.5" right="0.5" top="0.5" bottom="0.5" header="0"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E10" sqref="E10"/>
    </sheetView>
  </sheetViews>
  <sheetFormatPr defaultColWidth="8.796875" defaultRowHeight="15"/>
  <cols>
    <col min="1" max="2" width="17.796875" style="88" customWidth="1"/>
    <col min="3" max="6" width="12.796875" style="88" customWidth="1"/>
    <col min="7" max="16384" width="8.8984375" style="88" customWidth="1"/>
  </cols>
  <sheetData>
    <row r="1" spans="1:6" ht="15.75">
      <c r="A1" s="183" t="str">
        <f>inputPrYr!D3</f>
        <v>City of Vining</v>
      </c>
      <c r="B1" s="28"/>
      <c r="C1" s="28"/>
      <c r="D1" s="28"/>
      <c r="E1" s="28"/>
      <c r="F1" s="28">
        <f>inputPrYr!C10</f>
        <v>2013</v>
      </c>
    </row>
    <row r="2" spans="1:6" ht="15.75">
      <c r="A2" s="28"/>
      <c r="B2" s="28"/>
      <c r="C2" s="28"/>
      <c r="D2" s="28"/>
      <c r="E2" s="28"/>
      <c r="F2" s="28"/>
    </row>
    <row r="3" spans="1:6" ht="15.75">
      <c r="A3" s="28"/>
      <c r="B3" s="28"/>
      <c r="C3" s="28"/>
      <c r="D3" s="28"/>
      <c r="E3" s="28"/>
      <c r="F3" s="28"/>
    </row>
    <row r="4" spans="1:6" ht="15.75">
      <c r="A4" s="727" t="s">
        <v>167</v>
      </c>
      <c r="B4" s="727"/>
      <c r="C4" s="727"/>
      <c r="D4" s="727"/>
      <c r="E4" s="727"/>
      <c r="F4" s="727"/>
    </row>
    <row r="5" spans="1:6" ht="15.75">
      <c r="A5" s="210"/>
      <c r="B5" s="210"/>
      <c r="C5" s="210"/>
      <c r="D5" s="210"/>
      <c r="E5" s="210"/>
      <c r="F5" s="210"/>
    </row>
    <row r="6" spans="1:6" ht="15.75">
      <c r="A6" s="211" t="s">
        <v>653</v>
      </c>
      <c r="B6" s="211" t="s">
        <v>654</v>
      </c>
      <c r="C6" s="211" t="s">
        <v>63</v>
      </c>
      <c r="D6" s="211" t="s">
        <v>186</v>
      </c>
      <c r="E6" s="211" t="s">
        <v>187</v>
      </c>
      <c r="F6" s="211" t="s">
        <v>199</v>
      </c>
    </row>
    <row r="7" spans="1:6" ht="15.75">
      <c r="A7" s="212" t="s">
        <v>655</v>
      </c>
      <c r="B7" s="212" t="s">
        <v>656</v>
      </c>
      <c r="C7" s="212" t="s">
        <v>198</v>
      </c>
      <c r="D7" s="212" t="s">
        <v>198</v>
      </c>
      <c r="E7" s="212" t="s">
        <v>198</v>
      </c>
      <c r="F7" s="212" t="s">
        <v>188</v>
      </c>
    </row>
    <row r="8" spans="1:6" ht="15.75">
      <c r="A8" s="213" t="s">
        <v>196</v>
      </c>
      <c r="B8" s="213" t="s">
        <v>197</v>
      </c>
      <c r="C8" s="214">
        <f>F1-2</f>
        <v>2011</v>
      </c>
      <c r="D8" s="214">
        <f>F1-1</f>
        <v>2012</v>
      </c>
      <c r="E8" s="214">
        <f>F1</f>
        <v>2013</v>
      </c>
      <c r="F8" s="213" t="s">
        <v>189</v>
      </c>
    </row>
    <row r="9" spans="1:6" ht="15.75">
      <c r="A9" s="215" t="s">
        <v>17</v>
      </c>
      <c r="B9" s="215" t="s">
        <v>962</v>
      </c>
      <c r="C9" s="526">
        <v>6000</v>
      </c>
      <c r="D9" s="526">
        <v>6000</v>
      </c>
      <c r="E9" s="526">
        <v>10000</v>
      </c>
      <c r="F9" s="215" t="s">
        <v>977</v>
      </c>
    </row>
    <row r="10" spans="1:6" ht="15.75">
      <c r="A10" s="216"/>
      <c r="B10" s="216"/>
      <c r="C10" s="525"/>
      <c r="D10" s="525"/>
      <c r="E10" s="525"/>
      <c r="F10" s="215"/>
    </row>
    <row r="11" spans="1:6" ht="15.75">
      <c r="A11" s="216"/>
      <c r="B11" s="216"/>
      <c r="C11" s="525"/>
      <c r="D11" s="525"/>
      <c r="E11" s="525"/>
      <c r="F11" s="215"/>
    </row>
    <row r="12" spans="1:6" ht="15.75">
      <c r="A12" s="216"/>
      <c r="B12" s="216"/>
      <c r="C12" s="525"/>
      <c r="D12" s="525"/>
      <c r="E12" s="525"/>
      <c r="F12" s="215"/>
    </row>
    <row r="13" spans="1:6" ht="15.75">
      <c r="A13" s="216"/>
      <c r="B13" s="216"/>
      <c r="C13" s="525"/>
      <c r="D13" s="525"/>
      <c r="E13" s="525"/>
      <c r="F13" s="215"/>
    </row>
    <row r="14" spans="1:6" ht="15.75">
      <c r="A14" s="216"/>
      <c r="B14" s="216"/>
      <c r="C14" s="525"/>
      <c r="D14" s="525"/>
      <c r="E14" s="525"/>
      <c r="F14" s="215"/>
    </row>
    <row r="15" spans="1:6" ht="15.75">
      <c r="A15" s="216"/>
      <c r="B15" s="216"/>
      <c r="C15" s="525"/>
      <c r="D15" s="525"/>
      <c r="E15" s="525"/>
      <c r="F15" s="215"/>
    </row>
    <row r="16" spans="1:6" ht="15.75">
      <c r="A16" s="216"/>
      <c r="B16" s="216"/>
      <c r="C16" s="525"/>
      <c r="D16" s="525"/>
      <c r="E16" s="525"/>
      <c r="F16" s="215"/>
    </row>
    <row r="17" spans="1:6" ht="15.75">
      <c r="A17" s="216"/>
      <c r="B17" s="216"/>
      <c r="C17" s="525"/>
      <c r="D17" s="525"/>
      <c r="E17" s="525"/>
      <c r="F17" s="215"/>
    </row>
    <row r="18" spans="1:6" ht="15.75">
      <c r="A18" s="216"/>
      <c r="B18" s="216"/>
      <c r="C18" s="525"/>
      <c r="D18" s="525"/>
      <c r="E18" s="525"/>
      <c r="F18" s="215"/>
    </row>
    <row r="19" spans="1:6" ht="15.75">
      <c r="A19" s="216"/>
      <c r="B19" s="216"/>
      <c r="C19" s="525"/>
      <c r="D19" s="525"/>
      <c r="E19" s="525"/>
      <c r="F19" s="215"/>
    </row>
    <row r="20" spans="1:6" ht="15.75">
      <c r="A20" s="216"/>
      <c r="B20" s="216"/>
      <c r="C20" s="525"/>
      <c r="D20" s="525"/>
      <c r="E20" s="525"/>
      <c r="F20" s="215"/>
    </row>
    <row r="21" spans="1:6" ht="15.75">
      <c r="A21" s="216"/>
      <c r="B21" s="216"/>
      <c r="C21" s="525"/>
      <c r="D21" s="525"/>
      <c r="E21" s="525"/>
      <c r="F21" s="215"/>
    </row>
    <row r="22" spans="1:6" ht="15.75">
      <c r="A22" s="216"/>
      <c r="B22" s="216"/>
      <c r="C22" s="525"/>
      <c r="D22" s="525"/>
      <c r="E22" s="525"/>
      <c r="F22" s="215"/>
    </row>
    <row r="23" spans="1:6" ht="15.75">
      <c r="A23" s="180"/>
      <c r="B23" s="217" t="s">
        <v>47</v>
      </c>
      <c r="C23" s="218">
        <f>SUM(C9:C22)</f>
        <v>6000</v>
      </c>
      <c r="D23" s="218">
        <f>SUM(D9:D22)</f>
        <v>6000</v>
      </c>
      <c r="E23" s="218">
        <f>SUM(E9:E22)</f>
        <v>10000</v>
      </c>
      <c r="F23" s="180"/>
    </row>
    <row r="24" spans="1:6" ht="15.75">
      <c r="A24" s="180"/>
      <c r="B24" s="219" t="s">
        <v>658</v>
      </c>
      <c r="C24" s="163"/>
      <c r="D24" s="216"/>
      <c r="E24" s="216"/>
      <c r="F24" s="180"/>
    </row>
    <row r="25" spans="1:6" ht="15.75">
      <c r="A25" s="180"/>
      <c r="B25" s="217" t="s">
        <v>6</v>
      </c>
      <c r="C25" s="218">
        <f>C23</f>
        <v>6000</v>
      </c>
      <c r="D25" s="218">
        <f>SUM(D23-D24)</f>
        <v>6000</v>
      </c>
      <c r="E25" s="218">
        <f>SUM(E23-E24)</f>
        <v>10000</v>
      </c>
      <c r="F25" s="180"/>
    </row>
    <row r="26" spans="1:6" ht="15.75">
      <c r="A26" s="25"/>
      <c r="B26" s="25"/>
      <c r="C26" s="25"/>
      <c r="D26" s="25"/>
      <c r="E26" s="25"/>
      <c r="F26" s="25"/>
    </row>
    <row r="27" spans="1:6" ht="15.75">
      <c r="A27" s="25"/>
      <c r="B27" s="25"/>
      <c r="C27" s="25"/>
      <c r="D27" s="25"/>
      <c r="E27" s="25"/>
      <c r="F27" s="25"/>
    </row>
    <row r="28" spans="1:6" ht="15.75">
      <c r="A28" s="391" t="s">
        <v>657</v>
      </c>
      <c r="B28" s="392" t="str">
        <f>CONCATENATE("Adjustments are required only if the transfer is being made in ",D8," and/or ",E8," from a non-budgeted fund.")</f>
        <v>Adjustments are required only if the transfer is being made in 2012 and/or 2013 from a non-budgeted fund.</v>
      </c>
      <c r="C28" s="25"/>
      <c r="D28" s="25"/>
      <c r="E28" s="25"/>
      <c r="F28" s="25"/>
    </row>
  </sheetData>
  <sheetProtection sheet="1"/>
  <mergeCells count="1">
    <mergeCell ref="A4:F4"/>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4">
      <selection activeCell="B6" sqref="B6"/>
    </sheetView>
  </sheetViews>
  <sheetFormatPr defaultColWidth="8.796875" defaultRowHeight="15"/>
  <cols>
    <col min="1" max="1" width="70.59765625" style="363" customWidth="1"/>
    <col min="2" max="16384" width="8.8984375" style="363" customWidth="1"/>
  </cols>
  <sheetData>
    <row r="1" ht="18.75">
      <c r="A1" s="220" t="s">
        <v>358</v>
      </c>
    </row>
    <row r="2" ht="18.75">
      <c r="A2" s="220"/>
    </row>
    <row r="3" ht="18.75">
      <c r="A3" s="220"/>
    </row>
    <row r="4" ht="51.75" customHeight="1">
      <c r="A4" s="662" t="s">
        <v>944</v>
      </c>
    </row>
    <row r="5" ht="18.75">
      <c r="A5" s="220"/>
    </row>
    <row r="6" ht="15.75">
      <c r="A6" s="221"/>
    </row>
    <row r="7" ht="47.25">
      <c r="A7" s="222" t="s">
        <v>359</v>
      </c>
    </row>
    <row r="8" ht="15.75">
      <c r="A8" s="221"/>
    </row>
    <row r="9" ht="15.75">
      <c r="A9" s="221"/>
    </row>
    <row r="10" ht="63">
      <c r="A10" s="222" t="s">
        <v>360</v>
      </c>
    </row>
    <row r="11" ht="15.75">
      <c r="A11" s="223"/>
    </row>
    <row r="12" ht="15.75">
      <c r="A12" s="221"/>
    </row>
    <row r="13" ht="47.25">
      <c r="A13" s="222" t="s">
        <v>361</v>
      </c>
    </row>
    <row r="14" ht="15.75">
      <c r="A14" s="223"/>
    </row>
    <row r="15" ht="15.75">
      <c r="A15" s="221"/>
    </row>
    <row r="16" ht="47.25">
      <c r="A16" s="222" t="s">
        <v>362</v>
      </c>
    </row>
    <row r="17" ht="15.75">
      <c r="A17" s="223"/>
    </row>
    <row r="18" ht="15.75">
      <c r="A18" s="223"/>
    </row>
    <row r="19" ht="47.25">
      <c r="A19" s="222" t="s">
        <v>363</v>
      </c>
    </row>
    <row r="20" ht="15.75">
      <c r="A20" s="223"/>
    </row>
    <row r="21" ht="15.75">
      <c r="A21" s="223"/>
    </row>
    <row r="22" ht="47.25">
      <c r="A22" s="222" t="s">
        <v>364</v>
      </c>
    </row>
    <row r="23" ht="15.75">
      <c r="A23" s="223"/>
    </row>
    <row r="24" ht="15.75">
      <c r="A24" s="223"/>
    </row>
    <row r="25" ht="31.5">
      <c r="A25" s="222" t="s">
        <v>365</v>
      </c>
    </row>
    <row r="26" ht="15.75">
      <c r="A26" s="221"/>
    </row>
    <row r="27" ht="15.75">
      <c r="A27" s="221"/>
    </row>
    <row r="28" ht="60">
      <c r="A28" s="224" t="s">
        <v>366</v>
      </c>
    </row>
    <row r="29" ht="15">
      <c r="A29" s="225"/>
    </row>
    <row r="30" ht="15">
      <c r="A30" s="225"/>
    </row>
    <row r="31" ht="47.25">
      <c r="A31" s="222" t="s">
        <v>367</v>
      </c>
    </row>
    <row r="32" ht="15.75">
      <c r="A32" s="221"/>
    </row>
    <row r="33" ht="15.75">
      <c r="A33" s="221"/>
    </row>
    <row r="34" ht="66.75" customHeight="1">
      <c r="A34" s="663" t="s">
        <v>945</v>
      </c>
    </row>
    <row r="35" ht="15.75">
      <c r="A35" s="221"/>
    </row>
    <row r="36" ht="15.75">
      <c r="A36" s="221"/>
    </row>
    <row r="37" ht="63">
      <c r="A37" s="226" t="s">
        <v>368</v>
      </c>
    </row>
    <row r="38" ht="15.75">
      <c r="A38" s="223"/>
    </row>
    <row r="39" ht="15.75">
      <c r="A39" s="221"/>
    </row>
    <row r="40" ht="63">
      <c r="A40" s="222" t="s">
        <v>369</v>
      </c>
    </row>
    <row r="41" ht="15.75">
      <c r="A41" s="223"/>
    </row>
    <row r="42" ht="15.75">
      <c r="A42" s="223"/>
    </row>
    <row r="43" ht="82.5" customHeight="1">
      <c r="A43" s="664" t="s">
        <v>946</v>
      </c>
    </row>
    <row r="44" ht="15.75">
      <c r="A44" s="223"/>
    </row>
    <row r="45" ht="15.75">
      <c r="A45" s="223"/>
    </row>
    <row r="46" ht="69" customHeight="1">
      <c r="A46" s="664" t="s">
        <v>947</v>
      </c>
    </row>
    <row r="47" ht="15.75">
      <c r="A47" s="223"/>
    </row>
    <row r="48" ht="15.75">
      <c r="A48" s="223"/>
    </row>
    <row r="49" ht="69" customHeight="1">
      <c r="A49" s="664" t="s">
        <v>948</v>
      </c>
    </row>
    <row r="50" ht="15.75" customHeight="1">
      <c r="A50" s="223"/>
    </row>
    <row r="51" ht="21.75" customHeight="1">
      <c r="A51" s="223"/>
    </row>
    <row r="52" ht="66" customHeight="1">
      <c r="A52" s="664" t="s">
        <v>949</v>
      </c>
    </row>
    <row r="53" ht="15.75">
      <c r="A53" s="223"/>
    </row>
    <row r="54" ht="15.75">
      <c r="A54" s="223"/>
    </row>
    <row r="55" ht="63">
      <c r="A55" s="222" t="s">
        <v>370</v>
      </c>
    </row>
    <row r="56" ht="15.75">
      <c r="A56" s="223"/>
    </row>
    <row r="57" ht="15.75">
      <c r="A57" s="223"/>
    </row>
    <row r="58" ht="63">
      <c r="A58" s="222" t="s">
        <v>371</v>
      </c>
    </row>
    <row r="59" ht="15.75">
      <c r="A59" s="223"/>
    </row>
    <row r="60" ht="15.75">
      <c r="A60" s="223"/>
    </row>
    <row r="61" ht="47.25">
      <c r="A61" s="222" t="s">
        <v>372</v>
      </c>
    </row>
    <row r="62" ht="15.75">
      <c r="A62" s="223"/>
    </row>
    <row r="63" ht="15.75">
      <c r="A63" s="223"/>
    </row>
    <row r="64" ht="47.25">
      <c r="A64" s="222" t="s">
        <v>373</v>
      </c>
    </row>
    <row r="65" ht="15.75">
      <c r="A65" s="223"/>
    </row>
    <row r="66" ht="15.75">
      <c r="A66" s="223"/>
    </row>
    <row r="67" ht="78.75">
      <c r="A67" s="222" t="s">
        <v>374</v>
      </c>
    </row>
    <row r="68" ht="15">
      <c r="A68" s="227"/>
    </row>
  </sheetData>
  <sheetProtection sheet="1"/>
  <printOptions/>
  <pageMargins left="0.7" right="0.7" top="0.75" bottom="0.75" header="0.3" footer="0.3"/>
  <pageSetup horizontalDpi="600" verticalDpi="600" orientation="portrait" r:id="rId1"/>
  <headerFooter>
    <oddFooter>&amp;Lrevised 10/6/09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 </cp:lastModifiedBy>
  <cp:lastPrinted>2012-08-01T15:38:57Z</cp:lastPrinted>
  <dcterms:created xsi:type="dcterms:W3CDTF">1998-12-22T16:13:18Z</dcterms:created>
  <dcterms:modified xsi:type="dcterms:W3CDTF">2012-08-02T19:21:37Z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