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10" tabRatio="90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 sheetId="12" r:id="rId12"/>
    <sheet name="general" sheetId="13" r:id="rId13"/>
    <sheet name="GenDetail" sheetId="14" r:id="rId14"/>
    <sheet name="DebtSvs-Library" sheetId="15" r:id="rId15"/>
    <sheet name="levy page9" sheetId="16" r:id="rId16"/>
    <sheet name="levy page10" sheetId="17" r:id="rId17"/>
    <sheet name="levy page11" sheetId="18" r:id="rId18"/>
    <sheet name="levy page12" sheetId="19" r:id="rId19"/>
    <sheet name="levy page13" sheetId="20" r:id="rId20"/>
    <sheet name="Sp Hiway" sheetId="21" r:id="rId21"/>
    <sheet name="nolevypage15" sheetId="22" r:id="rId22"/>
    <sheet name="nolevypage16" sheetId="23" r:id="rId23"/>
    <sheet name="nolevypage17" sheetId="24" r:id="rId24"/>
    <sheet name="SinNoLevy18" sheetId="25" r:id="rId25"/>
    <sheet name="SinNoLevy19" sheetId="26" r:id="rId26"/>
    <sheet name="SinNoLevy20" sheetId="27" r:id="rId27"/>
    <sheet name="SinNoLevy21" sheetId="28" r:id="rId28"/>
    <sheet name="NonBudA" sheetId="29" r:id="rId29"/>
    <sheet name="NonBudB" sheetId="30" r:id="rId30"/>
    <sheet name="NonBudFunds" sheetId="31" r:id="rId31"/>
    <sheet name="summ" sheetId="32" r:id="rId32"/>
    <sheet name="nhood" sheetId="33" r:id="rId33"/>
    <sheet name="Ordinance" sheetId="34" r:id="rId34"/>
    <sheet name="Tab A" sheetId="35" r:id="rId35"/>
    <sheet name="Tab B" sheetId="36" r:id="rId36"/>
    <sheet name="Tab C" sheetId="37" r:id="rId37"/>
    <sheet name="Tab D" sheetId="38" r:id="rId38"/>
    <sheet name="Tab E" sheetId="39" r:id="rId39"/>
    <sheet name="Mill Rate Computation" sheetId="40" r:id="rId40"/>
    <sheet name="Helpful Links" sheetId="41" r:id="rId41"/>
    <sheet name="Legend" sheetId="42" r:id="rId42"/>
  </sheets>
  <definedNames>
    <definedName name="_xlnm.Print_Area" localSheetId="14">'DebtSvs-Library'!$B$1:$E$83</definedName>
    <definedName name="_xlnm.Print_Area" localSheetId="13">'GenDetail'!$A$1:$D$61</definedName>
    <definedName name="_xlnm.Print_Area" localSheetId="12">'general'!$B$1:$E$121</definedName>
    <definedName name="_xlnm.Print_Area" localSheetId="1">'inputPrYr'!$A$1:$E$118</definedName>
    <definedName name="_xlnm.Print_Area" localSheetId="0">'Instructions'!$A$1:$A$102</definedName>
    <definedName name="_xlnm.Print_Area" localSheetId="16">'levy page10'!$B$1:$E$83</definedName>
    <definedName name="_xlnm.Print_Area" localSheetId="17">'levy page11'!$A$1:$E$83</definedName>
    <definedName name="_xlnm.Print_Area" localSheetId="18">'levy page12'!$A$1:$E$83</definedName>
    <definedName name="_xlnm.Print_Area" localSheetId="19">'levy page13'!$A$1:$E$83</definedName>
    <definedName name="_xlnm.Print_Area" localSheetId="15">'levy page9'!$A$1:$E$83</definedName>
    <definedName name="_xlnm.Print_Area" localSheetId="11">'Library Grant '!$A$1:$J$40</definedName>
    <definedName name="_xlnm.Print_Area" localSheetId="10">'lpform'!$B$1:$I$38</definedName>
    <definedName name="_xlnm.Print_Area" localSheetId="39">'Mill Rate Computation'!#REF!</definedName>
    <definedName name="_xlnm.Print_Area" localSheetId="31">'summ'!$A$2:$H$61</definedName>
  </definedNames>
  <calcPr fullCalcOnLoad="1"/>
</workbook>
</file>

<file path=xl/sharedStrings.xml><?xml version="1.0" encoding="utf-8"?>
<sst xmlns="http://schemas.openxmlformats.org/spreadsheetml/2006/main" count="2110" uniqueCount="1094">
  <si>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</si>
  <si>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</si>
  <si>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</si>
  <si>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</si>
  <si>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</si>
  <si>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</si>
  <si>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</si>
  <si>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</si>
  <si>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</si>
  <si>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</si>
  <si>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</si>
  <si>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</si>
  <si>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</si>
  <si>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</si>
  <si>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</si>
  <si>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</si>
  <si>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</si>
  <si>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</si>
  <si>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</si>
  <si>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</si>
  <si>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</si>
  <si>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</si>
  <si>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</si>
  <si>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</si>
  <si>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</si>
  <si>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</si>
  <si>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</si>
  <si>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</si>
  <si>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</si>
  <si>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</si>
  <si>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</si>
  <si>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</si>
  <si>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</si>
  <si>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</si>
  <si>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</si>
  <si>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</si>
  <si>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</si>
  <si>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</si>
  <si>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</si>
  <si>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</si>
  <si>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</si>
  <si>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</si>
  <si>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</si>
  <si>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</si>
  <si>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</si>
  <si>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</si>
  <si>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</si>
  <si>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</si>
  <si>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</si>
  <si>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</si>
  <si>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</si>
  <si>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</si>
  <si>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</si>
  <si>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</si>
  <si>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</si>
  <si>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</si>
  <si>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</si>
  <si>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</si>
  <si>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</si>
  <si>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</si>
  <si>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</si>
  <si>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</si>
  <si>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</si>
  <si>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</si>
  <si>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</si>
  <si>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</si>
  <si>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</si>
  <si>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</si>
  <si>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</si>
  <si>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</si>
  <si>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</si>
  <si>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</si>
  <si>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</si>
  <si>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</si>
  <si>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</si>
  <si>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</si>
  <si>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</si>
  <si>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</si>
  <si>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</si>
  <si>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</si>
  <si>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</si>
  <si>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</si>
  <si>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</si>
  <si>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</si>
  <si>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</si>
  <si>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</si>
  <si>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</si>
  <si>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</si>
  <si>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</si>
  <si>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</si>
  <si>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</si>
  <si>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</si>
  <si>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</si>
  <si>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</si>
  <si>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</si>
  <si>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</si>
  <si>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</si>
  <si>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</si>
  <si>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</si>
  <si>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</si>
  <si>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</si>
  <si>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</si>
  <si>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</si>
  <si>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</si>
  <si>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</si>
  <si>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</si>
  <si>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</si>
  <si>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</si>
  <si>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</si>
  <si>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</si>
  <si>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</si>
  <si>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</si>
  <si>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</si>
  <si>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</si>
  <si>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</si>
  <si>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</si>
  <si>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</si>
  <si>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</si>
  <si>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</si>
  <si>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</si>
  <si>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</si>
  <si>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</si>
  <si>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</si>
  <si>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</si>
  <si>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</si>
  <si>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</si>
  <si>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</si>
  <si>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</si>
  <si>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</si>
  <si>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</si>
  <si>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</si>
  <si>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</si>
  <si>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</si>
  <si>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</si>
  <si>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</si>
  <si>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</si>
  <si>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</si>
  <si>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</si>
  <si>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</si>
  <si>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</si>
  <si>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</si>
  <si>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</si>
  <si>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</si>
  <si>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</si>
  <si>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</si>
  <si>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</si>
  <si>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</si>
  <si>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</si>
  <si>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</si>
  <si>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</si>
  <si>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</si>
  <si>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</si>
  <si>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</si>
  <si>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</si>
  <si>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</si>
  <si>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</si>
  <si>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</si>
  <si>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</si>
  <si>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</si>
  <si>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</si>
  <si>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</si>
  <si>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</si>
  <si>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</si>
  <si>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</si>
  <si>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</si>
  <si>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</si>
  <si>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</si>
  <si>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</si>
  <si>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</si>
  <si>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</si>
  <si>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</si>
  <si>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</si>
  <si>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</si>
  <si>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</si>
  <si>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</si>
  <si>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</si>
  <si>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</si>
  <si>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</si>
  <si>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</si>
  <si>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</si>
  <si>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</si>
  <si>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</si>
  <si>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</si>
  <si>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</si>
  <si>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</si>
  <si>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</si>
  <si>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</si>
  <si>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</si>
  <si>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</si>
  <si>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</si>
  <si>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</si>
  <si>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</si>
  <si>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</si>
  <si>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</si>
  <si>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</si>
  <si>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</si>
  <si>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</si>
  <si>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</si>
  <si>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</si>
  <si>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</si>
  <si>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</si>
  <si>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</si>
  <si>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</si>
  <si>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</si>
  <si>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</si>
  <si>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</si>
  <si>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</si>
  <si>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</si>
  <si>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</si>
  <si>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</si>
  <si>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</si>
  <si>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</si>
  <si>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</si>
  <si>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</si>
  <si>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</si>
  <si>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</si>
  <si>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</si>
  <si>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</si>
  <si>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</si>
  <si>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</si>
  <si>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</si>
  <si>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</si>
  <si>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</si>
  <si>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</si>
  <si>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</si>
  <si>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</si>
  <si>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</si>
  <si>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</si>
  <si>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</si>
  <si>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</si>
  <si>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</si>
  <si>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</si>
  <si>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</si>
  <si>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</si>
  <si>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</si>
  <si>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</si>
  <si>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</si>
  <si>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</si>
  <si>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</si>
  <si>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</si>
  <si>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</si>
  <si>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</si>
  <si>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</si>
  <si>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</si>
  <si>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</si>
  <si>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</si>
  <si>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</si>
  <si>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</si>
  <si>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</si>
  <si>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</si>
  <si>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</si>
  <si>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</si>
  <si>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</si>
  <si>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</si>
  <si>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</si>
  <si>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</si>
  <si>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</si>
  <si>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</si>
  <si>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</si>
  <si>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</si>
  <si>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</si>
  <si>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</si>
  <si>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County Transfers Gas</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</si>
  <si>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</si>
  <si>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</si>
  <si>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</si>
  <si>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</si>
  <si>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</si>
  <si>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</si>
  <si>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</si>
  <si>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</si>
  <si>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</si>
  <si>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</si>
  <si>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</si>
  <si>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</si>
  <si>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</si>
  <si>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</si>
  <si>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</si>
  <si>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</si>
  <si>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</si>
  <si>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</si>
  <si>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</si>
  <si>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</si>
  <si>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</si>
  <si>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</si>
  <si>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</si>
  <si>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</si>
  <si>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</si>
  <si>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</si>
  <si>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</si>
  <si>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</si>
  <si>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</si>
  <si>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</si>
  <si>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</si>
  <si>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</si>
  <si>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</si>
  <si>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</si>
  <si>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</si>
  <si>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</si>
  <si>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t>Debt Service</t>
  </si>
  <si>
    <r>
      <t>3a. Made the total expenditures block for the actual and current year to turn '</t>
    </r>
    <r>
      <rPr>
        <sz val="12"/>
        <color indexed="10"/>
        <rFont val="Times New Roman"/>
        <family val="1"/>
      </rPr>
      <t>Red</t>
    </r>
    <r>
      <rPr>
        <sz val="12"/>
        <rFont val="Times New Roman"/>
        <family val="1"/>
      </rPr>
      <t>' if violation occurs.</t>
    </r>
  </si>
  <si>
    <t>(Note: Should agree with general sub-totals.)</t>
  </si>
  <si>
    <t>General Fund - Detail Expenditures</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</si>
  <si>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</si>
  <si>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</si>
  <si>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</si>
  <si>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</si>
  <si>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</si>
  <si>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</si>
  <si>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</si>
  <si>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</si>
  <si>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</si>
  <si>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</si>
  <si>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</si>
  <si>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</si>
  <si>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</si>
  <si>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</si>
  <si>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</si>
  <si>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</si>
  <si>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</si>
  <si>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</si>
  <si>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</si>
  <si>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</si>
  <si>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</si>
  <si>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</si>
  <si>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</si>
  <si>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</si>
  <si>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</si>
  <si>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</si>
  <si>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</si>
  <si>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</si>
  <si>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</si>
  <si>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</si>
  <si>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</si>
  <si>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</si>
  <si>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</si>
  <si>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</si>
  <si>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</si>
  <si>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</si>
  <si>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</si>
  <si>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</si>
  <si>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</si>
  <si>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</si>
  <si>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</si>
  <si>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</si>
  <si>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</si>
  <si>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</si>
  <si>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</si>
  <si>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</si>
  <si>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</si>
  <si>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</si>
  <si>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</si>
  <si>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</si>
  <si>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</si>
  <si>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</si>
  <si>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</si>
  <si>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</si>
  <si>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</si>
  <si>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</si>
  <si>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</si>
  <si>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</si>
  <si>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</si>
  <si>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</si>
  <si>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</si>
  <si>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</si>
  <si>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</si>
  <si>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</si>
  <si>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</si>
  <si>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</si>
  <si>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</si>
  <si>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</si>
  <si>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</si>
  <si>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</si>
  <si>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</si>
  <si>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</si>
  <si>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</si>
  <si>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</si>
  <si>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</si>
  <si>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</si>
  <si>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</si>
  <si>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</si>
  <si>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</si>
  <si>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</si>
  <si>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</si>
  <si>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</si>
  <si>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</si>
  <si>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</si>
  <si>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</si>
  <si>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</si>
  <si>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</si>
  <si>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</si>
  <si>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</si>
  <si>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</si>
  <si>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</si>
  <si>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</si>
  <si>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</si>
  <si>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</si>
  <si>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</si>
  <si>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</si>
  <si>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</si>
  <si>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</si>
  <si>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</si>
  <si>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</si>
  <si>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</si>
  <si>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</si>
  <si>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</si>
  <si>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</si>
  <si>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</si>
  <si>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</si>
  <si>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</si>
  <si>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</si>
  <si>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</si>
  <si>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</si>
  <si>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</si>
  <si>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</si>
  <si>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</si>
  <si>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</si>
  <si>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</si>
  <si>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</si>
  <si>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</si>
  <si>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</si>
  <si>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</si>
  <si>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</si>
  <si>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</si>
  <si>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</si>
  <si>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</si>
  <si>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</si>
  <si>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</si>
  <si>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</si>
  <si>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</si>
  <si>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</si>
  <si>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</si>
  <si>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</si>
  <si>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</si>
  <si>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</si>
  <si>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</si>
  <si>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</si>
  <si>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</si>
  <si>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</si>
  <si>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</si>
  <si>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</si>
  <si>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</si>
  <si>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</si>
  <si>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</si>
  <si>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</si>
  <si>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</si>
  <si>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</si>
  <si>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</si>
  <si>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</si>
  <si>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</si>
  <si>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</si>
  <si>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</si>
  <si>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</si>
  <si>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</si>
  <si>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</si>
  <si>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</si>
  <si>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</si>
  <si>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</si>
  <si>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</si>
  <si>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</si>
  <si>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</si>
  <si>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</si>
  <si>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</si>
  <si>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</si>
  <si>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</si>
  <si>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</si>
  <si>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</si>
  <si>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</si>
  <si>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</si>
  <si>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</si>
  <si>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</si>
  <si>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</si>
  <si>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</si>
  <si>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</si>
  <si>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</si>
  <si>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</si>
  <si>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</si>
  <si>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</si>
  <si>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</si>
  <si>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</si>
  <si>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</si>
  <si>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</si>
  <si>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</si>
  <si>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</si>
  <si>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</si>
  <si>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</si>
  <si>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</si>
  <si>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</si>
  <si>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</si>
  <si>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</si>
  <si>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</si>
  <si>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</si>
  <si>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</si>
  <si>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</si>
  <si>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</si>
  <si>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</si>
  <si>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</si>
  <si>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</si>
  <si>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</si>
  <si>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</si>
  <si>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</si>
  <si>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</si>
  <si>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</si>
  <si>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</si>
  <si>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</si>
  <si>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</si>
  <si>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</si>
  <si>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</si>
  <si>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</si>
  <si>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</si>
  <si>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</si>
  <si>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</si>
  <si>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</si>
  <si>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</si>
  <si>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</si>
  <si>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</si>
  <si>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</si>
  <si>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</si>
  <si>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</si>
  <si>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</si>
  <si>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</si>
  <si>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</si>
  <si>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</si>
  <si>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</si>
  <si>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</si>
  <si>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</si>
  <si>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</si>
  <si>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</si>
  <si>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</si>
  <si>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</si>
  <si>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</si>
  <si>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</si>
  <si>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</si>
  <si>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</si>
  <si>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</si>
  <si>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</si>
  <si>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</si>
  <si>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</si>
  <si>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</si>
  <si>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</si>
  <si>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</si>
  <si>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</si>
  <si>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</si>
  <si>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</si>
  <si>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</si>
  <si>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</si>
  <si>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</si>
  <si>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</si>
  <si>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</si>
  <si>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</si>
  <si>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</si>
  <si>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</si>
  <si>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</si>
  <si>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</si>
  <si>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</si>
  <si>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</si>
  <si>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</si>
  <si>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</si>
  <si>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</si>
  <si>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</si>
  <si>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</si>
  <si>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</si>
  <si>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</si>
  <si>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</si>
  <si>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</si>
  <si>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</si>
  <si>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</si>
  <si>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</si>
  <si>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</si>
  <si>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</si>
  <si>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</si>
  <si>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</si>
  <si>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</si>
  <si>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</si>
  <si>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</si>
  <si>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</si>
  <si>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</si>
  <si>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</si>
  <si>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</si>
  <si>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</si>
  <si>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</si>
  <si>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</si>
  <si>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</si>
  <si>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</si>
  <si>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</si>
  <si>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</si>
  <si>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</si>
  <si>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</si>
  <si>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</si>
  <si>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</si>
  <si>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</si>
  <si>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</si>
  <si>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</si>
  <si>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</si>
  <si>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</si>
  <si>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</si>
  <si>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</si>
  <si>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</si>
  <si>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</si>
  <si>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</si>
  <si>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</si>
  <si>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</si>
  <si>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</si>
  <si>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</si>
  <si>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</si>
  <si>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</si>
  <si>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</si>
  <si>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</si>
  <si>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</si>
  <si>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</si>
  <si>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</si>
  <si>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</si>
  <si>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</si>
  <si>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</si>
  <si>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</si>
  <si>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</si>
  <si>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</si>
  <si>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</si>
  <si>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r>
      <t>Adjustments</t>
    </r>
    <r>
      <rPr>
        <b/>
        <sz val="12"/>
        <color indexed="10"/>
        <rFont val="Times New Roman"/>
        <family val="1"/>
      </rPr>
      <t>*</t>
    </r>
  </si>
  <si>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</si>
  <si>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</si>
  <si>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</si>
  <si>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</si>
  <si>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</si>
  <si>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</si>
  <si>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</si>
  <si>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</si>
  <si>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</si>
  <si>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Does miscellaneous exceed 10% of Total Exp</t>
  </si>
  <si>
    <t>Does miscellanous exceed 10% of Total Exp</t>
  </si>
  <si>
    <t xml:space="preserve"> Sub-Total detail page </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</si>
  <si>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</si>
  <si>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</si>
  <si>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</si>
  <si>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</si>
  <si>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</si>
  <si>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</si>
  <si>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</si>
  <si>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</si>
  <si>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</si>
  <si>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</si>
  <si>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</si>
  <si>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</si>
  <si>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</si>
  <si>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</si>
  <si>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</si>
  <si>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</si>
  <si>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</si>
  <si>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</si>
  <si>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</si>
  <si>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</si>
  <si>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</si>
  <si>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</si>
  <si>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</si>
  <si>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</si>
  <si>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</si>
  <si>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</si>
  <si>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</si>
  <si>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</si>
  <si>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</si>
  <si>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</si>
  <si>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</si>
  <si>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</si>
  <si>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</si>
  <si>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</si>
  <si>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</si>
  <si>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</si>
  <si>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</si>
  <si>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</si>
  <si>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</si>
  <si>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</si>
  <si>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</si>
  <si>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</si>
  <si>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</si>
  <si>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</si>
  <si>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</si>
  <si>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</si>
  <si>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</si>
  <si>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</si>
  <si>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</si>
  <si>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</si>
  <si>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</si>
  <si>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</si>
  <si>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</si>
  <si>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</si>
  <si>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</si>
  <si>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</si>
  <si>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</si>
  <si>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</si>
  <si>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</si>
  <si>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</si>
  <si>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</si>
  <si>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</si>
  <si>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</si>
  <si>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</si>
  <si>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</si>
  <si>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</si>
  <si>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</si>
  <si>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</si>
  <si>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</si>
  <si>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</si>
  <si>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</si>
  <si>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</si>
  <si>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</si>
  <si>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</si>
  <si>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</si>
  <si>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</si>
  <si>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</si>
  <si>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</si>
  <si>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</si>
  <si>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</si>
  <si>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</si>
  <si>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</si>
  <si>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</si>
  <si>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</si>
  <si>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</si>
  <si>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</si>
  <si>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</si>
  <si>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</si>
  <si>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</si>
  <si>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</si>
  <si>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</si>
  <si>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</si>
  <si>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</si>
  <si>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</si>
  <si>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</si>
  <si>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</si>
  <si>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</si>
  <si>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</si>
  <si>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</si>
  <si>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</si>
  <si>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</si>
  <si>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</si>
  <si>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</si>
  <si>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</si>
  <si>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</si>
  <si>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</si>
  <si>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</si>
  <si>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</si>
  <si>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</si>
  <si>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</si>
  <si>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</si>
  <si>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</si>
  <si>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</si>
  <si>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</si>
  <si>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</si>
  <si>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</si>
  <si>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</si>
  <si>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</si>
  <si>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</si>
  <si>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</si>
  <si>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</si>
  <si>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</si>
  <si>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</si>
  <si>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</si>
  <si>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</si>
  <si>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</si>
  <si>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</si>
  <si>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</si>
  <si>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</si>
  <si>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</si>
  <si>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</si>
  <si>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</si>
  <si>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</si>
  <si>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</si>
  <si>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</si>
  <si>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</si>
  <si>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</si>
  <si>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</si>
  <si>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</si>
  <si>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</si>
  <si>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</si>
  <si>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</si>
  <si>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</si>
  <si>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</si>
  <si>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</si>
  <si>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</si>
  <si>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</si>
  <si>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</si>
  <si>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</si>
  <si>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</si>
  <si>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</si>
  <si>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</si>
  <si>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</si>
  <si>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</si>
  <si>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</si>
  <si>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</si>
  <si>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</si>
  <si>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</si>
  <si>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</si>
  <si>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</si>
  <si>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</si>
  <si>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</si>
  <si>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</si>
  <si>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</si>
  <si>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</si>
  <si>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</si>
  <si>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</si>
  <si>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</si>
  <si>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</si>
  <si>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</si>
  <si>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</si>
  <si>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</si>
  <si>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</si>
  <si>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</si>
  <si>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</si>
  <si>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</si>
  <si>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</si>
  <si>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</si>
  <si>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</si>
  <si>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</si>
  <si>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</si>
  <si>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</si>
  <si>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</si>
  <si>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</si>
  <si>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</si>
  <si>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</si>
  <si>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</si>
  <si>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</si>
  <si>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</si>
  <si>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</si>
  <si>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</si>
  <si>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</si>
  <si>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</si>
  <si>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</si>
  <si>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</si>
  <si>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</si>
  <si>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</si>
  <si>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</si>
  <si>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</si>
  <si>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</si>
  <si>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</si>
  <si>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</si>
  <si>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</si>
  <si>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</si>
  <si>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</si>
  <si>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</si>
  <si>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</si>
  <si>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</si>
  <si>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</si>
  <si>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</si>
  <si>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</si>
  <si>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</si>
  <si>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</si>
  <si>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</si>
  <si>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</si>
  <si>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</si>
  <si>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</si>
  <si>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</si>
  <si>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</si>
  <si>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</si>
  <si>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</si>
  <si>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</si>
  <si>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</si>
  <si>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</si>
  <si>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</si>
  <si>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</si>
  <si>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</si>
  <si>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</si>
  <si>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</si>
  <si>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</si>
  <si>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</si>
  <si>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</si>
  <si>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</si>
  <si>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</si>
  <si>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</si>
  <si>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</si>
  <si>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</si>
  <si>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</si>
  <si>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</si>
  <si>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</si>
  <si>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</si>
  <si>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</si>
  <si>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</si>
  <si>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</si>
  <si>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</si>
  <si>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</si>
  <si>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</si>
  <si>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</si>
  <si>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</si>
  <si>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</si>
  <si>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</si>
  <si>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</si>
  <si>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</si>
  <si>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</si>
  <si>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</si>
  <si>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</si>
  <si>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</si>
  <si>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</si>
  <si>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</si>
  <si>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</si>
  <si>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</si>
  <si>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</si>
  <si>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</si>
  <si>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</si>
  <si>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</si>
  <si>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</si>
  <si>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</si>
  <si>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</si>
  <si>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</si>
  <si>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</si>
  <si>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</si>
  <si>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</si>
  <si>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</si>
  <si>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</si>
  <si>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</si>
  <si>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</si>
  <si>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</si>
  <si>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</si>
  <si>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</si>
  <si>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</si>
  <si>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</si>
  <si>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</si>
  <si>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</si>
  <si>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</si>
  <si>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</si>
  <si>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</si>
  <si>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</si>
  <si>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</si>
  <si>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</si>
  <si>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</si>
  <si>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</si>
  <si>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</si>
  <si>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</si>
  <si>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</si>
  <si>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</si>
  <si>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</si>
  <si>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</si>
  <si>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</si>
  <si>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</si>
  <si>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</si>
  <si>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</si>
  <si>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</si>
  <si>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</si>
  <si>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</si>
  <si>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</si>
  <si>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</si>
  <si>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</si>
  <si>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</si>
  <si>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</si>
  <si>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</si>
  <si>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</si>
  <si>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</si>
  <si>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</si>
  <si>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</si>
  <si>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</si>
  <si>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</si>
  <si>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</si>
  <si>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</si>
  <si>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</si>
  <si>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</si>
  <si>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</si>
  <si>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</si>
  <si>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</si>
  <si>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</si>
  <si>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</si>
  <si>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</si>
  <si>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</si>
  <si>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</si>
  <si>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</si>
  <si>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</si>
  <si>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</si>
  <si>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</si>
  <si>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</si>
  <si>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</si>
  <si>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</si>
  <si>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</si>
  <si>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</si>
  <si>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</si>
  <si>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Valley Center</t>
  </si>
  <si>
    <t>Sedgwick County</t>
  </si>
  <si>
    <t>Employee Benefit</t>
  </si>
  <si>
    <t>12-16, 102</t>
  </si>
  <si>
    <t>Emergency Equipment</t>
  </si>
  <si>
    <t>12-110b</t>
  </si>
  <si>
    <t>Equipment Reserve</t>
  </si>
  <si>
    <t>ADSAP</t>
  </si>
  <si>
    <t>Active Aging</t>
  </si>
  <si>
    <t>Special Alcohol &amp; Drug</t>
  </si>
  <si>
    <t>Special Park &amp; Recreation</t>
  </si>
  <si>
    <t>Drug Tax Distribution</t>
  </si>
  <si>
    <t>Water Utility</t>
  </si>
  <si>
    <t>Storm Water Utility</t>
  </si>
  <si>
    <t>Solid Waste Utility</t>
  </si>
  <si>
    <t>Sewer Utility</t>
  </si>
  <si>
    <t>Kristine Polian</t>
  </si>
  <si>
    <t>7:00 PM</t>
  </si>
  <si>
    <t>City Hall, 121 S. Meridian</t>
  </si>
  <si>
    <t>Joel Pile, City Administrator</t>
  </si>
  <si>
    <t>City of Valley Center</t>
  </si>
  <si>
    <t>121 S. Meridian</t>
  </si>
  <si>
    <t>Valley Center, KS   67147</t>
  </si>
  <si>
    <t>jpile@valleycenterks.org</t>
  </si>
  <si>
    <t>General Fund</t>
  </si>
  <si>
    <t>68-590</t>
  </si>
  <si>
    <t>68-141g</t>
  </si>
  <si>
    <t>12-6a16</t>
  </si>
  <si>
    <t>2007 Sewer Debt</t>
  </si>
  <si>
    <t>2000 Water Debt</t>
  </si>
  <si>
    <t>2007 Water Debt</t>
  </si>
  <si>
    <t>ADMINISTRATIVE FEE TRANSFERS</t>
  </si>
  <si>
    <t>12-825d</t>
  </si>
  <si>
    <t>County Sales Tax Distribution</t>
  </si>
  <si>
    <t>State Alcohol Distribution</t>
  </si>
  <si>
    <t>Licenses &amp; Permits</t>
  </si>
  <si>
    <t>Services &amp; Fees</t>
  </si>
  <si>
    <t>Fines &amp; Forfeitures</t>
  </si>
  <si>
    <t>Other Revenues</t>
  </si>
  <si>
    <t>Utility Administrative Fees</t>
  </si>
  <si>
    <t>ADMINISTRATION</t>
  </si>
  <si>
    <t xml:space="preserve">  Transfer to Equipment Reserve</t>
  </si>
  <si>
    <t xml:space="preserve">  Transfer to Special Streets &amp; HW</t>
  </si>
  <si>
    <t>LEGAL &amp; COURT</t>
  </si>
  <si>
    <t xml:space="preserve">  Capital Outlay &amp; Other</t>
  </si>
  <si>
    <t>COMMUNITY DEVELOPMENT</t>
  </si>
  <si>
    <t>POLICE</t>
  </si>
  <si>
    <t>FIRE</t>
  </si>
  <si>
    <t>PARK &amp; PUBLIC GROUNDS</t>
  </si>
  <si>
    <t>ENVIRONMENTAL SERVICES</t>
  </si>
  <si>
    <t>EMERGENCY COMMUNICATIONS</t>
  </si>
  <si>
    <t>City Transfer to Library</t>
  </si>
  <si>
    <t>Special Assessments</t>
  </si>
  <si>
    <t>Bond Proceeds</t>
  </si>
  <si>
    <t>Transfers-In &amp; Reimbursements</t>
  </si>
  <si>
    <t>Contractuals</t>
  </si>
  <si>
    <t>Principal Payments</t>
  </si>
  <si>
    <t>Interest Payments</t>
  </si>
  <si>
    <t>Capital Outlay</t>
  </si>
  <si>
    <t>Medicare</t>
  </si>
  <si>
    <t>Social Security</t>
  </si>
  <si>
    <t>KPERS</t>
  </si>
  <si>
    <t>Hospitalization Insurance</t>
  </si>
  <si>
    <t>Worker's Comp Insurance</t>
  </si>
  <si>
    <t>Unemployment Insurance</t>
  </si>
  <si>
    <t>Reimbursed Expense</t>
  </si>
  <si>
    <t>Transfer from General Fund</t>
  </si>
  <si>
    <t>Salaries &amp; Benefits</t>
  </si>
  <si>
    <t>Commodities</t>
  </si>
  <si>
    <t>Transfer to Bond &amp; Interest / CIP</t>
  </si>
  <si>
    <t>Transfer to Equipment Reserve</t>
  </si>
  <si>
    <t xml:space="preserve">Reimbursed Expense &amp; Grant Contributions </t>
  </si>
  <si>
    <t>Transfer In from General Fund</t>
  </si>
  <si>
    <t>Transfer In from Water Utility</t>
  </si>
  <si>
    <t>Transfer In from Sewer Utility</t>
  </si>
  <si>
    <t>Transfer In from Special Streets &amp; HW</t>
  </si>
  <si>
    <t>1997-1 Streets, Water, Sewer</t>
  </si>
  <si>
    <t>1997-2 Streets, Water, Sewer</t>
  </si>
  <si>
    <t>2002-1 Internal Improvements &amp; Refunding</t>
  </si>
  <si>
    <t>2003-1 Internal Improvements &amp; Refunding</t>
  </si>
  <si>
    <t>2006-1 Internal Improvements &amp; Refunding</t>
  </si>
  <si>
    <t>2006-2 Internal Improvements &amp; Refunding</t>
  </si>
  <si>
    <t>2007-1 Internal Improvements &amp; Refunding</t>
  </si>
  <si>
    <t xml:space="preserve">2009-1 G.O. Bond </t>
  </si>
  <si>
    <t>2009-2 G.O. Bond</t>
  </si>
  <si>
    <t>2010-1 G. O. Bond</t>
  </si>
  <si>
    <t xml:space="preserve">2000 - KDHE State Revolving Water Loan </t>
  </si>
  <si>
    <t>2007 KDHE - Kansas Public Water Supply Loan</t>
  </si>
  <si>
    <t>2008 KDHE KWPCRLF</t>
  </si>
  <si>
    <t>2012-1 G.O. Bond</t>
  </si>
  <si>
    <t>2012-2 G.O. Bond</t>
  </si>
  <si>
    <t xml:space="preserve">County Grant Payment </t>
  </si>
  <si>
    <t>Senior Services</t>
  </si>
  <si>
    <t>County / State Payments</t>
  </si>
  <si>
    <t>Contractual Services</t>
  </si>
  <si>
    <t>County / State Payment</t>
  </si>
  <si>
    <t>Contributions</t>
  </si>
  <si>
    <t>Charges for Service</t>
  </si>
  <si>
    <t>In Lieu of Tax</t>
  </si>
  <si>
    <t>Transfer to B&amp;I for '07 KDHE</t>
  </si>
  <si>
    <t>Transfer to B&amp;I for '00 KDHE</t>
  </si>
  <si>
    <t>2007 KDHE Loan Payment</t>
  </si>
  <si>
    <t>2000 KDHE Loan Payment</t>
  </si>
  <si>
    <t>Transfer to '07 Sewer B&amp;I KDHE</t>
  </si>
  <si>
    <t>Management Fee</t>
  </si>
  <si>
    <t>Transfer from Sewer</t>
  </si>
  <si>
    <t>08 KDHE Loan</t>
  </si>
  <si>
    <t>00 KDHE Water Loan</t>
  </si>
  <si>
    <t>08 KDHE Sewer Loan</t>
  </si>
  <si>
    <t>07 KDHE Water Loan</t>
  </si>
  <si>
    <t>Transfer from Water</t>
  </si>
  <si>
    <t>07 KDHE Loan</t>
  </si>
  <si>
    <t>00 KDHE Loan</t>
  </si>
  <si>
    <t>Road Grader</t>
  </si>
  <si>
    <t>2012-3 G.O. Bond</t>
  </si>
  <si>
    <t>Debt Service (00)</t>
  </si>
  <si>
    <t>Debt Service (07)</t>
  </si>
  <si>
    <t>August 21, 2012</t>
  </si>
  <si>
    <t>ORDINANCE NUMBER 1247-12</t>
  </si>
  <si>
    <t>Michael McNown, Mayor</t>
  </si>
  <si>
    <t>Marci Mashino, Council</t>
  </si>
  <si>
    <t xml:space="preserve">        Jake Jackson, Council</t>
  </si>
  <si>
    <t xml:space="preserve">        Terry Ishman, Council</t>
  </si>
  <si>
    <t>Al Hobson, Council</t>
  </si>
  <si>
    <t xml:space="preserve">        Lou Cicirello, Council</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</si>
</sst>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100">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b/>
      <u val="single"/>
      <sz val="8"/>
      <color indexed="10"/>
      <name val="Times New Roman"/>
      <family val="1"/>
    </font>
    <font>
      <sz val="12"/>
      <name val="Courier New"/>
      <family val="3"/>
    </font>
    <font>
      <i/>
      <u val="single"/>
      <sz val="12"/>
      <name val="Courier"/>
      <family val="3"/>
    </font>
    <font>
      <u val="single"/>
      <sz val="12"/>
      <color indexed="12"/>
      <name val="Courier New"/>
      <family val="3"/>
    </font>
    <font>
      <sz val="10"/>
      <name val="Times New Roman"/>
      <family val="1"/>
    </font>
    <font>
      <b/>
      <u val="single"/>
      <sz val="10"/>
      <name val="Times New Roman"/>
      <family val="1"/>
    </font>
    <font>
      <b/>
      <sz val="10"/>
      <name val="Times New Roman"/>
      <family val="1"/>
    </font>
    <font>
      <sz val="8"/>
      <color indexed="10"/>
      <name val="Times New Roman"/>
      <family val="1"/>
    </font>
    <font>
      <b/>
      <u val="single"/>
      <sz val="8"/>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u val="single"/>
      <sz val="12"/>
      <color indexed="10"/>
      <name val="Times New Roman"/>
      <family val="1"/>
    </font>
    <font>
      <sz val="10"/>
      <color indexed="10"/>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9"/>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9"/>
      <color rgb="FFFF0000"/>
      <name val="Times New Roman"/>
      <family val="1"/>
    </font>
    <font>
      <sz val="12"/>
      <color rgb="FFFF0000"/>
      <name val="Times New Roman"/>
      <family val="1"/>
    </font>
    <font>
      <sz val="10"/>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theme="1"/>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style="thin"/>
      <right>
        <color indexed="63"/>
      </right>
      <top style="thin"/>
      <bottom>
        <color indexed="63"/>
      </bottom>
    </border>
    <border>
      <left style="thin"/>
      <right style="thin"/>
      <top style="thin"/>
      <bottom style="double"/>
    </border>
    <border>
      <left>
        <color indexed="63"/>
      </left>
      <right style="thin"/>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medium"/>
      <bottom>
        <color indexed="63"/>
      </bottom>
    </border>
    <border>
      <left style="thin"/>
      <right style="thin"/>
      <top style="medium"/>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893">
    <xf numFmtId="0" fontId="0" fillId="0" borderId="0" xfId="0" applyAlignment="1">
      <alignment/>
    </xf>
    <xf numFmtId="0" fontId="5" fillId="0" borderId="0" xfId="0" applyFont="1" applyAlignment="1">
      <alignment/>
    </xf>
    <xf numFmtId="0" fontId="10"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9"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6"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4"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8" fillId="34" borderId="0" xfId="0" applyFont="1" applyFill="1" applyAlignment="1">
      <alignment vertical="center"/>
    </xf>
    <xf numFmtId="0" fontId="21"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0" fontId="5" fillId="34" borderId="17" xfId="0" applyFont="1" applyFill="1" applyBorder="1" applyAlignment="1" applyProtection="1">
      <alignment horizontal="centerContinuous" vertical="center"/>
      <protection/>
    </xf>
    <xf numFmtId="37" fontId="5" fillId="34" borderId="10" xfId="0" applyNumberFormat="1" applyFont="1" applyFill="1" applyBorder="1" applyAlignment="1" applyProtection="1">
      <alignment horizontal="fill" vertical="center"/>
      <protection/>
    </xf>
    <xf numFmtId="37" fontId="5" fillId="34" borderId="13"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14" fillId="34" borderId="19" xfId="0" applyNumberFormat="1" applyFont="1" applyFill="1" applyBorder="1" applyAlignment="1" applyProtection="1">
      <alignment horizontal="left" vertical="center"/>
      <protection/>
    </xf>
    <xf numFmtId="37" fontId="14" fillId="34" borderId="1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37" fontId="5" fillId="39" borderId="12"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vertical="center"/>
      <protection/>
    </xf>
    <xf numFmtId="37" fontId="5" fillId="34" borderId="21" xfId="0" applyNumberFormat="1" applyFont="1" applyFill="1" applyBorder="1" applyAlignment="1" applyProtection="1">
      <alignment horizontal="left" vertical="center"/>
      <protection/>
    </xf>
    <xf numFmtId="0" fontId="9" fillId="34" borderId="0" xfId="0" applyFont="1" applyFill="1" applyBorder="1" applyAlignment="1" applyProtection="1">
      <alignment vertical="center" shrinkToFit="1"/>
      <protection/>
    </xf>
    <xf numFmtId="37" fontId="5" fillId="40" borderId="12" xfId="0" applyNumberFormat="1" applyFont="1" applyFill="1" applyBorder="1" applyAlignment="1" applyProtection="1">
      <alignment horizontal="left" vertical="center"/>
      <protection/>
    </xf>
    <xf numFmtId="0" fontId="5" fillId="40" borderId="12" xfId="0" applyFont="1" applyFill="1" applyBorder="1" applyAlignment="1" applyProtection="1">
      <alignment vertical="center"/>
      <protection/>
    </xf>
    <xf numFmtId="37" fontId="5" fillId="40" borderId="12" xfId="0" applyNumberFormat="1" applyFont="1" applyFill="1" applyBorder="1" applyAlignment="1" applyProtection="1">
      <alignment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horizontal="right" vertical="center"/>
      <protection/>
    </xf>
    <xf numFmtId="3" fontId="5" fillId="34" borderId="0" xfId="0" applyNumberFormat="1" applyFont="1" applyFill="1" applyAlignment="1" applyProtection="1" quotePrefix="1">
      <alignment vertical="center"/>
      <protection/>
    </xf>
    <xf numFmtId="3" fontId="5" fillId="34" borderId="10" xfId="0" applyNumberFormat="1" applyFont="1" applyFill="1" applyBorder="1" applyAlignment="1" applyProtection="1">
      <alignment vertical="center"/>
      <protection/>
    </xf>
    <xf numFmtId="0" fontId="5" fillId="34" borderId="0" xfId="0" applyFont="1" applyFill="1" applyAlignment="1" applyProtection="1" quotePrefix="1">
      <alignment vertical="center"/>
      <protection/>
    </xf>
    <xf numFmtId="3" fontId="5" fillId="34" borderId="18" xfId="0" applyNumberFormat="1" applyFont="1" applyFill="1" applyBorder="1" applyAlignment="1" applyProtection="1">
      <alignment vertical="center"/>
      <protection/>
    </xf>
    <xf numFmtId="171" fontId="5" fillId="34" borderId="10"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2" xfId="0" applyNumberFormat="1" applyFont="1" applyFill="1" applyBorder="1" applyAlignment="1" applyProtection="1">
      <alignment vertical="center"/>
      <protection/>
    </xf>
    <xf numFmtId="3" fontId="5" fillId="34" borderId="10" xfId="42" applyNumberFormat="1" applyFont="1" applyFill="1" applyBorder="1" applyAlignment="1" applyProtection="1">
      <alignment vertical="center"/>
      <protection/>
    </xf>
    <xf numFmtId="0" fontId="7" fillId="0" borderId="0" xfId="0" applyFont="1" applyAlignment="1">
      <alignment vertical="center"/>
    </xf>
    <xf numFmtId="0" fontId="5" fillId="34" borderId="1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center" vertical="center"/>
      <protection/>
    </xf>
    <xf numFmtId="0" fontId="5" fillId="34" borderId="20" xfId="0" applyNumberFormat="1"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5" fontId="5" fillId="39" borderId="10" xfId="0" applyNumberFormat="1" applyFont="1" applyFill="1" applyBorder="1" applyAlignment="1" applyProtection="1">
      <alignment vertical="center"/>
      <protection/>
    </xf>
    <xf numFmtId="0" fontId="5" fillId="0" borderId="0" xfId="0" applyFont="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0" xfId="0" applyFont="1" applyFill="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1" fontId="5" fillId="34" borderId="0" xfId="0" applyNumberFormat="1" applyFont="1" applyFill="1" applyBorder="1" applyAlignment="1" applyProtection="1">
      <alignment horizontal="right" vertical="center"/>
      <protection/>
    </xf>
    <xf numFmtId="0" fontId="4" fillId="34" borderId="0" xfId="378" applyFont="1" applyFill="1" applyAlignment="1" applyProtection="1">
      <alignment horizontal="centerContinuous" vertical="center"/>
      <protection/>
    </xf>
    <xf numFmtId="0" fontId="5" fillId="34" borderId="10"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3" xfId="0" applyFont="1" applyFill="1" applyBorder="1" applyAlignment="1" applyProtection="1">
      <alignment horizontal="centerContinuous" vertical="center"/>
      <protection/>
    </xf>
    <xf numFmtId="1" fontId="5" fillId="34" borderId="2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left" vertical="center"/>
      <protection/>
    </xf>
    <xf numFmtId="2"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2" fontId="5" fillId="33" borderId="12" xfId="0" applyNumberFormat="1" applyFont="1" applyFill="1" applyBorder="1" applyAlignment="1" applyProtection="1">
      <alignment horizontal="center" vertical="center"/>
      <protection locked="0"/>
    </xf>
    <xf numFmtId="3" fontId="5" fillId="33" borderId="12" xfId="0" applyNumberFormat="1" applyFont="1" applyFill="1" applyBorder="1" applyAlignment="1" applyProtection="1">
      <alignment horizontal="center" vertical="center"/>
      <protection locked="0"/>
    </xf>
    <xf numFmtId="37" fontId="5" fillId="33" borderId="12" xfId="0" applyNumberFormat="1" applyFont="1" applyFill="1" applyBorder="1" applyAlignment="1" applyProtection="1">
      <alignment horizontal="center" vertical="center"/>
      <protection locked="0"/>
    </xf>
    <xf numFmtId="175" fontId="5" fillId="33" borderId="12" xfId="0" applyNumberFormat="1" applyFont="1" applyFill="1" applyBorder="1" applyAlignment="1" applyProtection="1">
      <alignment horizontal="center" vertical="center"/>
      <protection locked="0"/>
    </xf>
    <xf numFmtId="0" fontId="4" fillId="34" borderId="12" xfId="0" applyFont="1" applyFill="1" applyBorder="1" applyAlignment="1" applyProtection="1">
      <alignment horizontal="left" vertical="center"/>
      <protection/>
    </xf>
    <xf numFmtId="174" fontId="4" fillId="34" borderId="12" xfId="0" applyNumberFormat="1" applyFont="1" applyFill="1" applyBorder="1" applyAlignment="1" applyProtection="1">
      <alignment horizontal="center" vertical="center"/>
      <protection/>
    </xf>
    <xf numFmtId="2" fontId="4" fillId="34" borderId="12"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7" fontId="4" fillId="39" borderId="12" xfId="0" applyNumberFormat="1" applyFont="1" applyFill="1" applyBorder="1" applyAlignment="1" applyProtection="1">
      <alignment horizontal="center" vertical="center"/>
      <protection/>
    </xf>
    <xf numFmtId="175" fontId="4" fillId="34" borderId="12" xfId="0" applyNumberFormat="1" applyFont="1" applyFill="1" applyBorder="1" applyAlignment="1" applyProtection="1">
      <alignment horizontal="center" vertical="center"/>
      <protection/>
    </xf>
    <xf numFmtId="174" fontId="5" fillId="34" borderId="12" xfId="0" applyNumberFormat="1" applyFont="1" applyFill="1" applyBorder="1" applyAlignment="1" applyProtection="1">
      <alignment horizontal="center" vertical="center"/>
      <protection/>
    </xf>
    <xf numFmtId="2" fontId="5" fillId="34" borderId="12" xfId="0" applyNumberFormat="1" applyFont="1" applyFill="1" applyBorder="1" applyAlignment="1" applyProtection="1">
      <alignment horizontal="center" vertical="center"/>
      <protection/>
    </xf>
    <xf numFmtId="175" fontId="5" fillId="34" borderId="12" xfId="0" applyNumberFormat="1" applyFont="1" applyFill="1" applyBorder="1" applyAlignment="1" applyProtection="1">
      <alignment horizontal="center" vertical="center"/>
      <protection/>
    </xf>
    <xf numFmtId="1" fontId="4" fillId="34" borderId="12" xfId="0" applyNumberFormat="1" applyFont="1" applyFill="1" applyBorder="1" applyAlignment="1" applyProtection="1">
      <alignment horizontal="center" vertical="center"/>
      <protection/>
    </xf>
    <xf numFmtId="3" fontId="4" fillId="39" borderId="12" xfId="0" applyNumberFormat="1" applyFont="1" applyFill="1" applyBorder="1" applyAlignment="1" applyProtection="1">
      <alignment horizontal="center" vertical="center"/>
      <protection/>
    </xf>
    <xf numFmtId="1" fontId="5" fillId="34" borderId="12"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8" fillId="34" borderId="14" xfId="0" applyFont="1" applyFill="1" applyBorder="1" applyAlignment="1" applyProtection="1">
      <alignment horizontal="center" vertical="center"/>
      <protection/>
    </xf>
    <xf numFmtId="14" fontId="5" fillId="34" borderId="14" xfId="0" applyNumberFormat="1" applyFont="1" applyFill="1" applyBorder="1" applyAlignment="1" applyProtection="1" quotePrefix="1">
      <alignment horizontal="center" vertical="center"/>
      <protection/>
    </xf>
    <xf numFmtId="0" fontId="5" fillId="33" borderId="12" xfId="0" applyFont="1" applyFill="1" applyBorder="1" applyAlignment="1" applyProtection="1">
      <alignment horizontal="center" vertical="center"/>
      <protection locked="0"/>
    </xf>
    <xf numFmtId="1" fontId="5" fillId="33" borderId="12" xfId="0" applyNumberFormat="1" applyFont="1" applyFill="1" applyBorder="1" applyAlignment="1" applyProtection="1">
      <alignment horizontal="center" vertical="center"/>
      <protection locked="0"/>
    </xf>
    <xf numFmtId="0" fontId="4" fillId="34" borderId="0" xfId="0" applyFont="1" applyFill="1" applyAlignment="1" applyProtection="1">
      <alignment horizontal="left" vertical="center"/>
      <protection/>
    </xf>
    <xf numFmtId="3" fontId="4" fillId="39" borderId="25" xfId="0" applyNumberFormat="1" applyFont="1" applyFill="1" applyBorder="1" applyAlignment="1" applyProtection="1">
      <alignment horizontal="center" vertical="center"/>
      <protection/>
    </xf>
    <xf numFmtId="0" fontId="5" fillId="36" borderId="0" xfId="377" applyFont="1" applyFill="1" applyAlignment="1" applyProtection="1">
      <alignment vertical="center"/>
      <protection/>
    </xf>
    <xf numFmtId="0" fontId="5" fillId="36"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19" xfId="0" applyFont="1" applyFill="1" applyBorder="1" applyAlignment="1" applyProtection="1">
      <alignment horizontal="left" vertical="center"/>
      <protection/>
    </xf>
    <xf numFmtId="3" fontId="5" fillId="33" borderId="19" xfId="0" applyNumberFormat="1" applyFont="1" applyFill="1" applyBorder="1" applyAlignment="1" applyProtection="1">
      <alignment vertical="center"/>
      <protection locked="0"/>
    </xf>
    <xf numFmtId="3" fontId="5" fillId="33" borderId="17" xfId="0" applyNumberFormat="1" applyFont="1" applyFill="1" applyBorder="1" applyAlignment="1" applyProtection="1">
      <alignment vertical="center"/>
      <protection locked="0"/>
    </xf>
    <xf numFmtId="0" fontId="5" fillId="34" borderId="21" xfId="0" applyFont="1" applyFill="1" applyBorder="1" applyAlignment="1" applyProtection="1">
      <alignment horizontal="left" vertical="center"/>
      <protection/>
    </xf>
    <xf numFmtId="37" fontId="5" fillId="33" borderId="19" xfId="0" applyNumberFormat="1" applyFont="1" applyFill="1" applyBorder="1" applyAlignment="1" applyProtection="1">
      <alignment vertical="center"/>
      <protection locked="0"/>
    </xf>
    <xf numFmtId="37" fontId="5" fillId="33" borderId="17" xfId="0" applyNumberFormat="1" applyFont="1" applyFill="1" applyBorder="1" applyAlignment="1" applyProtection="1">
      <alignment vertical="center"/>
      <protection locked="0"/>
    </xf>
    <xf numFmtId="37" fontId="5" fillId="34" borderId="12" xfId="0" applyNumberFormat="1" applyFont="1" applyFill="1" applyBorder="1" applyAlignment="1" applyProtection="1">
      <alignment horizontal="fill" vertical="center"/>
      <protection/>
    </xf>
    <xf numFmtId="37" fontId="5" fillId="33" borderId="12" xfId="0" applyNumberFormat="1" applyFont="1" applyFill="1" applyBorder="1" applyAlignment="1" applyProtection="1">
      <alignment vertical="center"/>
      <protection locked="0"/>
    </xf>
    <xf numFmtId="0" fontId="5" fillId="33" borderId="19" xfId="0" applyFont="1" applyFill="1" applyBorder="1" applyAlignment="1" applyProtection="1">
      <alignment horizontal="left" vertical="center"/>
      <protection locked="0"/>
    </xf>
    <xf numFmtId="37" fontId="18" fillId="40" borderId="17"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 fontId="4" fillId="39" borderId="12" xfId="0" applyNumberFormat="1" applyFont="1" applyFill="1" applyBorder="1" applyAlignment="1" applyProtection="1">
      <alignment vertical="center"/>
      <protection/>
    </xf>
    <xf numFmtId="0" fontId="4" fillId="34" borderId="19" xfId="0" applyFont="1" applyFill="1" applyBorder="1" applyAlignment="1" applyProtection="1">
      <alignment horizontal="left" vertical="center"/>
      <protection/>
    </xf>
    <xf numFmtId="0" fontId="5" fillId="39" borderId="19" xfId="0" applyFont="1" applyFill="1" applyBorder="1" applyAlignment="1" applyProtection="1">
      <alignment horizontal="left" vertical="center"/>
      <protection/>
    </xf>
    <xf numFmtId="0" fontId="5" fillId="39" borderId="19" xfId="0" applyFont="1" applyFill="1" applyBorder="1" applyAlignment="1" applyProtection="1">
      <alignment vertical="center"/>
      <protection/>
    </xf>
    <xf numFmtId="37" fontId="5" fillId="0" borderId="0" xfId="0" applyNumberFormat="1"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37" fontId="4" fillId="39" borderId="12" xfId="0" applyNumberFormat="1" applyFont="1" applyFill="1" applyBorder="1" applyAlignment="1" applyProtection="1">
      <alignment vertical="center"/>
      <protection/>
    </xf>
    <xf numFmtId="3" fontId="5"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6" fillId="34" borderId="0" xfId="0" applyFont="1" applyFill="1" applyAlignment="1" applyProtection="1">
      <alignment horizontal="center" vertical="center"/>
      <protection/>
    </xf>
    <xf numFmtId="0" fontId="5" fillId="34" borderId="0" xfId="0" applyFont="1" applyFill="1" applyAlignment="1">
      <alignment horizontal="right" vertical="center"/>
    </xf>
    <xf numFmtId="0" fontId="5" fillId="34" borderId="0" xfId="0" applyFont="1" applyFill="1" applyAlignment="1" applyProtection="1">
      <alignment horizontal="fill" vertical="center"/>
      <protection/>
    </xf>
    <xf numFmtId="1" fontId="5" fillId="34" borderId="13" xfId="0" applyNumberFormat="1" applyFont="1" applyFill="1" applyBorder="1" applyAlignment="1" applyProtection="1">
      <alignment horizontal="center" vertical="center"/>
      <protection/>
    </xf>
    <xf numFmtId="0" fontId="5" fillId="33" borderId="12"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40" borderId="25" xfId="0" applyNumberFormat="1" applyFont="1" applyFill="1" applyBorder="1" applyAlignment="1" applyProtection="1">
      <alignment vertical="center"/>
      <protection/>
    </xf>
    <xf numFmtId="0" fontId="18" fillId="34" borderId="0" xfId="0" applyFont="1" applyFill="1" applyAlignment="1" applyProtection="1">
      <alignment vertical="center"/>
      <protection/>
    </xf>
    <xf numFmtId="37" fontId="5" fillId="33" borderId="0" xfId="0" applyNumberFormat="1" applyFont="1" applyFill="1" applyAlignment="1" applyProtection="1">
      <alignment horizontal="left" vertical="center"/>
      <protection locked="0"/>
    </xf>
    <xf numFmtId="3" fontId="5" fillId="34" borderId="12" xfId="0" applyNumberFormat="1" applyFont="1" applyFill="1" applyBorder="1" applyAlignment="1" applyProtection="1">
      <alignment horizontal="fill" vertical="center"/>
      <protection/>
    </xf>
    <xf numFmtId="3" fontId="18" fillId="40" borderId="17" xfId="0" applyNumberFormat="1" applyFont="1" applyFill="1" applyBorder="1" applyAlignment="1" applyProtection="1">
      <alignment horizontal="center" vertical="center"/>
      <protection/>
    </xf>
    <xf numFmtId="3" fontId="5" fillId="40" borderId="12"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4" fillId="34" borderId="12" xfId="0" applyNumberFormat="1" applyFont="1" applyFill="1" applyBorder="1" applyAlignment="1" applyProtection="1">
      <alignment vertical="center"/>
      <protection/>
    </xf>
    <xf numFmtId="3" fontId="5" fillId="40" borderId="25" xfId="0" applyNumberFormat="1" applyFont="1" applyFill="1" applyBorder="1" applyAlignment="1" applyProtection="1">
      <alignment vertical="center"/>
      <protection/>
    </xf>
    <xf numFmtId="3" fontId="5" fillId="0" borderId="0" xfId="0" applyNumberFormat="1" applyFont="1" applyAlignment="1" applyProtection="1">
      <alignment horizontal="fill" vertical="center"/>
      <protection locked="0"/>
    </xf>
    <xf numFmtId="0" fontId="5" fillId="33" borderId="19" xfId="0" applyFont="1" applyFill="1" applyBorder="1" applyAlignment="1" applyProtection="1">
      <alignment vertical="center"/>
      <protection locked="0"/>
    </xf>
    <xf numFmtId="0" fontId="5" fillId="33" borderId="21" xfId="0"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166" fontId="5" fillId="34" borderId="10" xfId="0" applyNumberFormat="1" applyFont="1" applyFill="1" applyBorder="1" applyAlignment="1" applyProtection="1">
      <alignment vertical="center"/>
      <protection/>
    </xf>
    <xf numFmtId="37" fontId="5" fillId="34" borderId="10" xfId="0" applyNumberFormat="1" applyFont="1" applyFill="1" applyBorder="1" applyAlignment="1" applyProtection="1" quotePrefix="1">
      <alignment horizontal="right" vertical="center"/>
      <protection/>
    </xf>
    <xf numFmtId="37" fontId="5" fillId="33" borderId="19"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2" fillId="34" borderId="0" xfId="0" applyFont="1" applyFill="1" applyAlignment="1">
      <alignment horizontal="center" vertical="center"/>
    </xf>
    <xf numFmtId="0" fontId="5" fillId="34" borderId="17" xfId="0" applyFont="1" applyFill="1" applyBorder="1" applyAlignment="1">
      <alignment vertical="center"/>
    </xf>
    <xf numFmtId="0" fontId="15" fillId="34" borderId="13" xfId="0" applyFont="1" applyFill="1" applyBorder="1" applyAlignment="1">
      <alignment vertical="center"/>
    </xf>
    <xf numFmtId="0" fontId="15" fillId="34" borderId="17" xfId="0" applyFont="1" applyFill="1" applyBorder="1" applyAlignment="1">
      <alignment horizontal="center" vertical="center"/>
    </xf>
    <xf numFmtId="0" fontId="15" fillId="34" borderId="23" xfId="0" applyFont="1" applyFill="1" applyBorder="1" applyAlignment="1">
      <alignment vertical="center"/>
    </xf>
    <xf numFmtId="0" fontId="15" fillId="34" borderId="12"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15" fillId="34" borderId="21" xfId="0" applyFont="1" applyFill="1" applyBorder="1" applyAlignment="1">
      <alignment vertical="center"/>
    </xf>
    <xf numFmtId="3" fontId="15" fillId="33" borderId="12" xfId="0" applyNumberFormat="1" applyFont="1" applyFill="1" applyBorder="1" applyAlignment="1" applyProtection="1">
      <alignment horizontal="center" vertical="center"/>
      <protection locked="0"/>
    </xf>
    <xf numFmtId="0" fontId="15" fillId="34" borderId="10" xfId="0" applyFont="1" applyFill="1" applyBorder="1" applyAlignment="1">
      <alignment vertical="center"/>
    </xf>
    <xf numFmtId="3" fontId="15" fillId="39" borderId="12" xfId="0" applyNumberFormat="1" applyFont="1" applyFill="1" applyBorder="1" applyAlignment="1">
      <alignment horizontal="center" vertical="center"/>
    </xf>
    <xf numFmtId="0" fontId="15" fillId="34" borderId="0" xfId="0" applyFont="1" applyFill="1" applyAlignment="1">
      <alignment vertical="center"/>
    </xf>
    <xf numFmtId="3" fontId="15" fillId="34" borderId="0" xfId="0" applyNumberFormat="1" applyFont="1" applyFill="1" applyAlignment="1">
      <alignment horizontal="center" vertical="center"/>
    </xf>
    <xf numFmtId="0" fontId="15" fillId="34" borderId="0" xfId="0" applyFont="1" applyFill="1" applyAlignment="1">
      <alignment horizontal="center" vertical="center"/>
    </xf>
    <xf numFmtId="0" fontId="15" fillId="33" borderId="12" xfId="0" applyFont="1" applyFill="1" applyBorder="1" applyAlignment="1" applyProtection="1">
      <alignment vertical="center"/>
      <protection locked="0"/>
    </xf>
    <xf numFmtId="0" fontId="15" fillId="33" borderId="23" xfId="0" applyFont="1" applyFill="1" applyBorder="1" applyAlignment="1" applyProtection="1">
      <alignment vertical="center"/>
      <protection locked="0"/>
    </xf>
    <xf numFmtId="3" fontId="15" fillId="33" borderId="23" xfId="0" applyNumberFormat="1" applyFont="1" applyFill="1" applyBorder="1" applyAlignment="1" applyProtection="1">
      <alignment horizontal="center" vertical="center"/>
      <protection locked="0"/>
    </xf>
    <xf numFmtId="0" fontId="15" fillId="33" borderId="0" xfId="0" applyFont="1" applyFill="1" applyAlignment="1" applyProtection="1">
      <alignment vertical="center"/>
      <protection locked="0"/>
    </xf>
    <xf numFmtId="3" fontId="15" fillId="33" borderId="16" xfId="0" applyNumberFormat="1" applyFont="1" applyFill="1" applyBorder="1" applyAlignment="1" applyProtection="1">
      <alignment horizontal="center" vertical="center"/>
      <protection locked="0"/>
    </xf>
    <xf numFmtId="3" fontId="15" fillId="33" borderId="17" xfId="0" applyNumberFormat="1" applyFont="1" applyFill="1" applyBorder="1" applyAlignment="1" applyProtection="1">
      <alignment horizontal="center" vertical="center"/>
      <protection locked="0"/>
    </xf>
    <xf numFmtId="0" fontId="15" fillId="33" borderId="17" xfId="0" applyFont="1" applyFill="1" applyBorder="1" applyAlignment="1" applyProtection="1">
      <alignment vertical="center"/>
      <protection locked="0"/>
    </xf>
    <xf numFmtId="0" fontId="15" fillId="33" borderId="14" xfId="0" applyFont="1" applyFill="1" applyBorder="1" applyAlignment="1" applyProtection="1">
      <alignment vertical="center"/>
      <protection locked="0"/>
    </xf>
    <xf numFmtId="3" fontId="15" fillId="33" borderId="26" xfId="0" applyNumberFormat="1" applyFont="1" applyFill="1" applyBorder="1" applyAlignment="1" applyProtection="1">
      <alignment horizontal="center" vertical="center"/>
      <protection locked="0"/>
    </xf>
    <xf numFmtId="0" fontId="15" fillId="33" borderId="26" xfId="0" applyFont="1" applyFill="1" applyBorder="1" applyAlignment="1" applyProtection="1">
      <alignment vertical="center"/>
      <protection locked="0"/>
    </xf>
    <xf numFmtId="0" fontId="15" fillId="39" borderId="12" xfId="0" applyFont="1" applyFill="1" applyBorder="1" applyAlignment="1">
      <alignment horizontal="center" vertical="center"/>
    </xf>
    <xf numFmtId="0" fontId="15" fillId="39" borderId="14" xfId="0" applyFont="1" applyFill="1" applyBorder="1" applyAlignment="1">
      <alignment horizontal="center" vertical="center"/>
    </xf>
    <xf numFmtId="3" fontId="15" fillId="33" borderId="14" xfId="0" applyNumberFormat="1" applyFont="1" applyFill="1" applyBorder="1" applyAlignment="1" applyProtection="1">
      <alignment horizontal="center" vertical="center"/>
      <protection locked="0"/>
    </xf>
    <xf numFmtId="3" fontId="15" fillId="33" borderId="20" xfId="0" applyNumberFormat="1" applyFont="1" applyFill="1" applyBorder="1" applyAlignment="1" applyProtection="1">
      <alignment horizontal="center" vertical="center"/>
      <protection locked="0"/>
    </xf>
    <xf numFmtId="3" fontId="20" fillId="40" borderId="12" xfId="0" applyNumberFormat="1" applyFont="1" applyFill="1" applyBorder="1" applyAlignment="1">
      <alignment horizontal="center" vertical="center"/>
    </xf>
    <xf numFmtId="0" fontId="18" fillId="0" borderId="0" xfId="0" applyFont="1" applyAlignment="1">
      <alignment vertical="center"/>
    </xf>
    <xf numFmtId="3" fontId="5" fillId="34" borderId="0" xfId="0" applyNumberFormat="1" applyFont="1" applyFill="1" applyAlignment="1">
      <alignment vertical="center"/>
    </xf>
    <xf numFmtId="3" fontId="5" fillId="0" borderId="0" xfId="0" applyNumberFormat="1" applyFont="1" applyAlignment="1">
      <alignment vertical="center"/>
    </xf>
    <xf numFmtId="0" fontId="5" fillId="0" borderId="0" xfId="0" applyFont="1" applyAlignment="1">
      <alignment horizontal="centerContinuous" vertical="center"/>
    </xf>
    <xf numFmtId="1" fontId="5" fillId="34" borderId="19" xfId="0" applyNumberFormat="1" applyFont="1" applyFill="1" applyBorder="1" applyAlignment="1" applyProtection="1">
      <alignment horizontal="centerContinuous"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23"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5" xfId="0" applyNumberFormat="1" applyFont="1" applyFill="1" applyBorder="1" applyAlignment="1" applyProtection="1">
      <alignment horizontal="center" vertical="center"/>
      <protection/>
    </xf>
    <xf numFmtId="182" fontId="5" fillId="34" borderId="25"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3" fontId="29" fillId="40" borderId="0" xfId="0" applyNumberFormat="1" applyFont="1" applyFill="1" applyAlignment="1">
      <alignment horizontal="center" vertical="center"/>
    </xf>
    <xf numFmtId="0" fontId="28"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5" fillId="33" borderId="10"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17"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0" fontId="86"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7" fontId="18" fillId="40" borderId="19" xfId="0" applyNumberFormat="1" applyFont="1" applyFill="1" applyBorder="1" applyAlignment="1" applyProtection="1">
      <alignment horizontal="center" vertical="center"/>
      <protection/>
    </xf>
    <xf numFmtId="14" fontId="5" fillId="33" borderId="12" xfId="0" applyNumberFormat="1" applyFont="1" applyFill="1" applyBorder="1" applyAlignment="1" applyProtection="1">
      <alignment horizontal="center" vertical="center"/>
      <protection locked="0"/>
    </xf>
    <xf numFmtId="3" fontId="5" fillId="34" borderId="19" xfId="0" applyNumberFormat="1" applyFont="1" applyFill="1" applyBorder="1" applyAlignment="1" applyProtection="1">
      <alignment vertical="center"/>
      <protection/>
    </xf>
    <xf numFmtId="0" fontId="5" fillId="34" borderId="21" xfId="0" applyNumberFormat="1" applyFont="1" applyFill="1" applyBorder="1" applyAlignment="1" applyProtection="1">
      <alignment horizontal="center" vertical="center"/>
      <protection/>
    </xf>
    <xf numFmtId="3" fontId="18" fillId="40" borderId="19" xfId="0" applyNumberFormat="1" applyFont="1" applyFill="1" applyBorder="1" applyAlignment="1" applyProtection="1">
      <alignment horizontal="center" vertical="center"/>
      <protection/>
    </xf>
    <xf numFmtId="3" fontId="4" fillId="34" borderId="19" xfId="0" applyNumberFormat="1" applyFont="1" applyFill="1" applyBorder="1" applyAlignment="1" applyProtection="1">
      <alignment vertical="center"/>
      <protection/>
    </xf>
    <xf numFmtId="3" fontId="5" fillId="41" borderId="25" xfId="0" applyNumberFormat="1" applyFont="1" applyFill="1" applyBorder="1" applyAlignment="1" applyProtection="1">
      <alignment vertical="center"/>
      <protection/>
    </xf>
    <xf numFmtId="37" fontId="18" fillId="4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horizontal="right" vertical="center"/>
      <protection/>
    </xf>
    <xf numFmtId="0" fontId="5" fillId="34" borderId="0" xfId="88" applyFont="1" applyFill="1" applyAlignment="1" applyProtection="1">
      <alignment horizontal="right" vertical="center"/>
      <protection/>
    </xf>
    <xf numFmtId="0" fontId="5" fillId="34" borderId="0" xfId="63" applyNumberFormat="1" applyFont="1" applyFill="1" applyBorder="1" applyAlignment="1" applyProtection="1">
      <alignment horizontal="right"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fill" vertical="center"/>
      <protection/>
    </xf>
    <xf numFmtId="3" fontId="18" fillId="41" borderId="17"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locked="0"/>
    </xf>
    <xf numFmtId="3" fontId="18" fillId="41" borderId="19" xfId="0" applyNumberFormat="1" applyFont="1" applyFill="1" applyBorder="1" applyAlignment="1" applyProtection="1">
      <alignment horizontal="center" vertical="center"/>
      <protection/>
    </xf>
    <xf numFmtId="37" fontId="5" fillId="33" borderId="19" xfId="0" applyNumberFormat="1" applyFont="1" applyFill="1" applyBorder="1" applyAlignment="1" applyProtection="1">
      <alignment horizontal="right" vertical="center"/>
      <protection locked="0"/>
    </xf>
    <xf numFmtId="3" fontId="4" fillId="39" borderId="19" xfId="0" applyNumberFormat="1" applyFont="1" applyFill="1" applyBorder="1" applyAlignment="1" applyProtection="1">
      <alignment vertical="center"/>
      <protection/>
    </xf>
    <xf numFmtId="3" fontId="5" fillId="39" borderId="19"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18" fillId="40" borderId="12" xfId="0" applyNumberFormat="1" applyFont="1" applyFill="1" applyBorder="1" applyAlignment="1" applyProtection="1">
      <alignment horizontal="center" vertical="center"/>
      <protection/>
    </xf>
    <xf numFmtId="3" fontId="18" fillId="41" borderId="12" xfId="0" applyNumberFormat="1" applyFont="1" applyFill="1" applyBorder="1" applyAlignment="1" applyProtection="1">
      <alignment horizontal="center" vertical="center"/>
      <protection/>
    </xf>
    <xf numFmtId="0" fontId="87" fillId="34" borderId="0" xfId="0" applyFont="1" applyFill="1" applyAlignment="1" applyProtection="1">
      <alignment horizontal="center" vertical="center"/>
      <protection/>
    </xf>
    <xf numFmtId="0" fontId="87" fillId="0" borderId="0" xfId="0" applyFont="1" applyAlignment="1" applyProtection="1">
      <alignment vertical="center"/>
      <protection locked="0"/>
    </xf>
    <xf numFmtId="37" fontId="4" fillId="34" borderId="21" xfId="0" applyNumberFormat="1" applyFont="1" applyFill="1" applyBorder="1" applyAlignment="1" applyProtection="1">
      <alignment horizontal="left" vertical="center"/>
      <protection/>
    </xf>
    <xf numFmtId="0" fontId="9" fillId="42" borderId="0" xfId="0" applyFont="1" applyFill="1" applyAlignment="1" applyProtection="1">
      <alignment vertical="center" shrinkToFit="1"/>
      <protection/>
    </xf>
    <xf numFmtId="0" fontId="0" fillId="42" borderId="0" xfId="0" applyFill="1" applyBorder="1" applyAlignment="1" applyProtection="1">
      <alignment vertical="center"/>
      <protection/>
    </xf>
    <xf numFmtId="0" fontId="18" fillId="42" borderId="0" xfId="0" applyFont="1" applyFill="1" applyBorder="1" applyAlignment="1" applyProtection="1">
      <alignment horizontal="center" vertical="center"/>
      <protection/>
    </xf>
    <xf numFmtId="37" fontId="5" fillId="42" borderId="0" xfId="0" applyNumberFormat="1" applyFont="1" applyFill="1" applyBorder="1" applyAlignment="1" applyProtection="1">
      <alignment horizontal="left" vertical="center"/>
      <protection/>
    </xf>
    <xf numFmtId="0" fontId="5" fillId="42" borderId="0" xfId="0" applyFont="1" applyFill="1" applyBorder="1" applyAlignment="1" applyProtection="1">
      <alignment vertical="center"/>
      <protection/>
    </xf>
    <xf numFmtId="37" fontId="5" fillId="42" borderId="0" xfId="0" applyNumberFormat="1" applyFont="1" applyFill="1" applyBorder="1" applyAlignment="1" applyProtection="1">
      <alignment vertical="center"/>
      <protection/>
    </xf>
    <xf numFmtId="3" fontId="5" fillId="43" borderId="12" xfId="0" applyNumberFormat="1" applyFont="1" applyFill="1" applyBorder="1" applyAlignment="1" applyProtection="1">
      <alignment vertical="center"/>
      <protection/>
    </xf>
    <xf numFmtId="3" fontId="5" fillId="43" borderId="25" xfId="0" applyNumberFormat="1" applyFont="1" applyFill="1" applyBorder="1" applyAlignment="1" applyProtection="1">
      <alignment vertical="center"/>
      <protection/>
    </xf>
    <xf numFmtId="177" fontId="5" fillId="33" borderId="12" xfId="42" applyNumberFormat="1" applyFont="1" applyFill="1" applyBorder="1" applyAlignment="1" applyProtection="1">
      <alignment vertical="center"/>
      <protection locked="0"/>
    </xf>
    <xf numFmtId="3" fontId="15" fillId="39" borderId="14" xfId="0" applyNumberFormat="1" applyFont="1" applyFill="1" applyBorder="1" applyAlignment="1">
      <alignment horizontal="center" vertical="center"/>
    </xf>
    <xf numFmtId="164" fontId="5" fillId="43" borderId="12"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36" fillId="0" borderId="0" xfId="0" applyFont="1" applyAlignment="1" applyProtection="1">
      <alignment vertical="center"/>
      <protection/>
    </xf>
    <xf numFmtId="0" fontId="0" fillId="42" borderId="0" xfId="0" applyFill="1" applyAlignment="1" applyProtection="1">
      <alignment vertical="center"/>
      <protection locked="0"/>
    </xf>
    <xf numFmtId="0" fontId="5" fillId="0" borderId="0" xfId="84" applyFont="1">
      <alignment/>
      <protection/>
    </xf>
    <xf numFmtId="37" fontId="5" fillId="34" borderId="13" xfId="84" applyNumberFormat="1" applyFont="1" applyFill="1" applyBorder="1" applyAlignment="1" applyProtection="1">
      <alignment horizontal="center"/>
      <protection/>
    </xf>
    <xf numFmtId="37" fontId="5" fillId="34" borderId="14" xfId="84" applyNumberFormat="1" applyFont="1" applyFill="1" applyBorder="1" applyAlignment="1" applyProtection="1">
      <alignment horizontal="center"/>
      <protection/>
    </xf>
    <xf numFmtId="0" fontId="5" fillId="42" borderId="0" xfId="84" applyFont="1" applyFill="1" applyBorder="1" applyAlignment="1" applyProtection="1">
      <alignment vertical="center"/>
      <protection locked="0"/>
    </xf>
    <xf numFmtId="0" fontId="33" fillId="42" borderId="0" xfId="84" applyFont="1" applyFill="1" applyBorder="1" applyAlignment="1" applyProtection="1">
      <alignment vertical="center"/>
      <protection locked="0"/>
    </xf>
    <xf numFmtId="194" fontId="33" fillId="44" borderId="12" xfId="84" applyNumberFormat="1" applyFont="1" applyFill="1" applyBorder="1" applyAlignment="1" applyProtection="1">
      <alignment horizontal="center" vertical="center"/>
      <protection locked="0"/>
    </xf>
    <xf numFmtId="0" fontId="5" fillId="42" borderId="26" xfId="84" applyFont="1" applyFill="1" applyBorder="1" applyAlignment="1" applyProtection="1">
      <alignment vertical="center"/>
      <protection/>
    </xf>
    <xf numFmtId="194" fontId="33" fillId="42" borderId="15" xfId="84" applyNumberFormat="1" applyFont="1" applyFill="1" applyBorder="1" applyAlignment="1" applyProtection="1">
      <alignment horizontal="center" vertical="center"/>
      <protection/>
    </xf>
    <xf numFmtId="0" fontId="33" fillId="42" borderId="0" xfId="84" applyFont="1" applyFill="1" applyBorder="1" applyAlignment="1" applyProtection="1">
      <alignment horizontal="left" vertical="center"/>
      <protection/>
    </xf>
    <xf numFmtId="0" fontId="33" fillId="42" borderId="26" xfId="84" applyFont="1" applyFill="1" applyBorder="1" applyAlignment="1" applyProtection="1">
      <alignment vertical="center"/>
      <protection/>
    </xf>
    <xf numFmtId="0" fontId="33" fillId="42" borderId="0" xfId="84" applyFont="1" applyFill="1" applyBorder="1" applyAlignment="1" applyProtection="1">
      <alignment vertical="center"/>
      <protection/>
    </xf>
    <xf numFmtId="194" fontId="33" fillId="42" borderId="21" xfId="84" applyNumberFormat="1" applyFont="1" applyFill="1" applyBorder="1" applyAlignment="1" applyProtection="1">
      <alignment horizontal="center" vertical="center"/>
      <protection/>
    </xf>
    <xf numFmtId="194" fontId="33" fillId="42" borderId="15" xfId="84" applyNumberFormat="1" applyFont="1" applyFill="1" applyBorder="1" applyAlignment="1" applyProtection="1">
      <alignment vertical="center"/>
      <protection/>
    </xf>
    <xf numFmtId="0" fontId="35" fillId="45" borderId="10" xfId="84" applyFont="1" applyFill="1" applyBorder="1" applyAlignment="1" applyProtection="1">
      <alignment vertical="center"/>
      <protection/>
    </xf>
    <xf numFmtId="0" fontId="33" fillId="45" borderId="1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horizontal="left" vertical="center"/>
      <protection/>
    </xf>
    <xf numFmtId="194" fontId="35" fillId="45" borderId="21" xfId="84" applyNumberFormat="1" applyFont="1" applyFill="1" applyBorder="1" applyAlignment="1" applyProtection="1">
      <alignment horizontal="center" vertical="center"/>
      <protection/>
    </xf>
    <xf numFmtId="178" fontId="5" fillId="43" borderId="12" xfId="0" applyNumberFormat="1" applyFont="1" applyFill="1" applyBorder="1" applyAlignment="1" applyProtection="1">
      <alignment vertical="center"/>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37" fontId="16" fillId="34" borderId="12" xfId="0" applyNumberFormat="1" applyFont="1" applyFill="1" applyBorder="1" applyAlignment="1" applyProtection="1">
      <alignment horizontal="center" vertical="center"/>
      <protection/>
    </xf>
    <xf numFmtId="3" fontId="5" fillId="40" borderId="19" xfId="0" applyNumberFormat="1" applyFont="1" applyFill="1" applyBorder="1" applyAlignment="1" applyProtection="1">
      <alignment vertical="center"/>
      <protection/>
    </xf>
    <xf numFmtId="3" fontId="5" fillId="34" borderId="14" xfId="0" applyNumberFormat="1" applyFont="1" applyFill="1" applyBorder="1" applyAlignment="1" applyProtection="1">
      <alignment vertical="center"/>
      <protection/>
    </xf>
    <xf numFmtId="3" fontId="5" fillId="34" borderId="13" xfId="0" applyNumberFormat="1" applyFont="1" applyFill="1" applyBorder="1" applyAlignment="1" applyProtection="1">
      <alignment vertical="center"/>
      <protection/>
    </xf>
    <xf numFmtId="194" fontId="15" fillId="45" borderId="21" xfId="84" applyNumberFormat="1" applyFont="1" applyFill="1" applyBorder="1" applyAlignment="1" applyProtection="1">
      <alignment horizontal="center" vertical="center"/>
      <protection/>
    </xf>
    <xf numFmtId="0" fontId="15" fillId="45" borderId="10" xfId="84" applyFont="1" applyFill="1" applyBorder="1" applyAlignment="1" applyProtection="1">
      <alignment vertical="center"/>
      <protection/>
    </xf>
    <xf numFmtId="0" fontId="39" fillId="46" borderId="0" xfId="0" applyFont="1" applyFill="1" applyAlignment="1">
      <alignment/>
    </xf>
    <xf numFmtId="0" fontId="39" fillId="42" borderId="0" xfId="0" applyFont="1" applyFill="1" applyAlignment="1">
      <alignment/>
    </xf>
    <xf numFmtId="0" fontId="88" fillId="46" borderId="0" xfId="0" applyFont="1" applyFill="1" applyAlignment="1">
      <alignment horizontal="center" wrapText="1"/>
    </xf>
    <xf numFmtId="0" fontId="88" fillId="42" borderId="0" xfId="0" applyFont="1" applyFill="1" applyAlignment="1">
      <alignment/>
    </xf>
    <xf numFmtId="0" fontId="39" fillId="42" borderId="0" xfId="0" applyFont="1" applyFill="1" applyAlignment="1">
      <alignment horizontal="center"/>
    </xf>
    <xf numFmtId="0" fontId="88"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194" fontId="39" fillId="42" borderId="30" xfId="0" applyNumberFormat="1" applyFont="1" applyFill="1" applyBorder="1" applyAlignment="1">
      <alignment/>
    </xf>
    <xf numFmtId="0" fontId="39" fillId="42" borderId="0" xfId="0" applyFont="1" applyFill="1" applyBorder="1" applyAlignment="1">
      <alignment/>
    </xf>
    <xf numFmtId="194" fontId="39" fillId="42" borderId="10" xfId="0" applyNumberFormat="1" applyFont="1" applyFill="1" applyBorder="1" applyAlignment="1">
      <alignment horizontal="center"/>
    </xf>
    <xf numFmtId="0" fontId="39" fillId="42" borderId="31" xfId="0" applyFont="1" applyFill="1" applyBorder="1" applyAlignment="1">
      <alignment/>
    </xf>
    <xf numFmtId="0" fontId="39" fillId="42" borderId="32" xfId="0" applyFont="1" applyFill="1" applyBorder="1" applyAlignment="1">
      <alignment/>
    </xf>
    <xf numFmtId="0" fontId="39" fillId="42" borderId="33" xfId="0" applyFont="1" applyFill="1" applyBorder="1" applyAlignment="1">
      <alignment/>
    </xf>
    <xf numFmtId="0" fontId="39" fillId="42" borderId="34" xfId="0" applyFont="1" applyFill="1" applyBorder="1" applyAlignment="1">
      <alignment/>
    </xf>
    <xf numFmtId="194" fontId="39" fillId="42" borderId="0" xfId="0" applyNumberFormat="1" applyFont="1" applyFill="1" applyAlignment="1">
      <alignment/>
    </xf>
    <xf numFmtId="0" fontId="39" fillId="42" borderId="27" xfId="0" applyFont="1" applyFill="1" applyBorder="1" applyAlignment="1">
      <alignment/>
    </xf>
    <xf numFmtId="0" fontId="39" fillId="42" borderId="35" xfId="0" applyFont="1" applyFill="1" applyBorder="1" applyAlignment="1">
      <alignment/>
    </xf>
    <xf numFmtId="194" fontId="39" fillId="44" borderId="30" xfId="0" applyNumberFormat="1" applyFont="1" applyFill="1" applyBorder="1" applyAlignment="1" applyProtection="1">
      <alignment horizontal="center"/>
      <protection locked="0"/>
    </xf>
    <xf numFmtId="182" fontId="39" fillId="42" borderId="0" xfId="0" applyNumberFormat="1" applyFont="1" applyFill="1" applyBorder="1" applyAlignment="1">
      <alignment horizontal="center"/>
    </xf>
    <xf numFmtId="0" fontId="89" fillId="0" borderId="0" xfId="0" applyFont="1" applyBorder="1" applyAlignment="1">
      <alignment/>
    </xf>
    <xf numFmtId="0" fontId="39" fillId="0" borderId="0" xfId="0" applyFont="1" applyBorder="1" applyAlignment="1">
      <alignment/>
    </xf>
    <xf numFmtId="0" fontId="88" fillId="0" borderId="0" xfId="0" applyFont="1" applyBorder="1" applyAlignment="1">
      <alignment horizontal="centerContinuous"/>
    </xf>
    <xf numFmtId="0" fontId="39" fillId="0" borderId="0" xfId="0" applyFont="1" applyBorder="1" applyAlignment="1">
      <alignment horizontal="centerContinuous"/>
    </xf>
    <xf numFmtId="0" fontId="39" fillId="46" borderId="0"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5" fontId="39" fillId="42" borderId="33" xfId="0" applyNumberFormat="1" applyFont="1" applyFill="1" applyBorder="1" applyAlignment="1">
      <alignment horizontal="center"/>
    </xf>
    <xf numFmtId="0" fontId="39" fillId="42" borderId="33" xfId="0" applyFont="1" applyFill="1" applyBorder="1" applyAlignment="1">
      <alignment horizontal="center"/>
    </xf>
    <xf numFmtId="182" fontId="39" fillId="42" borderId="33" xfId="0" applyNumberFormat="1" applyFont="1" applyFill="1" applyBorder="1" applyAlignment="1">
      <alignment horizontal="center"/>
    </xf>
    <xf numFmtId="195" fontId="39" fillId="42" borderId="33" xfId="0" applyNumberFormat="1" applyFont="1" applyFill="1" applyBorder="1" applyAlignment="1">
      <alignment horizontal="center"/>
    </xf>
    <xf numFmtId="0" fontId="39" fillId="42" borderId="0" xfId="0" applyFont="1" applyFill="1" applyAlignment="1">
      <alignment horizontal="center" wrapText="1"/>
    </xf>
    <xf numFmtId="0" fontId="88" fillId="42" borderId="27" xfId="0" applyFont="1" applyFill="1" applyBorder="1" applyAlignment="1">
      <alignment/>
    </xf>
    <xf numFmtId="0" fontId="39" fillId="42" borderId="28" xfId="0" applyFont="1" applyFill="1" applyBorder="1" applyAlignment="1">
      <alignment/>
    </xf>
    <xf numFmtId="0" fontId="39" fillId="42" borderId="29" xfId="0" applyFont="1" applyFill="1" applyBorder="1" applyAlignment="1">
      <alignment/>
    </xf>
    <xf numFmtId="0" fontId="39" fillId="42" borderId="35" xfId="0" applyFont="1" applyFill="1" applyBorder="1" applyAlignment="1">
      <alignment/>
    </xf>
    <xf numFmtId="0" fontId="39" fillId="42" borderId="31" xfId="0" applyFont="1" applyFill="1" applyBorder="1" applyAlignment="1">
      <alignment/>
    </xf>
    <xf numFmtId="0" fontId="39" fillId="42" borderId="36" xfId="0" applyFont="1" applyFill="1" applyBorder="1" applyAlignment="1">
      <alignment/>
    </xf>
    <xf numFmtId="0" fontId="39" fillId="42" borderId="18" xfId="0" applyFont="1" applyFill="1" applyBorder="1" applyAlignment="1">
      <alignment/>
    </xf>
    <xf numFmtId="0" fontId="39" fillId="42" borderId="37" xfId="0" applyFont="1" applyFill="1" applyBorder="1" applyAlignment="1">
      <alignment/>
    </xf>
    <xf numFmtId="178" fontId="39" fillId="42" borderId="0" xfId="0" applyNumberFormat="1" applyFont="1" applyFill="1" applyBorder="1" applyAlignment="1">
      <alignment horizontal="center"/>
    </xf>
    <xf numFmtId="0" fontId="39" fillId="42" borderId="32" xfId="0" applyFont="1" applyFill="1" applyBorder="1" applyAlignment="1">
      <alignment/>
    </xf>
    <xf numFmtId="5" fontId="39" fillId="42" borderId="0" xfId="0" applyNumberFormat="1" applyFont="1" applyFill="1" applyBorder="1" applyAlignment="1">
      <alignment horizontal="center"/>
    </xf>
    <xf numFmtId="0" fontId="39" fillId="46" borderId="0" xfId="0" applyFont="1" applyFill="1" applyAlignment="1">
      <alignment/>
    </xf>
    <xf numFmtId="182" fontId="39" fillId="44" borderId="10" xfId="0" applyNumberFormat="1" applyFont="1" applyFill="1" applyBorder="1" applyAlignment="1" applyProtection="1">
      <alignment horizontal="center"/>
      <protection locked="0"/>
    </xf>
    <xf numFmtId="195" fontId="39" fillId="42" borderId="0" xfId="0" applyNumberFormat="1" applyFont="1" applyFill="1" applyBorder="1" applyAlignment="1">
      <alignment/>
    </xf>
    <xf numFmtId="0" fontId="39" fillId="47" borderId="0" xfId="0" applyFont="1" applyFill="1" applyAlignment="1">
      <alignment/>
    </xf>
    <xf numFmtId="0" fontId="28" fillId="0" borderId="0" xfId="0" applyFont="1" applyAlignment="1">
      <alignment horizontal="center"/>
    </xf>
    <xf numFmtId="0" fontId="4" fillId="0" borderId="0" xfId="0" applyFont="1" applyAlignment="1">
      <alignment wrapText="1"/>
    </xf>
    <xf numFmtId="0" fontId="24" fillId="0" borderId="0" xfId="0" applyFont="1" applyAlignment="1">
      <alignment/>
    </xf>
    <xf numFmtId="0" fontId="90" fillId="0" borderId="0" xfId="0" applyFont="1" applyAlignment="1">
      <alignment wrapText="1"/>
    </xf>
    <xf numFmtId="0" fontId="23" fillId="0" borderId="0" xfId="0" applyFont="1" applyAlignment="1">
      <alignment wrapText="1"/>
    </xf>
    <xf numFmtId="0" fontId="24"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7" fillId="0" borderId="0" xfId="0" applyNumberFormat="1" applyFont="1" applyFill="1" applyBorder="1" applyAlignment="1" applyProtection="1">
      <alignment vertical="center"/>
      <protection/>
    </xf>
    <xf numFmtId="182" fontId="33" fillId="42" borderId="17" xfId="84" applyNumberFormat="1" applyFont="1" applyFill="1" applyBorder="1" applyAlignment="1" applyProtection="1">
      <alignment horizontal="center" vertical="center"/>
      <protection locked="0"/>
    </xf>
    <xf numFmtId="0" fontId="5" fillId="42" borderId="0" xfId="84" applyFont="1" applyFill="1" applyBorder="1" applyAlignment="1" applyProtection="1">
      <alignment vertical="center"/>
      <protection/>
    </xf>
    <xf numFmtId="0" fontId="5" fillId="42" borderId="15" xfId="84" applyFont="1" applyFill="1" applyBorder="1" applyAlignment="1" applyProtection="1">
      <alignment vertical="center"/>
      <protection/>
    </xf>
    <xf numFmtId="0" fontId="5" fillId="42" borderId="26" xfId="84" applyFont="1" applyFill="1" applyBorder="1" applyAlignment="1" applyProtection="1">
      <alignment vertical="center"/>
      <protection/>
    </xf>
    <xf numFmtId="0" fontId="5" fillId="45" borderId="16" xfId="84" applyFont="1" applyFill="1" applyBorder="1" applyAlignment="1" applyProtection="1">
      <alignment vertical="center"/>
      <protection/>
    </xf>
    <xf numFmtId="0" fontId="33" fillId="42" borderId="15" xfId="84" applyFont="1" applyFill="1" applyBorder="1" applyAlignment="1" applyProtection="1">
      <alignment vertical="center"/>
      <protection/>
    </xf>
    <xf numFmtId="194" fontId="15" fillId="42" borderId="15" xfId="84" applyNumberFormat="1" applyFont="1" applyFill="1" applyBorder="1" applyAlignment="1" applyProtection="1">
      <alignment horizontal="center" vertical="center"/>
      <protection/>
    </xf>
    <xf numFmtId="0" fontId="15" fillId="42" borderId="0" xfId="84" applyFont="1" applyFill="1" applyBorder="1" applyAlignment="1" applyProtection="1">
      <alignment horizontal="left" vertical="center"/>
      <protection/>
    </xf>
    <xf numFmtId="0" fontId="15" fillId="42" borderId="0" xfId="84" applyFont="1" applyFill="1" applyBorder="1" applyAlignment="1" applyProtection="1">
      <alignment vertical="center"/>
      <protection/>
    </xf>
    <xf numFmtId="194" fontId="15" fillId="42" borderId="21" xfId="84" applyNumberFormat="1" applyFont="1" applyFill="1" applyBorder="1" applyAlignment="1" applyProtection="1">
      <alignment horizontal="center" vertical="center"/>
      <protection/>
    </xf>
    <xf numFmtId="194" fontId="15" fillId="42" borderId="15" xfId="84" applyNumberFormat="1" applyFont="1" applyFill="1" applyBorder="1" applyAlignment="1" applyProtection="1">
      <alignment vertical="center"/>
      <protection/>
    </xf>
    <xf numFmtId="0" fontId="39" fillId="0" borderId="0" xfId="0" applyFont="1" applyAlignment="1">
      <alignment/>
    </xf>
    <xf numFmtId="0" fontId="40" fillId="0" borderId="0" xfId="84" applyFont="1" applyAlignment="1">
      <alignment horizontal="center"/>
      <protection/>
    </xf>
    <xf numFmtId="0" fontId="5" fillId="0" borderId="0" xfId="84" applyFont="1" applyAlignment="1">
      <alignment wrapText="1"/>
      <protection/>
    </xf>
    <xf numFmtId="0" fontId="41"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91" fillId="0" borderId="0" xfId="0" applyFont="1" applyAlignment="1">
      <alignment vertical="center"/>
    </xf>
    <xf numFmtId="182" fontId="5" fillId="44" borderId="26" xfId="85" applyNumberFormat="1" applyFont="1" applyFill="1" applyBorder="1" applyAlignment="1" applyProtection="1">
      <alignment horizontal="center"/>
      <protection locked="0"/>
    </xf>
    <xf numFmtId="0" fontId="33" fillId="42" borderId="15" xfId="85" applyFont="1" applyFill="1" applyBorder="1" applyProtection="1">
      <alignment/>
      <protection/>
    </xf>
    <xf numFmtId="0" fontId="5" fillId="42" borderId="0" xfId="85" applyFont="1" applyFill="1" applyBorder="1" applyProtection="1">
      <alignment/>
      <protection/>
    </xf>
    <xf numFmtId="194" fontId="5" fillId="42" borderId="26" xfId="85" applyNumberFormat="1" applyFont="1" applyFill="1" applyBorder="1" applyAlignment="1" applyProtection="1">
      <alignment horizontal="center"/>
      <protection/>
    </xf>
    <xf numFmtId="0" fontId="5" fillId="42" borderId="21" xfId="85" applyFont="1" applyFill="1" applyBorder="1" applyProtection="1">
      <alignment/>
      <protection/>
    </xf>
    <xf numFmtId="0" fontId="5" fillId="42" borderId="10" xfId="85" applyFont="1" applyFill="1" applyBorder="1" applyProtection="1">
      <alignment/>
      <protection/>
    </xf>
    <xf numFmtId="194" fontId="5" fillId="45" borderId="16" xfId="85" applyNumberFormat="1" applyFont="1" applyFill="1" applyBorder="1" applyAlignment="1" applyProtection="1">
      <alignment horizontal="center"/>
      <protection/>
    </xf>
    <xf numFmtId="0" fontId="5" fillId="0" borderId="0" xfId="85" applyFont="1" applyFill="1" applyBorder="1" applyProtection="1">
      <alignment/>
      <protection/>
    </xf>
    <xf numFmtId="0" fontId="5" fillId="42" borderId="15" xfId="85" applyFont="1" applyFill="1" applyBorder="1" applyProtection="1">
      <alignment/>
      <protection/>
    </xf>
    <xf numFmtId="0" fontId="5" fillId="42" borderId="26" xfId="85" applyFont="1" applyFill="1" applyBorder="1" applyProtection="1">
      <alignment/>
      <protection/>
    </xf>
    <xf numFmtId="178" fontId="5" fillId="42" borderId="26" xfId="85" applyNumberFormat="1" applyFont="1" applyFill="1" applyBorder="1" applyAlignment="1" applyProtection="1">
      <alignment horizontal="center"/>
      <protection/>
    </xf>
    <xf numFmtId="0" fontId="5" fillId="45" borderId="15" xfId="85" applyFont="1" applyFill="1" applyBorder="1" applyProtection="1">
      <alignment/>
      <protection/>
    </xf>
    <xf numFmtId="0" fontId="5" fillId="45" borderId="0" xfId="85" applyFont="1" applyFill="1" applyBorder="1" applyProtection="1">
      <alignment/>
      <protection/>
    </xf>
    <xf numFmtId="0" fontId="5" fillId="45" borderId="21" xfId="85" applyFont="1" applyFill="1" applyBorder="1" applyProtection="1">
      <alignment/>
      <protection/>
    </xf>
    <xf numFmtId="0" fontId="5" fillId="45" borderId="10" xfId="85" applyFont="1" applyFill="1" applyBorder="1" applyProtection="1">
      <alignment/>
      <protection/>
    </xf>
    <xf numFmtId="0" fontId="5" fillId="0" borderId="0" xfId="85" applyFont="1" applyProtection="1">
      <alignment/>
      <protection/>
    </xf>
    <xf numFmtId="194" fontId="5" fillId="42" borderId="16" xfId="85" applyNumberFormat="1" applyFont="1" applyFill="1" applyBorder="1" applyAlignment="1" applyProtection="1">
      <alignment horizontal="center"/>
      <protection/>
    </xf>
    <xf numFmtId="3" fontId="5" fillId="43" borderId="25" xfId="0" applyNumberFormat="1" applyFont="1" applyFill="1" applyBorder="1" applyAlignment="1" applyProtection="1">
      <alignment horizontal="center" vertical="center"/>
      <protection/>
    </xf>
    <xf numFmtId="0" fontId="5" fillId="33" borderId="19" xfId="88" applyNumberFormat="1" applyFont="1" applyFill="1" applyBorder="1" applyAlignment="1" applyProtection="1">
      <alignment horizontal="left" vertical="center"/>
      <protection locked="0"/>
    </xf>
    <xf numFmtId="0" fontId="5" fillId="33" borderId="19" xfId="0" applyNumberFormat="1" applyFont="1" applyFill="1" applyBorder="1" applyAlignment="1" applyProtection="1">
      <alignment horizontal="left" vertical="center"/>
      <protection locked="0"/>
    </xf>
    <xf numFmtId="37" fontId="5" fillId="33" borderId="19" xfId="78" applyNumberFormat="1" applyFont="1" applyFill="1" applyBorder="1" applyAlignment="1" applyProtection="1">
      <alignment vertical="center"/>
      <protection locked="0"/>
    </xf>
    <xf numFmtId="0" fontId="5" fillId="34" borderId="0" xfId="0" applyNumberFormat="1" applyFont="1" applyFill="1" applyBorder="1" applyAlignment="1" applyProtection="1">
      <alignment horizontal="right" vertical="center"/>
      <protection/>
    </xf>
    <xf numFmtId="0" fontId="0" fillId="40" borderId="14" xfId="0" applyFill="1" applyBorder="1" applyAlignment="1" applyProtection="1">
      <alignment vertical="center"/>
      <protection/>
    </xf>
    <xf numFmtId="0" fontId="18" fillId="40" borderId="16" xfId="0" applyFont="1" applyFill="1" applyBorder="1" applyAlignment="1" applyProtection="1">
      <alignment horizontal="center" vertical="center"/>
      <protection/>
    </xf>
    <xf numFmtId="164" fontId="5" fillId="34" borderId="0" xfId="0" applyNumberFormat="1" applyFont="1" applyFill="1" applyBorder="1" applyAlignment="1" applyProtection="1">
      <alignment vertical="center"/>
      <protection/>
    </xf>
    <xf numFmtId="3" fontId="5" fillId="34" borderId="12" xfId="0" applyNumberFormat="1" applyFont="1" applyFill="1" applyBorder="1" applyAlignment="1" applyProtection="1">
      <alignment horizontal="right" vertical="center"/>
      <protection/>
    </xf>
    <xf numFmtId="3" fontId="5" fillId="33" borderId="14" xfId="42" applyNumberFormat="1" applyFont="1" applyFill="1" applyBorder="1" applyAlignment="1" applyProtection="1">
      <alignment horizontal="right" vertical="center"/>
      <protection locked="0"/>
    </xf>
    <xf numFmtId="3" fontId="5" fillId="33" borderId="12" xfId="42" applyNumberFormat="1" applyFont="1" applyFill="1" applyBorder="1" applyAlignment="1" applyProtection="1">
      <alignment horizontal="right" vertical="center"/>
      <protection locked="0"/>
    </xf>
    <xf numFmtId="37" fontId="5" fillId="34"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0" fontId="88" fillId="42" borderId="35" xfId="0" applyFont="1" applyFill="1" applyBorder="1" applyAlignment="1">
      <alignment horizontal="centerContinuous" vertical="center"/>
    </xf>
    <xf numFmtId="194"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2" fontId="88" fillId="42" borderId="0" xfId="0" applyNumberFormat="1" applyFont="1" applyFill="1" applyBorder="1" applyAlignment="1" applyProtection="1">
      <alignment horizontal="centerContinuous" vertical="center"/>
      <protection locked="0"/>
    </xf>
    <xf numFmtId="195" fontId="88" fillId="42" borderId="0" xfId="0" applyNumberFormat="1" applyFont="1" applyFill="1" applyBorder="1" applyAlignment="1">
      <alignment horizontal="centerContinuous" vertical="center"/>
    </xf>
    <xf numFmtId="0" fontId="88" fillId="42" borderId="31" xfId="0" applyFont="1" applyFill="1" applyBorder="1" applyAlignment="1">
      <alignment horizontal="centerContinuous" vertical="center"/>
    </xf>
    <xf numFmtId="0" fontId="88" fillId="42" borderId="35" xfId="0" applyFont="1" applyFill="1" applyBorder="1" applyAlignment="1">
      <alignment horizontal="centerContinuous"/>
    </xf>
    <xf numFmtId="194"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2" fontId="88" fillId="42" borderId="0" xfId="0" applyNumberFormat="1" applyFont="1" applyFill="1" applyBorder="1" applyAlignment="1" applyProtection="1">
      <alignment horizontal="centerContinuous"/>
      <protection locked="0"/>
    </xf>
    <xf numFmtId="195" fontId="88" fillId="42" borderId="0" xfId="0" applyNumberFormat="1" applyFont="1" applyFill="1" applyBorder="1" applyAlignment="1">
      <alignment horizontal="centerContinuous"/>
    </xf>
    <xf numFmtId="0" fontId="88" fillId="42" borderId="31" xfId="0" applyFont="1" applyFill="1" applyBorder="1" applyAlignment="1">
      <alignment horizontal="centerContinuous"/>
    </xf>
    <xf numFmtId="194" fontId="39" fillId="0" borderId="0" xfId="0" applyNumberFormat="1" applyFont="1" applyAlignment="1">
      <alignment/>
    </xf>
    <xf numFmtId="194" fontId="39" fillId="42" borderId="33" xfId="0" applyNumberFormat="1" applyFont="1" applyFill="1" applyBorder="1" applyAlignment="1">
      <alignment horizontal="center"/>
    </xf>
    <xf numFmtId="182" fontId="39" fillId="42" borderId="33" xfId="0" applyNumberFormat="1" applyFont="1" applyFill="1" applyBorder="1" applyAlignment="1" applyProtection="1">
      <alignment horizontal="center"/>
      <protection locked="0"/>
    </xf>
    <xf numFmtId="195" fontId="39" fillId="42" borderId="33" xfId="0" applyNumberFormat="1" applyFont="1" applyFill="1" applyBorder="1" applyAlignment="1">
      <alignment/>
    </xf>
    <xf numFmtId="182" fontId="39" fillId="42" borderId="0" xfId="0" applyNumberFormat="1" applyFont="1" applyFill="1" applyBorder="1" applyAlignment="1" applyProtection="1">
      <alignment horizontal="center"/>
      <protection locked="0"/>
    </xf>
    <xf numFmtId="194" fontId="39" fillId="42" borderId="28" xfId="0" applyNumberFormat="1" applyFont="1" applyFill="1" applyBorder="1" applyAlignment="1">
      <alignment horizontal="center"/>
    </xf>
    <xf numFmtId="0" fontId="39" fillId="42" borderId="28" xfId="0" applyFont="1" applyFill="1" applyBorder="1" applyAlignment="1">
      <alignment horizontal="center"/>
    </xf>
    <xf numFmtId="182" fontId="39" fillId="42" borderId="28" xfId="0" applyNumberFormat="1" applyFont="1" applyFill="1" applyBorder="1" applyAlignment="1" applyProtection="1">
      <alignment horizontal="center"/>
      <protection locked="0"/>
    </xf>
    <xf numFmtId="195" fontId="39" fillId="42" borderId="28" xfId="0" applyNumberFormat="1" applyFont="1" applyFill="1" applyBorder="1" applyAlignment="1">
      <alignment/>
    </xf>
    <xf numFmtId="194" fontId="39" fillId="42" borderId="0" xfId="0" applyNumberFormat="1" applyFont="1" applyFill="1" applyBorder="1" applyAlignment="1" applyProtection="1">
      <alignment horizontal="center"/>
      <protection locked="0"/>
    </xf>
    <xf numFmtId="194" fontId="5" fillId="45" borderId="26" xfId="85" applyNumberFormat="1" applyFont="1" applyFill="1" applyBorder="1" applyAlignment="1" applyProtection="1">
      <alignment horizontal="center"/>
      <protection/>
    </xf>
    <xf numFmtId="0" fontId="5" fillId="45" borderId="21" xfId="0" applyFont="1" applyFill="1" applyBorder="1" applyAlignment="1">
      <alignment vertical="center"/>
    </xf>
    <xf numFmtId="0" fontId="5" fillId="45" borderId="10" xfId="0" applyFont="1" applyFill="1" applyBorder="1" applyAlignment="1">
      <alignment vertical="center"/>
    </xf>
    <xf numFmtId="194" fontId="5" fillId="45" borderId="16" xfId="0" applyNumberFormat="1" applyFont="1" applyFill="1" applyBorder="1" applyAlignment="1">
      <alignment horizontal="center" vertical="center"/>
    </xf>
    <xf numFmtId="0" fontId="9" fillId="35" borderId="12" xfId="0" applyFont="1" applyFill="1" applyBorder="1" applyAlignment="1" applyProtection="1">
      <alignment vertical="center" shrinkToFit="1"/>
      <protection/>
    </xf>
    <xf numFmtId="3" fontId="5" fillId="42" borderId="18" xfId="0" applyNumberFormat="1" applyFont="1" applyFill="1" applyBorder="1" applyAlignment="1">
      <alignment horizontal="center" vertical="center"/>
    </xf>
    <xf numFmtId="0" fontId="5" fillId="42" borderId="0" xfId="0" applyFont="1" applyFill="1" applyAlignment="1" applyProtection="1">
      <alignment vertical="center"/>
      <protection locked="0"/>
    </xf>
    <xf numFmtId="37" fontId="5" fillId="42" borderId="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0" fontId="0" fillId="42" borderId="0" xfId="0" applyFill="1" applyBorder="1" applyAlignment="1" applyProtection="1">
      <alignment vertical="center" wrapText="1"/>
      <protection/>
    </xf>
    <xf numFmtId="177" fontId="5" fillId="42" borderId="0" xfId="42" applyNumberFormat="1" applyFont="1" applyFill="1" applyBorder="1" applyAlignment="1" applyProtection="1">
      <alignment vertical="center"/>
      <protection/>
    </xf>
    <xf numFmtId="0" fontId="9" fillId="42" borderId="0" xfId="0" applyFont="1" applyFill="1" applyBorder="1" applyAlignment="1" applyProtection="1">
      <alignment vertical="center" wrapText="1" shrinkToFit="1"/>
      <protection/>
    </xf>
    <xf numFmtId="178" fontId="5" fillId="34" borderId="12" xfId="0" applyNumberFormat="1" applyFont="1" applyFill="1" applyBorder="1" applyAlignment="1" applyProtection="1">
      <alignment horizontal="right" vertical="center"/>
      <protection/>
    </xf>
    <xf numFmtId="196" fontId="5" fillId="34" borderId="12" xfId="0" applyNumberFormat="1" applyFont="1" applyFill="1" applyBorder="1" applyAlignment="1" applyProtection="1">
      <alignment horizontal="right" vertical="center"/>
      <protection/>
    </xf>
    <xf numFmtId="182" fontId="5" fillId="39" borderId="38" xfId="0" applyNumberFormat="1" applyFont="1" applyFill="1" applyBorder="1" applyAlignment="1" applyProtection="1">
      <alignment horizontal="right" vertical="center"/>
      <protection/>
    </xf>
    <xf numFmtId="3" fontId="5" fillId="43" borderId="39" xfId="0" applyNumberFormat="1" applyFont="1" applyFill="1" applyBorder="1" applyAlignment="1" applyProtection="1">
      <alignment horizontal="right" vertical="center"/>
      <protection/>
    </xf>
    <xf numFmtId="0" fontId="5" fillId="34" borderId="12" xfId="0" applyFont="1" applyFill="1" applyBorder="1" applyAlignment="1" applyProtection="1">
      <alignment horizontal="right" vertical="center"/>
      <protection/>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0" fontId="5" fillId="0" borderId="0" xfId="0" applyFont="1" applyFill="1" applyAlignment="1" applyProtection="1">
      <alignment vertical="center"/>
      <protection locked="0"/>
    </xf>
    <xf numFmtId="0" fontId="5" fillId="42" borderId="10" xfId="0" applyFont="1" applyFill="1" applyBorder="1" applyAlignment="1" applyProtection="1">
      <alignment vertical="center"/>
      <protection locked="0"/>
    </xf>
    <xf numFmtId="0" fontId="35" fillId="45" borderId="15" xfId="84" applyFont="1" applyFill="1" applyBorder="1" applyAlignment="1" applyProtection="1">
      <alignment vertical="center"/>
      <protection locked="0"/>
    </xf>
    <xf numFmtId="0" fontId="5" fillId="45" borderId="0" xfId="84" applyFont="1" applyFill="1" applyBorder="1" applyAlignment="1" applyProtection="1">
      <alignment vertical="center"/>
      <protection locked="0"/>
    </xf>
    <xf numFmtId="0" fontId="33" fillId="45" borderId="0" xfId="84" applyFont="1" applyFill="1" applyBorder="1" applyAlignment="1" applyProtection="1">
      <alignment vertical="center"/>
      <protection locked="0"/>
    </xf>
    <xf numFmtId="194" fontId="35" fillId="45" borderId="17" xfId="84" applyNumberFormat="1" applyFont="1" applyFill="1" applyBorder="1" applyAlignment="1" applyProtection="1">
      <alignment horizontal="center" vertical="center"/>
      <protection locked="0"/>
    </xf>
    <xf numFmtId="0" fontId="5" fillId="45" borderId="16" xfId="0" applyFont="1" applyFill="1" applyBorder="1" applyAlignment="1" applyProtection="1">
      <alignment vertical="center"/>
      <protection locked="0"/>
    </xf>
    <xf numFmtId="37" fontId="5" fillId="34" borderId="0" xfId="0" applyNumberFormat="1" applyFont="1" applyFill="1" applyAlignment="1" applyProtection="1">
      <alignment vertical="center"/>
      <protection locked="0"/>
    </xf>
    <xf numFmtId="0" fontId="5" fillId="34" borderId="26" xfId="63" applyNumberFormat="1" applyFont="1" applyFill="1" applyBorder="1" applyAlignment="1" applyProtection="1">
      <alignment horizontal="right" vertical="center"/>
      <protection/>
    </xf>
    <xf numFmtId="0" fontId="92" fillId="0" borderId="0" xfId="0" applyFont="1" applyAlignment="1" applyProtection="1">
      <alignmen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33" fillId="42" borderId="0"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3" fontId="5" fillId="33" borderId="19" xfId="0" applyNumberFormat="1" applyFont="1" applyFill="1" applyBorder="1" applyAlignment="1" applyProtection="1">
      <alignment horizontal="right" vertical="center"/>
      <protection locked="0"/>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35" fillId="45" borderId="17" xfId="0" applyNumberFormat="1" applyFont="1" applyFill="1" applyBorder="1" applyAlignment="1" applyProtection="1">
      <alignment horizontal="center"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37" fontId="33" fillId="34" borderId="21" xfId="0" applyNumberFormat="1" applyFont="1" applyFill="1" applyBorder="1" applyAlignment="1" applyProtection="1">
      <alignment horizontal="left" vertical="center"/>
      <protection/>
    </xf>
    <xf numFmtId="0" fontId="42" fillId="42" borderId="10" xfId="0" applyFont="1" applyFill="1" applyBorder="1" applyAlignment="1">
      <alignment horizontal="left" vertical="center"/>
    </xf>
    <xf numFmtId="197" fontId="5" fillId="34" borderId="0" xfId="0" applyNumberFormat="1" applyFont="1" applyFill="1" applyAlignment="1" applyProtection="1">
      <alignment horizontal="center" vertical="center"/>
      <protection/>
    </xf>
    <xf numFmtId="0" fontId="93" fillId="0" borderId="0" xfId="0" applyFont="1" applyAlignment="1" applyProtection="1">
      <alignment vertical="center"/>
      <protection locked="0"/>
    </xf>
    <xf numFmtId="3" fontId="5" fillId="33" borderId="19" xfId="0" applyNumberFormat="1" applyFont="1" applyFill="1" applyBorder="1" applyAlignment="1" applyProtection="1">
      <alignment vertical="center"/>
      <protection locked="0"/>
    </xf>
    <xf numFmtId="182" fontId="35" fillId="42" borderId="17" xfId="75" applyNumberFormat="1" applyFont="1" applyFill="1" applyBorder="1" applyAlignment="1" applyProtection="1">
      <alignment horizontal="center" vertical="center"/>
      <protection/>
    </xf>
    <xf numFmtId="0" fontId="5" fillId="42" borderId="0" xfId="75" applyFont="1" applyFill="1" applyBorder="1" applyAlignment="1" applyProtection="1">
      <alignment vertical="center"/>
      <protection/>
    </xf>
    <xf numFmtId="194" fontId="33" fillId="44" borderId="12" xfId="75" applyNumberFormat="1" applyFont="1" applyFill="1" applyBorder="1" applyAlignment="1" applyProtection="1">
      <alignment horizontal="center" vertical="center"/>
      <protection locked="0"/>
    </xf>
    <xf numFmtId="0" fontId="33" fillId="42" borderId="0" xfId="75" applyFont="1" applyFill="1" applyBorder="1" applyAlignment="1" applyProtection="1">
      <alignment vertical="center"/>
      <protection/>
    </xf>
    <xf numFmtId="0" fontId="33" fillId="42" borderId="15" xfId="75" applyFont="1" applyFill="1" applyBorder="1" applyAlignment="1" applyProtection="1">
      <alignment horizontal="left" vertical="center"/>
      <protection/>
    </xf>
    <xf numFmtId="0" fontId="33" fillId="42" borderId="15" xfId="75" applyFont="1" applyFill="1" applyBorder="1" applyAlignment="1" applyProtection="1">
      <alignment vertical="center"/>
      <protection/>
    </xf>
    <xf numFmtId="194" fontId="33" fillId="42" borderId="26" xfId="75" applyNumberFormat="1" applyFont="1" applyFill="1" applyBorder="1" applyAlignment="1" applyProtection="1">
      <alignment horizontal="center" vertical="center"/>
      <protection/>
    </xf>
    <xf numFmtId="194" fontId="35" fillId="45" borderId="17" xfId="75" applyNumberFormat="1" applyFont="1" applyFill="1" applyBorder="1" applyAlignment="1" applyProtection="1">
      <alignment horizontal="center" vertical="center"/>
      <protection/>
    </xf>
    <xf numFmtId="0" fontId="5" fillId="45" borderId="0" xfId="75" applyFont="1" applyFill="1" applyBorder="1" applyAlignment="1" applyProtection="1">
      <alignment vertical="center"/>
      <protection/>
    </xf>
    <xf numFmtId="0" fontId="33" fillId="45" borderId="0" xfId="75" applyFont="1" applyFill="1" applyBorder="1" applyAlignment="1" applyProtection="1">
      <alignment vertical="center"/>
      <protection/>
    </xf>
    <xf numFmtId="0" fontId="35" fillId="45" borderId="15" xfId="75" applyFont="1" applyFill="1" applyBorder="1" applyAlignment="1" applyProtection="1">
      <alignment vertical="center"/>
      <protection/>
    </xf>
    <xf numFmtId="194" fontId="35" fillId="45" borderId="16" xfId="75" applyNumberFormat="1" applyFont="1" applyFill="1" applyBorder="1" applyAlignment="1" applyProtection="1">
      <alignment horizontal="center" vertical="center"/>
      <protection locked="0"/>
    </xf>
    <xf numFmtId="37" fontId="33" fillId="34" borderId="21" xfId="75" applyNumberFormat="1" applyFont="1" applyFill="1" applyBorder="1" applyAlignment="1" applyProtection="1">
      <alignment horizontal="left" vertical="center"/>
      <protection/>
    </xf>
    <xf numFmtId="182" fontId="35" fillId="42" borderId="17" xfId="75" applyNumberFormat="1" applyFont="1" applyFill="1" applyBorder="1" applyAlignment="1" applyProtection="1">
      <alignment horizontal="center" vertical="center"/>
      <protection/>
    </xf>
    <xf numFmtId="0" fontId="42" fillId="42" borderId="10" xfId="75" applyFont="1" applyFill="1" applyBorder="1" applyAlignment="1">
      <alignment horizontal="left" vertical="center"/>
      <protection/>
    </xf>
    <xf numFmtId="0" fontId="5" fillId="42" borderId="0" xfId="75" applyFont="1" applyFill="1" applyBorder="1" applyAlignment="1" applyProtection="1">
      <alignment vertical="center"/>
      <protection/>
    </xf>
    <xf numFmtId="0" fontId="5" fillId="42" borderId="15" xfId="75" applyFont="1" applyFill="1" applyBorder="1" applyAlignment="1" applyProtection="1">
      <alignment vertical="center"/>
      <protection/>
    </xf>
    <xf numFmtId="0" fontId="5" fillId="42" borderId="26" xfId="75" applyFont="1" applyFill="1" applyBorder="1" applyAlignment="1" applyProtection="1">
      <alignment vertical="center"/>
      <protection/>
    </xf>
    <xf numFmtId="194" fontId="33" fillId="42" borderId="15" xfId="75" applyNumberFormat="1" applyFont="1" applyFill="1" applyBorder="1" applyAlignment="1" applyProtection="1">
      <alignment horizontal="center" vertical="center"/>
      <protection/>
    </xf>
    <xf numFmtId="0" fontId="33" fillId="42" borderId="0" xfId="75" applyFont="1" applyFill="1" applyBorder="1" applyAlignment="1" applyProtection="1">
      <alignment horizontal="left" vertical="center"/>
      <protection/>
    </xf>
    <xf numFmtId="0" fontId="33" fillId="42" borderId="26" xfId="75" applyFont="1" applyFill="1" applyBorder="1" applyAlignment="1" applyProtection="1">
      <alignment vertical="center"/>
      <protection/>
    </xf>
    <xf numFmtId="0" fontId="33" fillId="42" borderId="0" xfId="75" applyFont="1" applyFill="1" applyBorder="1" applyAlignment="1" applyProtection="1">
      <alignment vertical="center"/>
      <protection/>
    </xf>
    <xf numFmtId="194" fontId="33" fillId="42" borderId="21" xfId="75" applyNumberFormat="1" applyFont="1" applyFill="1" applyBorder="1" applyAlignment="1" applyProtection="1">
      <alignment horizontal="center" vertical="center"/>
      <protection/>
    </xf>
    <xf numFmtId="0" fontId="5" fillId="45" borderId="16" xfId="75" applyFont="1" applyFill="1" applyBorder="1" applyAlignment="1" applyProtection="1">
      <alignment vertical="center"/>
      <protection/>
    </xf>
    <xf numFmtId="194" fontId="15" fillId="42" borderId="15" xfId="75" applyNumberFormat="1" applyFont="1" applyFill="1" applyBorder="1" applyAlignment="1" applyProtection="1">
      <alignment horizontal="center" vertical="center"/>
      <protection/>
    </xf>
    <xf numFmtId="0" fontId="15" fillId="42" borderId="0" xfId="75" applyFont="1" applyFill="1" applyBorder="1" applyAlignment="1" applyProtection="1">
      <alignment vertical="center"/>
      <protection/>
    </xf>
    <xf numFmtId="194" fontId="15" fillId="42" borderId="21" xfId="75" applyNumberFormat="1" applyFont="1" applyFill="1" applyBorder="1" applyAlignment="1" applyProtection="1">
      <alignment horizontal="center" vertical="center"/>
      <protection/>
    </xf>
    <xf numFmtId="194" fontId="15" fillId="42" borderId="15" xfId="75" applyNumberFormat="1" applyFont="1" applyFill="1" applyBorder="1" applyAlignment="1" applyProtection="1">
      <alignment vertical="center"/>
      <protection/>
    </xf>
    <xf numFmtId="194" fontId="15" fillId="45" borderId="21" xfId="75" applyNumberFormat="1" applyFont="1" applyFill="1" applyBorder="1" applyAlignment="1" applyProtection="1">
      <alignment horizontal="center" vertical="center"/>
      <protection/>
    </xf>
    <xf numFmtId="0" fontId="15" fillId="45" borderId="10" xfId="75" applyFont="1" applyFill="1" applyBorder="1" applyAlignment="1" applyProtection="1">
      <alignment vertical="center"/>
      <protection/>
    </xf>
    <xf numFmtId="0" fontId="5" fillId="42" borderId="0" xfId="78" applyFont="1" applyFill="1">
      <alignment/>
      <protection/>
    </xf>
    <xf numFmtId="0" fontId="0" fillId="0" borderId="0" xfId="78">
      <alignment/>
      <protection/>
    </xf>
    <xf numFmtId="0" fontId="5" fillId="42" borderId="0" xfId="78" applyFont="1" applyFill="1" applyAlignment="1">
      <alignment vertical="center"/>
      <protection/>
    </xf>
    <xf numFmtId="37" fontId="5" fillId="42" borderId="0" xfId="78" applyNumberFormat="1" applyFont="1" applyFill="1" applyAlignment="1">
      <alignment vertical="center"/>
      <protection/>
    </xf>
    <xf numFmtId="0" fontId="5" fillId="42" borderId="10" xfId="78" applyFont="1" applyFill="1" applyBorder="1" applyAlignment="1">
      <alignment vertical="center"/>
      <protection/>
    </xf>
    <xf numFmtId="0" fontId="5" fillId="42" borderId="0" xfId="78" applyFont="1" applyFill="1" applyAlignment="1">
      <alignment horizontal="center" vertical="center"/>
      <protection/>
    </xf>
    <xf numFmtId="0" fontId="6" fillId="42" borderId="0" xfId="78" applyFont="1" applyFill="1" applyAlignment="1">
      <alignment horizontal="center" vertical="center"/>
      <protection/>
    </xf>
    <xf numFmtId="194" fontId="5" fillId="42" borderId="0" xfId="78" applyNumberFormat="1" applyFont="1" applyFill="1" applyAlignment="1">
      <alignment vertical="center"/>
      <protection/>
    </xf>
    <xf numFmtId="194" fontId="5" fillId="42" borderId="18" xfId="78" applyNumberFormat="1" applyFont="1" applyFill="1" applyBorder="1" applyAlignment="1">
      <alignment vertical="center"/>
      <protection/>
    </xf>
    <xf numFmtId="6" fontId="5" fillId="42" borderId="0" xfId="78" applyNumberFormat="1" applyFont="1" applyFill="1" applyBorder="1" applyAlignment="1">
      <alignment vertical="center"/>
      <protection/>
    </xf>
    <xf numFmtId="194" fontId="5" fillId="42" borderId="0" xfId="78" applyNumberFormat="1" applyFont="1" applyFill="1" applyBorder="1" applyAlignment="1">
      <alignment vertical="center"/>
      <protection/>
    </xf>
    <xf numFmtId="0" fontId="92" fillId="45" borderId="0" xfId="78" applyFont="1" applyFill="1" applyAlignment="1">
      <alignment vertical="center"/>
      <protection/>
    </xf>
    <xf numFmtId="0" fontId="92" fillId="42" borderId="0" xfId="78" applyFont="1" applyFill="1" applyAlignment="1">
      <alignment horizontal="center" vertical="center"/>
      <protection/>
    </xf>
    <xf numFmtId="0" fontId="92" fillId="45" borderId="0" xfId="78" applyFont="1" applyFill="1" applyAlignment="1">
      <alignment horizontal="center" vertical="center"/>
      <protection/>
    </xf>
    <xf numFmtId="0" fontId="5" fillId="42" borderId="0" xfId="75" applyFont="1" applyFill="1">
      <alignment/>
      <protection/>
    </xf>
    <xf numFmtId="0" fontId="0" fillId="42" borderId="0" xfId="78" applyFill="1">
      <alignment/>
      <protection/>
    </xf>
    <xf numFmtId="0" fontId="4" fillId="42" borderId="0" xfId="75" applyFont="1" applyFill="1">
      <alignment/>
      <protection/>
    </xf>
    <xf numFmtId="0" fontId="0" fillId="42" borderId="0" xfId="75" applyFill="1">
      <alignment/>
      <protection/>
    </xf>
    <xf numFmtId="0" fontId="5" fillId="42" borderId="0" xfId="78" applyFont="1" applyFill="1" applyAlignment="1">
      <alignment horizontal="left" vertical="center"/>
      <protection/>
    </xf>
    <xf numFmtId="0" fontId="5" fillId="42" borderId="0" xfId="78" applyFont="1" applyFill="1" applyAlignment="1">
      <alignment horizontal="right" vertical="center"/>
      <protection/>
    </xf>
    <xf numFmtId="182" fontId="5" fillId="42" borderId="0" xfId="78" applyNumberFormat="1" applyFont="1" applyFill="1" applyAlignment="1">
      <alignment horizontal="center" vertical="center"/>
      <protection/>
    </xf>
    <xf numFmtId="198" fontId="92" fillId="42" borderId="0" xfId="78" applyNumberFormat="1" applyFont="1" applyFill="1" applyAlignment="1">
      <alignment horizontal="center" vertical="center"/>
      <protection/>
    </xf>
    <xf numFmtId="0" fontId="94" fillId="45" borderId="0" xfId="78" applyFont="1" applyFill="1" applyAlignment="1">
      <alignment horizontal="center" vertical="center"/>
      <protection/>
    </xf>
    <xf numFmtId="0" fontId="11" fillId="0" borderId="0" xfId="63" applyAlignment="1" applyProtection="1">
      <alignment/>
      <protection/>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8" fillId="42" borderId="0" xfId="0" applyFont="1" applyFill="1" applyAlignment="1">
      <alignment horizontal="center" wrapText="1"/>
    </xf>
    <xf numFmtId="0" fontId="39" fillId="42" borderId="0" xfId="0" applyFont="1" applyFill="1" applyBorder="1" applyAlignment="1">
      <alignment/>
    </xf>
    <xf numFmtId="0" fontId="39" fillId="42" borderId="34" xfId="0" applyFont="1" applyFill="1" applyBorder="1" applyAlignment="1">
      <alignment/>
    </xf>
    <xf numFmtId="0" fontId="88" fillId="42" borderId="0" xfId="0" applyFont="1" applyFill="1" applyAlignment="1">
      <alignment horizontal="center"/>
    </xf>
    <xf numFmtId="194" fontId="39" fillId="42" borderId="0" xfId="0" applyNumberFormat="1" applyFont="1" applyFill="1" applyAlignment="1">
      <alignment horizontal="center"/>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182" fontId="5" fillId="42" borderId="0" xfId="0" applyNumberFormat="1" applyFont="1" applyFill="1" applyBorder="1" applyAlignment="1" applyProtection="1">
      <alignment horizontal="right" vertical="center"/>
      <protection locked="0"/>
    </xf>
    <xf numFmtId="182"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182" fontId="33" fillId="45" borderId="21"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49" fontId="5" fillId="34" borderId="0" xfId="0" applyNumberFormat="1" applyFont="1" applyFill="1" applyAlignment="1" applyProtection="1">
      <alignment horizontal="center" vertical="center"/>
      <protection/>
    </xf>
    <xf numFmtId="0" fontId="92" fillId="0" borderId="0" xfId="368" applyFont="1" applyAlignment="1">
      <alignment horizontal="left" vertical="center"/>
      <protection/>
    </xf>
    <xf numFmtId="0" fontId="5" fillId="0" borderId="0" xfId="73" applyFont="1">
      <alignment/>
      <protection/>
    </xf>
    <xf numFmtId="0" fontId="95" fillId="0" borderId="0" xfId="73" applyFont="1">
      <alignment/>
      <protection/>
    </xf>
    <xf numFmtId="0" fontId="0" fillId="0" borderId="0" xfId="73">
      <alignment/>
      <protection/>
    </xf>
    <xf numFmtId="0" fontId="5" fillId="0" borderId="0" xfId="0" applyFont="1" applyAlignment="1" applyProtection="1">
      <alignment/>
      <protection locked="0"/>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5" fillId="34" borderId="26" xfId="0" applyFont="1" applyFill="1" applyBorder="1" applyAlignment="1" applyProtection="1">
      <alignment vertical="center"/>
      <protection/>
    </xf>
    <xf numFmtId="0" fontId="30" fillId="0" borderId="0" xfId="368">
      <alignment/>
      <protection/>
    </xf>
    <xf numFmtId="187" fontId="15"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5" fillId="0" borderId="0" xfId="368" applyFont="1" applyAlignment="1">
      <alignment horizontal="left" vertical="center"/>
      <protection/>
    </xf>
    <xf numFmtId="188" fontId="15" fillId="0" borderId="0" xfId="368" applyNumberFormat="1" applyFont="1" applyAlignment="1">
      <alignment horizontal="left" vertical="center"/>
      <protection/>
    </xf>
    <xf numFmtId="0" fontId="30" fillId="33" borderId="0" xfId="368" applyFill="1" applyAlignment="1" applyProtection="1">
      <alignment horizontal="left" vertical="center"/>
      <protection locked="0"/>
    </xf>
    <xf numFmtId="0" fontId="5" fillId="42" borderId="0" xfId="0" applyFont="1" applyFill="1" applyBorder="1" applyAlignment="1" applyProtection="1">
      <alignment vertical="center"/>
      <protection/>
    </xf>
    <xf numFmtId="194" fontId="33" fillId="44" borderId="12" xfId="0" applyNumberFormat="1" applyFont="1" applyFill="1" applyBorder="1" applyAlignment="1" applyProtection="1">
      <alignment horizontal="center" vertical="center"/>
      <protection locked="0"/>
    </xf>
    <xf numFmtId="0" fontId="5" fillId="42" borderId="15" xfId="0" applyFont="1" applyFill="1" applyBorder="1" applyAlignment="1" applyProtection="1">
      <alignment vertical="center"/>
      <protection/>
    </xf>
    <xf numFmtId="0" fontId="5" fillId="42" borderId="26" xfId="0" applyFont="1" applyFill="1" applyBorder="1" applyAlignment="1" applyProtection="1">
      <alignment vertical="center"/>
      <protection/>
    </xf>
    <xf numFmtId="194" fontId="33" fillId="42" borderId="15" xfId="0" applyNumberFormat="1" applyFont="1" applyFill="1" applyBorder="1" applyAlignment="1" applyProtection="1">
      <alignment horizontal="center" vertical="center"/>
      <protection/>
    </xf>
    <xf numFmtId="0" fontId="33" fillId="42" borderId="0" xfId="0" applyFont="1" applyFill="1" applyBorder="1" applyAlignment="1" applyProtection="1">
      <alignment horizontal="left" vertical="center"/>
      <protection/>
    </xf>
    <xf numFmtId="0" fontId="33" fillId="42" borderId="26" xfId="0" applyFont="1" applyFill="1" applyBorder="1" applyAlignment="1" applyProtection="1">
      <alignment vertical="center"/>
      <protection/>
    </xf>
    <xf numFmtId="0" fontId="33" fillId="42" borderId="0" xfId="0" applyFont="1" applyFill="1" applyBorder="1" applyAlignment="1" applyProtection="1">
      <alignment vertical="center"/>
      <protection/>
    </xf>
    <xf numFmtId="194" fontId="33" fillId="42" borderId="21" xfId="0" applyNumberFormat="1" applyFont="1" applyFill="1" applyBorder="1" applyAlignment="1" applyProtection="1">
      <alignment horizontal="center" vertical="center"/>
      <protection/>
    </xf>
    <xf numFmtId="194" fontId="33" fillId="42" borderId="15" xfId="0" applyNumberFormat="1" applyFont="1" applyFill="1" applyBorder="1" applyAlignment="1" applyProtection="1">
      <alignment vertical="center"/>
      <protection/>
    </xf>
    <xf numFmtId="0" fontId="33" fillId="45" borderId="16" xfId="0" applyFont="1" applyFill="1" applyBorder="1" applyAlignment="1" applyProtection="1">
      <alignment vertical="center"/>
      <protection/>
    </xf>
    <xf numFmtId="0" fontId="5" fillId="45" borderId="16" xfId="0" applyFont="1" applyFill="1" applyBorder="1" applyAlignment="1" applyProtection="1">
      <alignment vertical="center"/>
      <protection/>
    </xf>
    <xf numFmtId="0" fontId="33" fillId="42" borderId="15" xfId="0" applyFont="1" applyFill="1" applyBorder="1" applyAlignment="1" applyProtection="1">
      <alignment horizontal="left" vertical="center"/>
      <protection/>
    </xf>
    <xf numFmtId="0" fontId="33" fillId="42" borderId="15" xfId="0" applyFont="1" applyFill="1" applyBorder="1" applyAlignment="1" applyProtection="1">
      <alignment vertical="center"/>
      <protection/>
    </xf>
    <xf numFmtId="194" fontId="33" fillId="42" borderId="26"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horizontal="center" vertical="center"/>
      <protection/>
    </xf>
    <xf numFmtId="0" fontId="15" fillId="42" borderId="0" xfId="0" applyFont="1" applyFill="1" applyBorder="1" applyAlignment="1" applyProtection="1">
      <alignment vertical="center"/>
      <protection/>
    </xf>
    <xf numFmtId="194" fontId="15" fillId="42" borderId="21" xfId="0" applyNumberFormat="1" applyFont="1" applyFill="1" applyBorder="1" applyAlignment="1" applyProtection="1">
      <alignment horizontal="center" vertical="center"/>
      <protection/>
    </xf>
    <xf numFmtId="194" fontId="15" fillId="42" borderId="15" xfId="0" applyNumberFormat="1" applyFont="1" applyFill="1" applyBorder="1" applyAlignment="1" applyProtection="1">
      <alignment vertical="center"/>
      <protection/>
    </xf>
    <xf numFmtId="194" fontId="15" fillId="45" borderId="21" xfId="0" applyNumberFormat="1" applyFont="1" applyFill="1" applyBorder="1" applyAlignment="1" applyProtection="1">
      <alignment horizontal="center" vertical="center"/>
      <protection/>
    </xf>
    <xf numFmtId="0" fontId="15" fillId="45" borderId="10" xfId="0" applyFont="1" applyFill="1" applyBorder="1" applyAlignment="1" applyProtection="1">
      <alignment vertical="center"/>
      <protection/>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96" fillId="0" borderId="0" xfId="368" applyFont="1">
      <alignment/>
      <protection/>
    </xf>
    <xf numFmtId="187" fontId="97" fillId="0" borderId="0" xfId="368" applyNumberFormat="1" applyFont="1" applyAlignment="1">
      <alignment horizontal="left" vertical="center"/>
      <protection/>
    </xf>
    <xf numFmtId="0" fontId="97" fillId="0" borderId="0" xfId="368" applyNumberFormat="1" applyFont="1" applyAlignment="1">
      <alignment horizontal="left" vertical="center"/>
      <protection/>
    </xf>
    <xf numFmtId="1" fontId="97" fillId="0" borderId="0" xfId="368" applyNumberFormat="1" applyFont="1" applyAlignment="1">
      <alignment horizontal="left" vertical="center"/>
      <protection/>
    </xf>
    <xf numFmtId="0" fontId="98"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33" fillId="42" borderId="10" xfId="0" applyFont="1" applyFill="1" applyBorder="1" applyAlignment="1" applyProtection="1">
      <alignment horizontal="left" vertical="center"/>
      <protection/>
    </xf>
    <xf numFmtId="0" fontId="34" fillId="42" borderId="10" xfId="0" applyFont="1" applyFill="1" applyBorder="1" applyAlignment="1" applyProtection="1">
      <alignment horizontal="center" vertical="center"/>
      <protection/>
    </xf>
    <xf numFmtId="0" fontId="0" fillId="42" borderId="16" xfId="0" applyFill="1" applyBorder="1" applyAlignment="1" applyProtection="1">
      <alignment vertical="center"/>
      <protection/>
    </xf>
    <xf numFmtId="194" fontId="35" fillId="45" borderId="17" xfId="0" applyNumberFormat="1" applyFont="1" applyFill="1" applyBorder="1" applyAlignment="1" applyProtection="1">
      <alignment horizontal="center" vertical="center"/>
      <protection/>
    </xf>
    <xf numFmtId="0" fontId="34" fillId="42" borderId="0" xfId="0" applyFont="1" applyFill="1" applyBorder="1" applyAlignment="1" applyProtection="1">
      <alignment horizontal="center" vertical="center"/>
      <protection/>
    </xf>
    <xf numFmtId="0" fontId="0" fillId="42" borderId="26" xfId="0" applyFill="1" applyBorder="1" applyAlignment="1" applyProtection="1">
      <alignment vertical="center"/>
      <protection/>
    </xf>
    <xf numFmtId="0" fontId="5" fillId="45" borderId="0" xfId="0" applyFont="1" applyFill="1" applyBorder="1" applyAlignment="1" applyProtection="1">
      <alignment vertical="center"/>
      <protection/>
    </xf>
    <xf numFmtId="0" fontId="33" fillId="45" borderId="0" xfId="0" applyFont="1" applyFill="1" applyBorder="1" applyAlignment="1" applyProtection="1">
      <alignment vertical="center"/>
      <protection/>
    </xf>
    <xf numFmtId="0" fontId="35" fillId="45" borderId="15" xfId="0" applyFont="1" applyFill="1" applyBorder="1" applyAlignment="1" applyProtection="1">
      <alignment vertical="center"/>
      <protection/>
    </xf>
    <xf numFmtId="194" fontId="35" fillId="45" borderId="16" xfId="0" applyNumberFormat="1" applyFont="1" applyFill="1" applyBorder="1" applyAlignment="1" applyProtection="1">
      <alignment horizontal="center" vertical="center"/>
      <protection locked="0"/>
    </xf>
    <xf numFmtId="37" fontId="5" fillId="34" borderId="26" xfId="0" applyNumberFormat="1" applyFont="1" applyFill="1" applyBorder="1" applyAlignment="1" applyProtection="1">
      <alignment horizontal="right" vertical="center"/>
      <protection/>
    </xf>
    <xf numFmtId="182" fontId="35" fillId="42" borderId="17" xfId="0" applyNumberFormat="1" applyFont="1" applyFill="1" applyBorder="1" applyAlignment="1" applyProtection="1">
      <alignment horizontal="center" vertical="center"/>
      <protection/>
    </xf>
    <xf numFmtId="194" fontId="33" fillId="45" borderId="21" xfId="0" applyNumberFormat="1" applyFont="1" applyFill="1" applyBorder="1" applyAlignment="1" applyProtection="1">
      <alignment horizontal="center" vertical="center"/>
      <protection/>
    </xf>
    <xf numFmtId="0" fontId="33" fillId="45" borderId="10" xfId="0" applyFont="1" applyFill="1" applyBorder="1" applyAlignment="1" applyProtection="1">
      <alignment vertical="center"/>
      <protection/>
    </xf>
    <xf numFmtId="0" fontId="42" fillId="42" borderId="10" xfId="0" applyFont="1" applyFill="1" applyBorder="1" applyAlignment="1">
      <alignment horizontal="left" vertical="center"/>
    </xf>
    <xf numFmtId="0" fontId="93" fillId="0" borderId="0" xfId="0" applyFont="1" applyAlignment="1" applyProtection="1">
      <alignment/>
      <protection locked="0"/>
    </xf>
    <xf numFmtId="182" fontId="33" fillId="42" borderId="15" xfId="0" applyNumberFormat="1" applyFont="1" applyFill="1" applyBorder="1" applyAlignment="1" applyProtection="1">
      <alignment horizontal="center" vertical="center"/>
      <protection/>
    </xf>
    <xf numFmtId="182" fontId="33" fillId="42" borderId="19" xfId="0" applyNumberFormat="1" applyFont="1" applyFill="1" applyBorder="1" applyAlignment="1" applyProtection="1">
      <alignment horizontal="center" vertical="center"/>
      <protection/>
    </xf>
    <xf numFmtId="182" fontId="33" fillId="45" borderId="21" xfId="0" applyNumberFormat="1" applyFont="1" applyFill="1" applyBorder="1" applyAlignment="1" applyProtection="1">
      <alignment horizontal="center" vertical="center"/>
      <protection/>
    </xf>
    <xf numFmtId="182" fontId="33" fillId="45" borderId="19" xfId="0" applyNumberFormat="1" applyFont="1" applyFill="1" applyBorder="1" applyAlignment="1" applyProtection="1">
      <alignment horizontal="center" vertical="center"/>
      <protection/>
    </xf>
    <xf numFmtId="0" fontId="5" fillId="42" borderId="26" xfId="0" applyFont="1" applyFill="1" applyBorder="1" applyAlignment="1" applyProtection="1">
      <alignment/>
      <protection locked="0"/>
    </xf>
    <xf numFmtId="0" fontId="5" fillId="45" borderId="16" xfId="0" applyFont="1" applyFill="1" applyBorder="1" applyAlignment="1" applyProtection="1">
      <alignment/>
      <protection locked="0"/>
    </xf>
    <xf numFmtId="0" fontId="5" fillId="42" borderId="26" xfId="0" applyFont="1" applyFill="1" applyBorder="1" applyAlignment="1" applyProtection="1">
      <alignment vertical="center"/>
      <protection locked="0"/>
    </xf>
    <xf numFmtId="0" fontId="33" fillId="34" borderId="26" xfId="63" applyNumberFormat="1" applyFont="1" applyFill="1" applyBorder="1" applyAlignment="1" applyProtection="1">
      <alignment horizontal="center" vertical="center"/>
      <protection/>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44" fillId="0" borderId="0" xfId="0" applyFont="1" applyAlignment="1" applyProtection="1">
      <alignment vertical="center"/>
      <protection/>
    </xf>
    <xf numFmtId="0" fontId="0" fillId="32" borderId="0" xfId="78" applyFill="1">
      <alignment/>
      <protection/>
    </xf>
    <xf numFmtId="0" fontId="0" fillId="32" borderId="0" xfId="75" applyFill="1">
      <alignment/>
      <protection/>
    </xf>
    <xf numFmtId="0" fontId="11" fillId="32" borderId="0" xfId="63" applyFill="1" applyAlignment="1" applyProtection="1">
      <alignment/>
      <protection/>
    </xf>
    <xf numFmtId="0" fontId="99" fillId="44" borderId="12" xfId="0" applyFont="1" applyFill="1" applyBorder="1" applyAlignment="1" applyProtection="1">
      <alignment/>
      <protection locked="0"/>
    </xf>
    <xf numFmtId="0" fontId="99" fillId="44" borderId="12" xfId="0" applyFont="1" applyFill="1" applyBorder="1" applyAlignment="1" applyProtection="1">
      <alignment horizontal="left"/>
      <protection locked="0"/>
    </xf>
    <xf numFmtId="0" fontId="99" fillId="44" borderId="12" xfId="0" applyFont="1" applyFill="1" applyBorder="1" applyAlignment="1" applyProtection="1">
      <alignment horizontal="left" wrapText="1"/>
      <protection locked="0"/>
    </xf>
    <xf numFmtId="0" fontId="99" fillId="44" borderId="12" xfId="0" applyFont="1" applyFill="1" applyBorder="1" applyAlignment="1" applyProtection="1">
      <alignment horizontal="left" vertical="top" wrapText="1"/>
      <protection locked="0"/>
    </xf>
    <xf numFmtId="0" fontId="99" fillId="33" borderId="12" xfId="0" applyFont="1" applyFill="1" applyBorder="1" applyAlignment="1" applyProtection="1">
      <alignment vertical="center"/>
      <protection locked="0"/>
    </xf>
    <xf numFmtId="0" fontId="15" fillId="33" borderId="12" xfId="0" applyFont="1" applyFill="1" applyBorder="1" applyAlignment="1" applyProtection="1" quotePrefix="1">
      <alignment vertical="center"/>
      <protection locked="0"/>
    </xf>
    <xf numFmtId="0" fontId="5" fillId="33" borderId="12" xfId="0" applyFont="1" applyFill="1" applyBorder="1" applyAlignment="1" applyProtection="1" quotePrefix="1">
      <alignment vertical="center"/>
      <protection locked="0"/>
    </xf>
    <xf numFmtId="0" fontId="45" fillId="44" borderId="12" xfId="0" applyFont="1" applyFill="1" applyBorder="1" applyAlignment="1" applyProtection="1">
      <alignment/>
      <protection locked="0"/>
    </xf>
    <xf numFmtId="0" fontId="45" fillId="44" borderId="13" xfId="0" applyFont="1" applyFill="1" applyBorder="1" applyAlignment="1" applyProtection="1">
      <alignment vertical="center" wrapText="1"/>
      <protection locked="0"/>
    </xf>
    <xf numFmtId="0" fontId="5" fillId="33" borderId="19" xfId="75" applyFont="1" applyFill="1" applyBorder="1" applyAlignment="1" applyProtection="1">
      <alignment vertical="center"/>
      <protection locked="0"/>
    </xf>
    <xf numFmtId="0" fontId="5" fillId="33" borderId="21" xfId="75" applyFont="1" applyFill="1" applyBorder="1" applyAlignment="1" applyProtection="1">
      <alignment vertical="center"/>
      <protection locked="0"/>
    </xf>
    <xf numFmtId="0" fontId="5" fillId="33" borderId="12" xfId="75" applyFont="1" applyFill="1" applyBorder="1" applyAlignment="1" applyProtection="1">
      <alignment vertical="center"/>
      <protection locked="0"/>
    </xf>
    <xf numFmtId="2" fontId="5" fillId="33" borderId="12" xfId="75" applyNumberFormat="1" applyFont="1" applyFill="1" applyBorder="1" applyAlignment="1" applyProtection="1">
      <alignment horizontal="center" vertical="center"/>
      <protection locked="0"/>
    </xf>
    <xf numFmtId="3" fontId="5" fillId="33" borderId="12" xfId="75" applyNumberFormat="1" applyFont="1" applyFill="1" applyBorder="1" applyAlignment="1" applyProtection="1">
      <alignment horizontal="center" vertical="center"/>
      <protection locked="0"/>
    </xf>
    <xf numFmtId="1" fontId="5" fillId="33" borderId="12" xfId="75" applyNumberFormat="1" applyFont="1" applyFill="1" applyBorder="1" applyAlignment="1" applyProtection="1">
      <alignment horizontal="center" vertical="center"/>
      <protection locked="0"/>
    </xf>
    <xf numFmtId="14" fontId="5" fillId="33" borderId="12" xfId="75" applyNumberFormat="1" applyFont="1" applyFill="1" applyBorder="1" applyAlignment="1" applyProtection="1">
      <alignment horizontal="center" vertical="center"/>
      <protection locked="0"/>
    </xf>
    <xf numFmtId="37" fontId="16" fillId="34" borderId="0" xfId="0" applyNumberFormat="1" applyFont="1" applyFill="1" applyAlignment="1" applyProtection="1">
      <alignment horizontal="center" vertical="center"/>
      <protection/>
    </xf>
    <xf numFmtId="0" fontId="17"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34" borderId="0" xfId="0" applyFont="1" applyFill="1" applyBorder="1" applyAlignment="1">
      <alignment vertical="center"/>
    </xf>
    <xf numFmtId="0" fontId="21"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30" fillId="0" borderId="0" xfId="368" applyAlignment="1">
      <alignment horizontal="left" vertical="center" wrapText="1"/>
      <protection/>
    </xf>
    <xf numFmtId="0" fontId="14" fillId="0" borderId="0" xfId="368"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5" borderId="13" xfId="0" applyFont="1" applyFill="1" applyBorder="1" applyAlignment="1" applyProtection="1">
      <alignment horizontal="center" vertical="center" wrapText="1" shrinkToFit="1"/>
      <protection/>
    </xf>
    <xf numFmtId="0" fontId="0" fillId="0" borderId="14" xfId="0" applyBorder="1" applyAlignment="1">
      <alignment horizontal="center" vertical="center" wrapText="1"/>
    </xf>
    <xf numFmtId="0" fontId="5" fillId="0" borderId="0" xfId="0" applyFont="1" applyAlignment="1" applyProtection="1">
      <alignment horizontal="center" vertical="center"/>
      <protection/>
    </xf>
    <xf numFmtId="0" fontId="7" fillId="34" borderId="0" xfId="0" applyFont="1" applyFill="1" applyAlignment="1" applyProtection="1">
      <alignment horizontal="center" vertical="center"/>
      <protection/>
    </xf>
    <xf numFmtId="0" fontId="7" fillId="34" borderId="0" xfId="0" applyFont="1" applyFill="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17" xfId="0" applyBorder="1" applyAlignment="1">
      <alignment horizontal="center" vertical="center"/>
    </xf>
    <xf numFmtId="0" fontId="4" fillId="33" borderId="19"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5" fillId="34" borderId="21" xfId="0" applyFont="1" applyFill="1" applyBorder="1" applyAlignment="1" applyProtection="1">
      <alignment horizontal="center" vertical="center"/>
      <protection/>
    </xf>
    <xf numFmtId="0" fontId="0" fillId="0" borderId="16" xfId="0" applyBorder="1" applyAlignment="1" applyProtection="1">
      <alignment vertical="center"/>
      <protection/>
    </xf>
    <xf numFmtId="1" fontId="5" fillId="34" borderId="21" xfId="0" applyNumberFormat="1" applyFont="1"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4" fillId="42" borderId="0" xfId="78" applyFont="1" applyFill="1" applyAlignment="1">
      <alignment horizontal="center" vertical="center"/>
      <protection/>
    </xf>
    <xf numFmtId="0" fontId="14" fillId="42" borderId="0" xfId="78" applyFont="1" applyFill="1" applyAlignment="1">
      <alignment horizontal="center" vertical="center"/>
      <protection/>
    </xf>
    <xf numFmtId="0" fontId="5" fillId="42" borderId="0" xfId="78" applyFont="1" applyFill="1" applyAlignment="1">
      <alignment vertical="center" wrapText="1"/>
      <protection/>
    </xf>
    <xf numFmtId="0" fontId="14" fillId="42" borderId="0" xfId="372" applyFont="1" applyFill="1" applyAlignment="1">
      <alignment horizontal="center"/>
      <protection/>
    </xf>
    <xf numFmtId="0" fontId="0" fillId="42" borderId="0" xfId="78" applyFill="1" applyAlignment="1">
      <alignment horizontal="center"/>
      <protection/>
    </xf>
    <xf numFmtId="0" fontId="34" fillId="42" borderId="24" xfId="84" applyFont="1" applyFill="1" applyBorder="1" applyAlignment="1" applyProtection="1">
      <alignment horizontal="center" vertical="center"/>
      <protection/>
    </xf>
    <xf numFmtId="0" fontId="34" fillId="42" borderId="18" xfId="84" applyFont="1" applyFill="1" applyBorder="1" applyAlignment="1" applyProtection="1">
      <alignment horizontal="center" vertical="center"/>
      <protection/>
    </xf>
    <xf numFmtId="0" fontId="0" fillId="0" borderId="23" xfId="84" applyBorder="1" applyAlignment="1" applyProtection="1">
      <alignment vertical="center"/>
      <protection/>
    </xf>
    <xf numFmtId="3" fontId="5" fillId="34" borderId="18" xfId="88" applyNumberFormat="1" applyFont="1" applyFill="1" applyBorder="1" applyAlignment="1" applyProtection="1">
      <alignment horizontal="right" vertical="center"/>
      <protection/>
    </xf>
    <xf numFmtId="0" fontId="0" fillId="0" borderId="23" xfId="88" applyBorder="1" applyAlignment="1">
      <alignment horizontal="right" vertical="center"/>
      <protection/>
    </xf>
    <xf numFmtId="0" fontId="5" fillId="34" borderId="0" xfId="88" applyFont="1" applyFill="1" applyAlignment="1" applyProtection="1">
      <alignment horizontal="right" vertical="center"/>
      <protection/>
    </xf>
    <xf numFmtId="0" fontId="5" fillId="0" borderId="26" xfId="88"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0" xfId="0" applyBorder="1" applyAlignment="1">
      <alignment horizontal="right" vertical="center"/>
    </xf>
    <xf numFmtId="0" fontId="0" fillId="0" borderId="18" xfId="0" applyBorder="1" applyAlignment="1">
      <alignment vertical="center"/>
    </xf>
    <xf numFmtId="0" fontId="0" fillId="0" borderId="23" xfId="0" applyBorder="1" applyAlignment="1">
      <alignment vertical="center"/>
    </xf>
    <xf numFmtId="182" fontId="34" fillId="42" borderId="24" xfId="0" applyNumberFormat="1" applyFont="1" applyFill="1" applyBorder="1" applyAlignment="1" applyProtection="1">
      <alignment horizontal="center"/>
      <protection/>
    </xf>
    <xf numFmtId="0" fontId="17" fillId="0" borderId="18" xfId="0" applyFont="1" applyBorder="1" applyAlignment="1">
      <alignment/>
    </xf>
    <xf numFmtId="0" fontId="17" fillId="0" borderId="23" xfId="0" applyFont="1" applyBorder="1" applyAlignment="1">
      <alignment/>
    </xf>
    <xf numFmtId="0" fontId="5" fillId="34" borderId="0" xfId="63" applyNumberFormat="1" applyFont="1" applyFill="1" applyBorder="1" applyAlignment="1" applyProtection="1">
      <alignment horizontal="right" vertical="center"/>
      <protection/>
    </xf>
    <xf numFmtId="0" fontId="5" fillId="0" borderId="0" xfId="63" applyFont="1" applyAlignment="1" applyProtection="1">
      <alignment horizontal="right" vertical="center"/>
      <protection/>
    </xf>
    <xf numFmtId="0" fontId="37" fillId="42" borderId="24" xfId="84" applyFont="1" applyFill="1" applyBorder="1" applyAlignment="1" applyProtection="1">
      <alignment horizontal="center" vertical="center"/>
      <protection/>
    </xf>
    <xf numFmtId="0" fontId="0" fillId="0" borderId="18" xfId="0" applyBorder="1" applyAlignment="1">
      <alignment horizontal="center" vertical="center"/>
    </xf>
    <xf numFmtId="0" fontId="34" fillId="42" borderId="24" xfId="75" applyFont="1" applyFill="1" applyBorder="1" applyAlignment="1" applyProtection="1">
      <alignment horizontal="center" vertical="center"/>
      <protection/>
    </xf>
    <xf numFmtId="0" fontId="42" fillId="0" borderId="18" xfId="75" applyFont="1" applyBorder="1" applyAlignment="1">
      <alignment horizontal="center" vertical="center"/>
      <protection/>
    </xf>
    <xf numFmtId="0" fontId="34" fillId="42" borderId="24" xfId="0" applyFont="1" applyFill="1" applyBorder="1" applyAlignment="1" applyProtection="1">
      <alignment horizontal="center" vertical="center"/>
      <protection/>
    </xf>
    <xf numFmtId="0" fontId="0" fillId="0" borderId="18" xfId="75" applyBorder="1" applyAlignment="1">
      <alignment vertical="center"/>
      <protection/>
    </xf>
    <xf numFmtId="0" fontId="0" fillId="0" borderId="23" xfId="75" applyBorder="1" applyAlignment="1">
      <alignment vertical="center"/>
      <protection/>
    </xf>
    <xf numFmtId="0" fontId="0" fillId="0" borderId="23" xfId="0" applyBorder="1" applyAlignment="1">
      <alignment/>
    </xf>
    <xf numFmtId="0" fontId="42" fillId="0" borderId="18" xfId="0" applyFont="1" applyBorder="1" applyAlignment="1">
      <alignment horizontal="center" vertical="center"/>
    </xf>
    <xf numFmtId="0" fontId="4" fillId="34" borderId="19" xfId="0" applyFont="1" applyFill="1" applyBorder="1" applyAlignment="1">
      <alignment vertical="center"/>
    </xf>
    <xf numFmtId="0" fontId="4" fillId="34" borderId="17" xfId="0" applyFont="1" applyFill="1" applyBorder="1" applyAlignment="1">
      <alignment vertical="center"/>
    </xf>
    <xf numFmtId="0" fontId="14" fillId="42" borderId="24" xfId="85" applyFont="1" applyFill="1" applyBorder="1" applyAlignment="1" applyProtection="1">
      <alignment horizontal="center"/>
      <protection/>
    </xf>
    <xf numFmtId="0" fontId="0" fillId="0" borderId="18" xfId="0" applyBorder="1" applyAlignment="1">
      <alignment horizontal="center"/>
    </xf>
    <xf numFmtId="0" fontId="0" fillId="0" borderId="23" xfId="0" applyBorder="1" applyAlignment="1">
      <alignment horizontal="center"/>
    </xf>
    <xf numFmtId="0" fontId="0" fillId="0" borderId="18" xfId="85" applyBorder="1" applyAlignment="1" applyProtection="1">
      <alignment horizontal="center"/>
      <protection/>
    </xf>
    <xf numFmtId="0" fontId="0" fillId="0" borderId="23" xfId="85" applyBorder="1" applyAlignment="1" applyProtection="1">
      <alignment horizontal="center"/>
      <protection/>
    </xf>
    <xf numFmtId="0" fontId="14" fillId="42" borderId="18" xfId="85" applyFont="1" applyFill="1" applyBorder="1" applyAlignment="1" applyProtection="1">
      <alignment horizontal="center"/>
      <protection/>
    </xf>
    <xf numFmtId="0" fontId="14" fillId="42" borderId="23" xfId="85" applyFont="1" applyFill="1" applyBorder="1" applyAlignment="1" applyProtection="1">
      <alignment horizontal="center"/>
      <protection/>
    </xf>
    <xf numFmtId="49" fontId="4" fillId="34" borderId="10" xfId="0" applyNumberFormat="1" applyFont="1" applyFill="1" applyBorder="1" applyAlignment="1" applyProtection="1">
      <alignment horizontal="center" vertical="center"/>
      <protection locked="0"/>
    </xf>
    <xf numFmtId="0" fontId="4" fillId="34" borderId="10" xfId="0" applyNumberFormat="1" applyFont="1" applyFill="1" applyBorder="1" applyAlignment="1" applyProtection="1">
      <alignment horizontal="center" vertical="center"/>
      <protection locked="0"/>
    </xf>
    <xf numFmtId="37" fontId="5" fillId="42" borderId="0" xfId="0" applyNumberFormat="1" applyFont="1" applyFill="1" applyAlignment="1" applyProtection="1">
      <alignment horizontal="center" vertical="center"/>
      <protection/>
    </xf>
    <xf numFmtId="37" fontId="5" fillId="42" borderId="0" xfId="110"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39" fillId="42" borderId="35" xfId="0" applyFont="1" applyFill="1" applyBorder="1" applyAlignment="1">
      <alignment vertical="top" wrapText="1"/>
    </xf>
    <xf numFmtId="0" fontId="39" fillId="0" borderId="0" xfId="0" applyFont="1" applyAlignment="1">
      <alignment vertical="top" wrapText="1"/>
    </xf>
    <xf numFmtId="0" fontId="39" fillId="0" borderId="31" xfId="0" applyFont="1" applyBorder="1" applyAlignment="1">
      <alignment vertical="top" wrapText="1"/>
    </xf>
    <xf numFmtId="194" fontId="39" fillId="42" borderId="0" xfId="0" applyNumberFormat="1" applyFont="1" applyFill="1" applyBorder="1" applyAlignment="1">
      <alignment horizontal="center"/>
    </xf>
    <xf numFmtId="195" fontId="39" fillId="42" borderId="0" xfId="0" applyNumberFormat="1" applyFont="1" applyFill="1" applyBorder="1" applyAlignment="1">
      <alignment horizontal="center"/>
    </xf>
    <xf numFmtId="0" fontId="39" fillId="0" borderId="31" xfId="0" applyFont="1" applyBorder="1" applyAlignment="1">
      <alignment horizontal="center"/>
    </xf>
    <xf numFmtId="178" fontId="39" fillId="44" borderId="10" xfId="0" applyNumberFormat="1" applyFont="1" applyFill="1" applyBorder="1" applyAlignment="1" applyProtection="1">
      <alignment horizontal="center"/>
      <protection locked="0"/>
    </xf>
    <xf numFmtId="195" fontId="39" fillId="0" borderId="31" xfId="0" applyNumberFormat="1" applyFont="1" applyBorder="1" applyAlignment="1">
      <alignment horizontal="center"/>
    </xf>
    <xf numFmtId="5" fontId="39" fillId="42" borderId="10" xfId="0" applyNumberFormat="1" applyFont="1" applyFill="1" applyBorder="1" applyAlignment="1">
      <alignment horizontal="center"/>
    </xf>
    <xf numFmtId="0" fontId="39" fillId="42" borderId="0" xfId="0" applyFont="1" applyFill="1" applyBorder="1" applyAlignment="1">
      <alignment horizontal="center"/>
    </xf>
    <xf numFmtId="194" fontId="39" fillId="44" borderId="10" xfId="0" applyNumberFormat="1" applyFont="1" applyFill="1" applyBorder="1" applyAlignment="1" applyProtection="1">
      <alignment horizontal="center"/>
      <protection locked="0"/>
    </xf>
    <xf numFmtId="0" fontId="39" fillId="42" borderId="18" xfId="0" applyFont="1" applyFill="1" applyBorder="1" applyAlignment="1">
      <alignment horizontal="center"/>
    </xf>
    <xf numFmtId="0" fontId="88" fillId="42" borderId="28" xfId="0" applyFont="1" applyFill="1" applyBorder="1" applyAlignment="1">
      <alignment horizontal="center" vertical="center"/>
    </xf>
    <xf numFmtId="0" fontId="88" fillId="42" borderId="0" xfId="0" applyFont="1" applyFill="1" applyAlignment="1">
      <alignment horizontal="center" wrapText="1"/>
    </xf>
    <xf numFmtId="0" fontId="39" fillId="42" borderId="0" xfId="0" applyFont="1" applyFill="1" applyAlignment="1">
      <alignment wrapText="1"/>
    </xf>
    <xf numFmtId="0" fontId="39" fillId="0" borderId="28" xfId="0" applyFont="1" applyBorder="1" applyAlignment="1">
      <alignment horizontal="center" vertical="center"/>
    </xf>
    <xf numFmtId="194" fontId="39" fillId="44" borderId="30" xfId="0" applyNumberFormat="1" applyFont="1" applyFill="1" applyBorder="1" applyAlignment="1" applyProtection="1">
      <alignment horizontal="center"/>
      <protection locked="0"/>
    </xf>
    <xf numFmtId="0" fontId="39" fillId="42" borderId="0" xfId="0" applyFont="1" applyFill="1" applyBorder="1" applyAlignment="1">
      <alignment/>
    </xf>
    <xf numFmtId="0" fontId="39" fillId="0" borderId="0" xfId="0" applyFont="1" applyBorder="1" applyAlignment="1">
      <alignment/>
    </xf>
    <xf numFmtId="0" fontId="39" fillId="42" borderId="33" xfId="0" applyFont="1" applyFill="1" applyBorder="1" applyAlignment="1">
      <alignment/>
    </xf>
    <xf numFmtId="0" fontId="39" fillId="42" borderId="34" xfId="0" applyFont="1" applyFill="1" applyBorder="1" applyAlignment="1">
      <alignment/>
    </xf>
    <xf numFmtId="0" fontId="88" fillId="42" borderId="0" xfId="0" applyFont="1" applyFill="1" applyAlignment="1">
      <alignment horizontal="center"/>
    </xf>
    <xf numFmtId="0" fontId="39" fillId="0" borderId="0" xfId="0" applyFont="1" applyAlignment="1">
      <alignment wrapText="1"/>
    </xf>
    <xf numFmtId="194" fontId="39" fillId="42" borderId="0" xfId="0" applyNumberFormat="1" applyFont="1" applyFill="1" applyAlignment="1">
      <alignment horizontal="center"/>
    </xf>
    <xf numFmtId="0" fontId="39" fillId="42" borderId="0" xfId="0" applyFont="1" applyFill="1" applyBorder="1" applyAlignment="1">
      <alignment wrapText="1"/>
    </xf>
    <xf numFmtId="0" fontId="88" fillId="42" borderId="0" xfId="0" applyFont="1" applyFill="1" applyBorder="1" applyAlignment="1">
      <alignment horizontal="center" wrapText="1"/>
    </xf>
    <xf numFmtId="0" fontId="39"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194" fontId="39" fillId="42" borderId="0" xfId="0" applyNumberFormat="1" applyFont="1" applyFill="1" applyAlignment="1">
      <alignment/>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116">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
      <font>
        <strike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1">
      <selection activeCell="J13" sqref="J13"/>
    </sheetView>
  </sheetViews>
  <sheetFormatPr defaultColWidth="8.796875" defaultRowHeight="15"/>
  <cols>
    <col min="1" max="1" width="75.796875" style="8" customWidth="1"/>
    <col min="2" max="16384" width="8.8984375" style="8" customWidth="1"/>
  </cols>
  <sheetData>
    <row r="1" ht="15.75">
      <c r="A1" s="7" t="s">
        <v>246</v>
      </c>
    </row>
    <row r="3" ht="34.5" customHeight="1">
      <c r="A3" s="9" t="s">
        <v>233</v>
      </c>
    </row>
    <row r="4" ht="15.75">
      <c r="A4" s="10"/>
    </row>
    <row r="5" ht="85.5" customHeight="1">
      <c r="A5" s="11" t="s">
        <v>269</v>
      </c>
    </row>
    <row r="6" ht="15.75">
      <c r="A6" s="11"/>
    </row>
    <row r="7" ht="55.5" customHeight="1">
      <c r="A7" s="11" t="s">
        <v>922</v>
      </c>
    </row>
    <row r="8" ht="15.75">
      <c r="A8" s="11"/>
    </row>
    <row r="9" ht="15.75">
      <c r="A9" s="7" t="s">
        <v>272</v>
      </c>
    </row>
    <row r="10" ht="15.75">
      <c r="A10" s="7"/>
    </row>
    <row r="11" ht="15.75">
      <c r="A11" s="10" t="s">
        <v>274</v>
      </c>
    </row>
    <row r="13" ht="38.25" customHeight="1">
      <c r="A13" s="12" t="s">
        <v>640</v>
      </c>
    </row>
    <row r="14" ht="14.25" customHeight="1">
      <c r="A14" s="12"/>
    </row>
    <row r="16" ht="15.75">
      <c r="A16" s="7" t="s">
        <v>327</v>
      </c>
    </row>
    <row r="18" ht="34.5" customHeight="1">
      <c r="A18" s="11" t="s">
        <v>273</v>
      </c>
    </row>
    <row r="19" ht="12" customHeight="1">
      <c r="A19" s="11"/>
    </row>
    <row r="20" ht="16.5" customHeight="1">
      <c r="A20" s="13" t="s">
        <v>231</v>
      </c>
    </row>
    <row r="21" ht="9.75" customHeight="1">
      <c r="A21" s="14"/>
    </row>
    <row r="22" ht="15.75">
      <c r="A22" s="15" t="s">
        <v>245</v>
      </c>
    </row>
    <row r="23" ht="15.75">
      <c r="A23" s="16"/>
    </row>
    <row r="24" ht="85.5" customHeight="1">
      <c r="A24" s="17" t="s">
        <v>256</v>
      </c>
    </row>
    <row r="25" ht="19.5" customHeight="1">
      <c r="A25" s="11"/>
    </row>
    <row r="26" ht="19.5" customHeight="1">
      <c r="A26" s="18" t="s">
        <v>232</v>
      </c>
    </row>
    <row r="28" ht="15.75">
      <c r="A28" s="19" t="s">
        <v>270</v>
      </c>
    </row>
    <row r="30" ht="20.25" customHeight="1">
      <c r="A30" s="11" t="s">
        <v>271</v>
      </c>
    </row>
    <row r="32" ht="15.75">
      <c r="A32" s="7" t="s">
        <v>83</v>
      </c>
    </row>
    <row r="34" ht="69" customHeight="1">
      <c r="A34" s="11" t="s">
        <v>744</v>
      </c>
    </row>
    <row r="35" ht="38.25" customHeight="1">
      <c r="A35" s="11" t="s">
        <v>257</v>
      </c>
    </row>
    <row r="36" ht="51" customHeight="1">
      <c r="A36" s="20" t="s">
        <v>234</v>
      </c>
    </row>
    <row r="37" ht="11.25" customHeight="1"/>
    <row r="38" ht="80.25" customHeight="1">
      <c r="A38" s="11" t="s">
        <v>745</v>
      </c>
    </row>
    <row r="39" ht="67.5" customHeight="1">
      <c r="A39" s="11" t="s">
        <v>303</v>
      </c>
    </row>
    <row r="40" ht="103.5" customHeight="1">
      <c r="A40" s="11" t="s">
        <v>304</v>
      </c>
    </row>
    <row r="41" ht="12.75" customHeight="1"/>
    <row r="42" ht="73.5" customHeight="1">
      <c r="A42" s="744" t="s">
        <v>923</v>
      </c>
    </row>
    <row r="43" ht="69.75" customHeight="1">
      <c r="A43" s="344" t="s">
        <v>598</v>
      </c>
    </row>
    <row r="44" ht="69.75" customHeight="1">
      <c r="A44" s="745" t="s">
        <v>924</v>
      </c>
    </row>
    <row r="45" ht="12.75" customHeight="1"/>
    <row r="46" ht="67.5" customHeight="1">
      <c r="A46" s="11" t="s">
        <v>599</v>
      </c>
    </row>
    <row r="47" ht="37.5" customHeight="1">
      <c r="A47" s="11" t="s">
        <v>600</v>
      </c>
    </row>
    <row r="48" ht="72.75" customHeight="1">
      <c r="A48" s="11" t="s">
        <v>601</v>
      </c>
    </row>
    <row r="49" ht="108" customHeight="1">
      <c r="A49" s="746" t="s">
        <v>960</v>
      </c>
    </row>
    <row r="50" ht="13.5" customHeight="1">
      <c r="A50" s="11"/>
    </row>
    <row r="51" ht="70.5" customHeight="1">
      <c r="A51" s="11" t="s">
        <v>602</v>
      </c>
    </row>
    <row r="52" ht="126" customHeight="1">
      <c r="A52" s="11" t="s">
        <v>603</v>
      </c>
    </row>
    <row r="53" ht="35.25" customHeight="1">
      <c r="A53" s="11" t="s">
        <v>604</v>
      </c>
    </row>
    <row r="54" ht="15.75" customHeight="1">
      <c r="A54" s="11"/>
    </row>
    <row r="55" ht="83.25" customHeight="1">
      <c r="A55" s="746" t="s">
        <v>925</v>
      </c>
    </row>
    <row r="56" ht="12.75" customHeight="1"/>
    <row r="57" ht="71.25" customHeight="1">
      <c r="A57" s="11" t="s">
        <v>605</v>
      </c>
    </row>
    <row r="58" ht="45" customHeight="1">
      <c r="A58" s="11" t="s">
        <v>611</v>
      </c>
    </row>
    <row r="59" ht="97.5" customHeight="1">
      <c r="A59" s="11" t="s">
        <v>641</v>
      </c>
    </row>
    <row r="60" ht="42.75" customHeight="1">
      <c r="A60" s="327" t="s">
        <v>612</v>
      </c>
    </row>
    <row r="61" ht="14.25" customHeight="1"/>
    <row r="62" s="11" customFormat="1" ht="58.5" customHeight="1">
      <c r="A62" s="11" t="s">
        <v>606</v>
      </c>
    </row>
    <row r="64" ht="69" customHeight="1">
      <c r="A64" s="11" t="s">
        <v>607</v>
      </c>
    </row>
    <row r="65" ht="15.75" customHeight="1">
      <c r="A65" s="11"/>
    </row>
    <row r="66" ht="167.25" customHeight="1">
      <c r="A66" s="746" t="s">
        <v>926</v>
      </c>
    </row>
    <row r="67" ht="11.25" customHeight="1"/>
    <row r="68" ht="104.25" customHeight="1">
      <c r="A68" s="11" t="s">
        <v>927</v>
      </c>
    </row>
    <row r="69" ht="72.75" customHeight="1">
      <c r="A69" s="746" t="s">
        <v>951</v>
      </c>
    </row>
    <row r="70" ht="117" customHeight="1">
      <c r="A70" s="747" t="s">
        <v>928</v>
      </c>
    </row>
    <row r="71" ht="93" customHeight="1">
      <c r="A71" s="747" t="s">
        <v>929</v>
      </c>
    </row>
    <row r="72" ht="104.25" customHeight="1">
      <c r="A72" s="747" t="s">
        <v>930</v>
      </c>
    </row>
    <row r="73" ht="77.25" customHeight="1">
      <c r="A73" s="11" t="s">
        <v>931</v>
      </c>
    </row>
    <row r="74" ht="112.5" customHeight="1">
      <c r="A74" s="746" t="s">
        <v>932</v>
      </c>
    </row>
    <row r="75" ht="138" customHeight="1">
      <c r="A75" s="11" t="s">
        <v>933</v>
      </c>
    </row>
    <row r="76" ht="81" customHeight="1">
      <c r="A76" s="11" t="s">
        <v>934</v>
      </c>
    </row>
    <row r="77" ht="78.75" customHeight="1">
      <c r="A77" s="11" t="s">
        <v>935</v>
      </c>
    </row>
    <row r="78" ht="99.75" customHeight="1">
      <c r="A78" s="11" t="s">
        <v>936</v>
      </c>
    </row>
    <row r="79" ht="57" customHeight="1">
      <c r="A79" s="11" t="s">
        <v>937</v>
      </c>
    </row>
    <row r="80" ht="111" customHeight="1">
      <c r="A80" s="11" t="s">
        <v>938</v>
      </c>
    </row>
    <row r="81" ht="111.75" customHeight="1">
      <c r="A81" s="491" t="s">
        <v>939</v>
      </c>
    </row>
    <row r="82" ht="110.25" customHeight="1">
      <c r="A82" s="492" t="s">
        <v>940</v>
      </c>
    </row>
    <row r="83" ht="51.75" customHeight="1">
      <c r="A83" s="493" t="s">
        <v>941</v>
      </c>
    </row>
    <row r="84" ht="78.75" customHeight="1">
      <c r="A84" s="746" t="s">
        <v>942</v>
      </c>
    </row>
    <row r="85" ht="78.75" customHeight="1">
      <c r="A85" s="746" t="s">
        <v>953</v>
      </c>
    </row>
    <row r="86" ht="46.5" customHeight="1">
      <c r="A86" s="748" t="s">
        <v>954</v>
      </c>
    </row>
    <row r="87" ht="53.25" customHeight="1">
      <c r="A87" s="747" t="s">
        <v>955</v>
      </c>
    </row>
    <row r="88" ht="125.25" customHeight="1">
      <c r="A88" s="747" t="s">
        <v>956</v>
      </c>
    </row>
    <row r="89" ht="149.25" customHeight="1">
      <c r="A89" s="747" t="s">
        <v>957</v>
      </c>
    </row>
    <row r="90" ht="87" customHeight="1">
      <c r="A90" s="749" t="s">
        <v>958</v>
      </c>
    </row>
    <row r="91" ht="84" customHeight="1">
      <c r="A91" s="750" t="s">
        <v>959</v>
      </c>
    </row>
    <row r="92" ht="30.75" customHeight="1"/>
    <row r="93" ht="162" customHeight="1">
      <c r="A93" s="11" t="s">
        <v>943</v>
      </c>
    </row>
    <row r="94" ht="159.75" customHeight="1">
      <c r="A94" s="11" t="s">
        <v>944</v>
      </c>
    </row>
    <row r="95" ht="45" customHeight="1">
      <c r="A95" s="11" t="s">
        <v>945</v>
      </c>
    </row>
    <row r="96" ht="45" customHeight="1">
      <c r="A96" s="11" t="s">
        <v>946</v>
      </c>
    </row>
    <row r="97" ht="15" customHeight="1"/>
    <row r="98" ht="72" customHeight="1">
      <c r="A98" s="746" t="s">
        <v>947</v>
      </c>
    </row>
    <row r="99" ht="15.75">
      <c r="A99" s="751"/>
    </row>
    <row r="100" ht="54" customHeight="1">
      <c r="A100" s="747" t="s">
        <v>948</v>
      </c>
    </row>
    <row r="101" ht="101.25" customHeight="1">
      <c r="A101" s="747" t="s">
        <v>949</v>
      </c>
    </row>
    <row r="102" ht="131.25" customHeight="1">
      <c r="A102" s="747" t="s">
        <v>950</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8"/>
  <sheetViews>
    <sheetView zoomScale="75" zoomScaleNormal="75" zoomScalePageLayoutView="0" workbookViewId="0" topLeftCell="A28">
      <selection activeCell="Q33" sqref="Q33"/>
    </sheetView>
  </sheetViews>
  <sheetFormatPr defaultColWidth="8.796875" defaultRowHeight="15"/>
  <cols>
    <col min="1" max="1" width="4.59765625" style="23" customWidth="1"/>
    <col min="2" max="2" width="20.796875" style="23" customWidth="1"/>
    <col min="3" max="3" width="9.296875" style="23" customWidth="1"/>
    <col min="4" max="4" width="9.09765625" style="23" customWidth="1"/>
    <col min="5" max="5" width="8.796875" style="23" customWidth="1"/>
    <col min="6" max="6" width="12.69921875" style="23" customWidth="1"/>
    <col min="7" max="7" width="13.69921875" style="23" customWidth="1"/>
    <col min="8" max="9" width="9.296875" style="23" customWidth="1"/>
    <col min="10" max="13" width="9.796875" style="23" customWidth="1"/>
    <col min="14" max="16384" width="8.8984375" style="23" customWidth="1"/>
  </cols>
  <sheetData>
    <row r="1" spans="2:13" ht="18.75" customHeight="1">
      <c r="B1" s="151" t="str">
        <f>inputPrYr!$D$2</f>
        <v>Valley Center</v>
      </c>
      <c r="C1" s="22"/>
      <c r="D1" s="22"/>
      <c r="E1" s="22"/>
      <c r="F1" s="22"/>
      <c r="G1" s="22"/>
      <c r="H1" s="22"/>
      <c r="I1" s="22"/>
      <c r="J1" s="22"/>
      <c r="K1" s="22"/>
      <c r="L1" s="22"/>
      <c r="M1" s="185">
        <f>inputPrYr!$C$5</f>
        <v>2013</v>
      </c>
    </row>
    <row r="2" spans="2:13" ht="15.75">
      <c r="B2" s="151"/>
      <c r="C2" s="22"/>
      <c r="D2" s="22"/>
      <c r="E2" s="22"/>
      <c r="F2" s="22"/>
      <c r="G2" s="22"/>
      <c r="H2" s="22"/>
      <c r="I2" s="22"/>
      <c r="J2" s="22"/>
      <c r="K2" s="22"/>
      <c r="L2" s="22"/>
      <c r="M2" s="147"/>
    </row>
    <row r="3" spans="2:13" ht="15.75">
      <c r="B3" s="186" t="s">
        <v>91</v>
      </c>
      <c r="C3" s="33"/>
      <c r="D3" s="33"/>
      <c r="E3" s="33"/>
      <c r="F3" s="33"/>
      <c r="G3" s="33"/>
      <c r="H3" s="33"/>
      <c r="I3" s="33"/>
      <c r="J3" s="33"/>
      <c r="K3" s="33"/>
      <c r="L3" s="33"/>
      <c r="M3" s="33"/>
    </row>
    <row r="4" spans="2:13" ht="15.75">
      <c r="B4" s="22"/>
      <c r="C4" s="187"/>
      <c r="D4" s="187"/>
      <c r="E4" s="187"/>
      <c r="F4" s="187"/>
      <c r="G4" s="187"/>
      <c r="H4" s="187"/>
      <c r="I4" s="187"/>
      <c r="J4" s="187"/>
      <c r="K4" s="187"/>
      <c r="L4" s="187"/>
      <c r="M4" s="187"/>
    </row>
    <row r="5" spans="2:13" ht="15.75">
      <c r="B5" s="133"/>
      <c r="C5" s="166" t="s">
        <v>59</v>
      </c>
      <c r="D5" s="166" t="s">
        <v>59</v>
      </c>
      <c r="E5" s="166" t="s">
        <v>73</v>
      </c>
      <c r="F5" s="166"/>
      <c r="G5" s="166" t="s">
        <v>194</v>
      </c>
      <c r="H5" s="22"/>
      <c r="I5" s="22"/>
      <c r="J5" s="188" t="s">
        <v>60</v>
      </c>
      <c r="K5" s="189"/>
      <c r="L5" s="188" t="s">
        <v>60</v>
      </c>
      <c r="M5" s="189"/>
    </row>
    <row r="6" spans="2:13" ht="15.75">
      <c r="B6" s="127" t="s">
        <v>861</v>
      </c>
      <c r="C6" s="127" t="s">
        <v>61</v>
      </c>
      <c r="D6" s="127" t="s">
        <v>195</v>
      </c>
      <c r="E6" s="127" t="s">
        <v>62</v>
      </c>
      <c r="F6" s="127" t="s">
        <v>17</v>
      </c>
      <c r="G6" s="127" t="s">
        <v>196</v>
      </c>
      <c r="H6" s="806" t="s">
        <v>63</v>
      </c>
      <c r="I6" s="807"/>
      <c r="J6" s="808">
        <f>M1-1</f>
        <v>2012</v>
      </c>
      <c r="K6" s="809"/>
      <c r="L6" s="808">
        <f>M1</f>
        <v>2013</v>
      </c>
      <c r="M6" s="809"/>
    </row>
    <row r="7" spans="2:13" ht="15.75">
      <c r="B7" s="130" t="s">
        <v>862</v>
      </c>
      <c r="C7" s="130" t="s">
        <v>64</v>
      </c>
      <c r="D7" s="130" t="s">
        <v>197</v>
      </c>
      <c r="E7" s="130" t="s">
        <v>39</v>
      </c>
      <c r="F7" s="130" t="s">
        <v>65</v>
      </c>
      <c r="G7" s="190" t="str">
        <f>CONCATENATE("Jan 1,",M1-1,"")</f>
        <v>Jan 1,2012</v>
      </c>
      <c r="H7" s="137" t="s">
        <v>73</v>
      </c>
      <c r="I7" s="137" t="s">
        <v>75</v>
      </c>
      <c r="J7" s="137" t="s">
        <v>73</v>
      </c>
      <c r="K7" s="137" t="s">
        <v>75</v>
      </c>
      <c r="L7" s="137" t="s">
        <v>73</v>
      </c>
      <c r="M7" s="137" t="s">
        <v>75</v>
      </c>
    </row>
    <row r="8" spans="2:13" ht="15.75">
      <c r="B8" s="191" t="s">
        <v>66</v>
      </c>
      <c r="C8" s="48"/>
      <c r="D8" s="48"/>
      <c r="E8" s="192"/>
      <c r="F8" s="193"/>
      <c r="G8" s="193"/>
      <c r="H8" s="48"/>
      <c r="I8" s="48"/>
      <c r="J8" s="193"/>
      <c r="K8" s="193"/>
      <c r="L8" s="193"/>
      <c r="M8" s="193"/>
    </row>
    <row r="9" spans="2:13" ht="15.75">
      <c r="B9" s="757" t="s">
        <v>1045</v>
      </c>
      <c r="C9" s="350">
        <v>35582</v>
      </c>
      <c r="D9" s="350">
        <v>41244</v>
      </c>
      <c r="E9" s="194">
        <v>5.25</v>
      </c>
      <c r="F9" s="195">
        <v>643000</v>
      </c>
      <c r="G9" s="196">
        <v>125000</v>
      </c>
      <c r="H9" s="197">
        <v>40695</v>
      </c>
      <c r="I9" s="197">
        <v>40878</v>
      </c>
      <c r="J9" s="196">
        <v>3510</v>
      </c>
      <c r="K9" s="196">
        <v>65000</v>
      </c>
      <c r="L9" s="196">
        <v>0</v>
      </c>
      <c r="M9" s="196">
        <v>0</v>
      </c>
    </row>
    <row r="10" spans="2:13" ht="15.75">
      <c r="B10" s="757" t="s">
        <v>1046</v>
      </c>
      <c r="C10" s="350">
        <v>35704</v>
      </c>
      <c r="D10" s="350">
        <v>41244</v>
      </c>
      <c r="E10" s="194">
        <v>4.81</v>
      </c>
      <c r="F10" s="195">
        <v>468000</v>
      </c>
      <c r="G10" s="196">
        <v>85000</v>
      </c>
      <c r="H10" s="197">
        <v>40695</v>
      </c>
      <c r="I10" s="197">
        <v>40878</v>
      </c>
      <c r="J10" s="196">
        <v>2250</v>
      </c>
      <c r="K10" s="196">
        <v>45000</v>
      </c>
      <c r="L10" s="196">
        <v>0</v>
      </c>
      <c r="M10" s="196">
        <v>0</v>
      </c>
    </row>
    <row r="11" spans="2:13" ht="15.75">
      <c r="B11" s="757" t="s">
        <v>1047</v>
      </c>
      <c r="C11" s="350">
        <v>37469</v>
      </c>
      <c r="D11" s="350">
        <v>41244</v>
      </c>
      <c r="E11" s="194">
        <v>3.57</v>
      </c>
      <c r="F11" s="195">
        <v>6240000</v>
      </c>
      <c r="G11" s="196">
        <v>1065000</v>
      </c>
      <c r="H11" s="197">
        <v>40695</v>
      </c>
      <c r="I11" s="197">
        <v>40878</v>
      </c>
      <c r="J11" s="196">
        <v>17800</v>
      </c>
      <c r="K11" s="196">
        <v>445000</v>
      </c>
      <c r="L11" s="196">
        <v>0</v>
      </c>
      <c r="M11" s="196">
        <v>0</v>
      </c>
    </row>
    <row r="12" spans="2:13" ht="15.75">
      <c r="B12" s="757" t="s">
        <v>1048</v>
      </c>
      <c r="C12" s="350">
        <v>37956</v>
      </c>
      <c r="D12" s="350">
        <v>43800</v>
      </c>
      <c r="E12" s="194">
        <v>3.57</v>
      </c>
      <c r="F12" s="195">
        <v>1610000</v>
      </c>
      <c r="G12" s="196">
        <v>1380000</v>
      </c>
      <c r="H12" s="197">
        <v>40695</v>
      </c>
      <c r="I12" s="197">
        <v>40878</v>
      </c>
      <c r="J12" s="196">
        <v>57218</v>
      </c>
      <c r="K12" s="196">
        <v>55000</v>
      </c>
      <c r="L12" s="196">
        <v>55073</v>
      </c>
      <c r="M12" s="196">
        <v>220000</v>
      </c>
    </row>
    <row r="13" spans="2:13" ht="15.75">
      <c r="B13" s="757" t="s">
        <v>1049</v>
      </c>
      <c r="C13" s="350">
        <v>38876</v>
      </c>
      <c r="D13" s="350">
        <v>46357</v>
      </c>
      <c r="E13" s="194">
        <v>4.5</v>
      </c>
      <c r="F13" s="195">
        <v>1885000</v>
      </c>
      <c r="G13" s="196">
        <v>1620000</v>
      </c>
      <c r="H13" s="197">
        <v>40695</v>
      </c>
      <c r="I13" s="197">
        <v>40878</v>
      </c>
      <c r="J13" s="196">
        <v>65888</v>
      </c>
      <c r="K13" s="196">
        <v>90000</v>
      </c>
      <c r="L13" s="196">
        <v>61838</v>
      </c>
      <c r="M13" s="196">
        <v>90000</v>
      </c>
    </row>
    <row r="14" spans="2:13" ht="15.75">
      <c r="B14" s="757" t="s">
        <v>1050</v>
      </c>
      <c r="C14" s="350">
        <v>39041</v>
      </c>
      <c r="D14" s="350">
        <v>46722</v>
      </c>
      <c r="E14" s="194">
        <v>4.25</v>
      </c>
      <c r="F14" s="195">
        <v>1615000</v>
      </c>
      <c r="G14" s="196">
        <v>1465000</v>
      </c>
      <c r="H14" s="197">
        <v>40695</v>
      </c>
      <c r="I14" s="197">
        <v>40878</v>
      </c>
      <c r="J14" s="196">
        <v>55966</v>
      </c>
      <c r="K14" s="196">
        <v>80000</v>
      </c>
      <c r="L14" s="196">
        <v>52406</v>
      </c>
      <c r="M14" s="196">
        <v>80000</v>
      </c>
    </row>
    <row r="15" spans="2:13" ht="15.75">
      <c r="B15" s="757" t="s">
        <v>1051</v>
      </c>
      <c r="C15" s="350">
        <v>39401</v>
      </c>
      <c r="D15" s="350">
        <v>43800</v>
      </c>
      <c r="E15" s="194">
        <v>4.29</v>
      </c>
      <c r="F15" s="195">
        <v>710000</v>
      </c>
      <c r="G15" s="196">
        <v>685000</v>
      </c>
      <c r="H15" s="197">
        <v>40695</v>
      </c>
      <c r="I15" s="197">
        <v>40878</v>
      </c>
      <c r="J15" s="196">
        <v>27258</v>
      </c>
      <c r="K15" s="196">
        <v>25000</v>
      </c>
      <c r="L15" s="196">
        <v>26133</v>
      </c>
      <c r="M15" s="196">
        <v>30000</v>
      </c>
    </row>
    <row r="16" spans="2:13" ht="15.75">
      <c r="B16" s="758" t="s">
        <v>1052</v>
      </c>
      <c r="C16" s="350">
        <v>40066</v>
      </c>
      <c r="D16" s="350">
        <v>45627</v>
      </c>
      <c r="E16" s="194">
        <v>4</v>
      </c>
      <c r="F16" s="195">
        <v>1395000</v>
      </c>
      <c r="G16" s="196">
        <v>1395000</v>
      </c>
      <c r="H16" s="197">
        <v>40695</v>
      </c>
      <c r="I16" s="197">
        <v>40878</v>
      </c>
      <c r="J16" s="196">
        <v>54250</v>
      </c>
      <c r="K16" s="196">
        <v>0</v>
      </c>
      <c r="L16" s="196">
        <v>54250</v>
      </c>
      <c r="M16" s="196">
        <v>100000</v>
      </c>
    </row>
    <row r="17" spans="2:13" ht="15.75">
      <c r="B17" s="759" t="s">
        <v>1053</v>
      </c>
      <c r="C17" s="350">
        <v>40066</v>
      </c>
      <c r="D17" s="350">
        <v>42339</v>
      </c>
      <c r="E17" s="194">
        <v>3</v>
      </c>
      <c r="F17" s="195">
        <v>1005000</v>
      </c>
      <c r="G17" s="196">
        <v>695000</v>
      </c>
      <c r="H17" s="197">
        <v>40695</v>
      </c>
      <c r="I17" s="197">
        <v>40878</v>
      </c>
      <c r="J17" s="196">
        <v>16050</v>
      </c>
      <c r="K17" s="196">
        <v>165000</v>
      </c>
      <c r="L17" s="196">
        <v>11100</v>
      </c>
      <c r="M17" s="196">
        <v>175000</v>
      </c>
    </row>
    <row r="18" spans="2:13" ht="15.75">
      <c r="B18" s="760" t="s">
        <v>1054</v>
      </c>
      <c r="C18" s="350">
        <v>40344</v>
      </c>
      <c r="D18" s="350">
        <v>45992</v>
      </c>
      <c r="E18" s="194">
        <v>3</v>
      </c>
      <c r="F18" s="195">
        <v>2005000</v>
      </c>
      <c r="G18" s="196">
        <v>1900000</v>
      </c>
      <c r="H18" s="197">
        <v>40695</v>
      </c>
      <c r="I18" s="197">
        <v>40878</v>
      </c>
      <c r="J18" s="196">
        <v>50152</v>
      </c>
      <c r="K18" s="196">
        <v>235000</v>
      </c>
      <c r="L18" s="196">
        <v>44301</v>
      </c>
      <c r="M18" s="196">
        <v>260000</v>
      </c>
    </row>
    <row r="19" spans="2:13" ht="15.75">
      <c r="B19" s="760" t="s">
        <v>1058</v>
      </c>
      <c r="C19" s="350">
        <v>41030</v>
      </c>
      <c r="D19" s="350">
        <v>46722</v>
      </c>
      <c r="E19" s="194">
        <v>3</v>
      </c>
      <c r="F19" s="195">
        <v>4665000</v>
      </c>
      <c r="G19" s="196">
        <v>0</v>
      </c>
      <c r="H19" s="197">
        <v>40695</v>
      </c>
      <c r="I19" s="197">
        <v>40878</v>
      </c>
      <c r="J19" s="196">
        <v>78546</v>
      </c>
      <c r="K19" s="196">
        <v>100000</v>
      </c>
      <c r="L19" s="196">
        <v>132650</v>
      </c>
      <c r="M19" s="196">
        <v>210000</v>
      </c>
    </row>
    <row r="20" spans="2:13" ht="15.75">
      <c r="B20" s="760" t="s">
        <v>1059</v>
      </c>
      <c r="C20" s="350">
        <v>41030</v>
      </c>
      <c r="D20" s="350">
        <v>48549</v>
      </c>
      <c r="E20" s="194">
        <v>3</v>
      </c>
      <c r="F20" s="195">
        <v>2065000</v>
      </c>
      <c r="G20" s="196">
        <v>0</v>
      </c>
      <c r="H20" s="197">
        <v>40695</v>
      </c>
      <c r="I20" s="197">
        <v>40878</v>
      </c>
      <c r="J20" s="196">
        <v>0</v>
      </c>
      <c r="K20" s="196">
        <v>0</v>
      </c>
      <c r="L20" s="196">
        <v>86114</v>
      </c>
      <c r="M20" s="196">
        <v>80000</v>
      </c>
    </row>
    <row r="21" spans="2:13" ht="15.75">
      <c r="B21" s="761" t="s">
        <v>1083</v>
      </c>
      <c r="C21" s="350">
        <v>41030</v>
      </c>
      <c r="D21" s="350">
        <v>46722</v>
      </c>
      <c r="E21" s="194">
        <v>3</v>
      </c>
      <c r="F21" s="195">
        <v>2560000</v>
      </c>
      <c r="G21" s="196">
        <v>0</v>
      </c>
      <c r="H21" s="197">
        <v>40695</v>
      </c>
      <c r="I21" s="197">
        <v>40878</v>
      </c>
      <c r="J21" s="196">
        <v>0</v>
      </c>
      <c r="K21" s="196">
        <v>0</v>
      </c>
      <c r="L21" s="196">
        <v>100680</v>
      </c>
      <c r="M21" s="196">
        <v>110000</v>
      </c>
    </row>
    <row r="22" spans="2:13" ht="15.75">
      <c r="B22" s="198" t="s">
        <v>67</v>
      </c>
      <c r="C22" s="199"/>
      <c r="D22" s="199"/>
      <c r="E22" s="200"/>
      <c r="F22" s="201"/>
      <c r="G22" s="202">
        <f>SUM(G9:G21)</f>
        <v>10415000</v>
      </c>
      <c r="H22" s="203"/>
      <c r="I22" s="203"/>
      <c r="J22" s="202">
        <f>SUM(J9:J21)</f>
        <v>428888</v>
      </c>
      <c r="K22" s="202">
        <f>SUM(K9:K21)</f>
        <v>1305000</v>
      </c>
      <c r="L22" s="202">
        <f>SUM(L9:L21)</f>
        <v>624545</v>
      </c>
      <c r="M22" s="202">
        <f>SUM(M9:M21)</f>
        <v>1355000</v>
      </c>
    </row>
    <row r="23" spans="2:13" ht="15.75">
      <c r="B23" s="191" t="s">
        <v>68</v>
      </c>
      <c r="C23" s="204"/>
      <c r="D23" s="204"/>
      <c r="E23" s="205"/>
      <c r="F23" s="183"/>
      <c r="G23" s="183"/>
      <c r="H23" s="206"/>
      <c r="I23" s="206"/>
      <c r="J23" s="183"/>
      <c r="K23" s="183"/>
      <c r="L23" s="183"/>
      <c r="M23" s="183"/>
    </row>
    <row r="24" spans="2:13" ht="15.75">
      <c r="B24" s="53"/>
      <c r="C24" s="350"/>
      <c r="D24" s="350"/>
      <c r="E24" s="194"/>
      <c r="F24" s="195"/>
      <c r="G24" s="196"/>
      <c r="H24" s="197"/>
      <c r="I24" s="197"/>
      <c r="J24" s="196"/>
      <c r="K24" s="196"/>
      <c r="L24" s="196"/>
      <c r="M24" s="196"/>
    </row>
    <row r="25" spans="2:13" ht="15.75">
      <c r="B25" s="53"/>
      <c r="C25" s="350"/>
      <c r="D25" s="350"/>
      <c r="E25" s="194"/>
      <c r="F25" s="195"/>
      <c r="G25" s="196"/>
      <c r="H25" s="197"/>
      <c r="I25" s="197"/>
      <c r="J25" s="196"/>
      <c r="K25" s="196"/>
      <c r="L25" s="196"/>
      <c r="M25" s="196"/>
    </row>
    <row r="26" spans="2:13" ht="15.75">
      <c r="B26" s="53"/>
      <c r="C26" s="350"/>
      <c r="D26" s="350"/>
      <c r="E26" s="194"/>
      <c r="F26" s="195"/>
      <c r="G26" s="196"/>
      <c r="H26" s="197"/>
      <c r="I26" s="197"/>
      <c r="J26" s="196"/>
      <c r="K26" s="196"/>
      <c r="L26" s="196"/>
      <c r="M26" s="196"/>
    </row>
    <row r="27" spans="2:13" ht="15.75">
      <c r="B27" s="53"/>
      <c r="C27" s="350"/>
      <c r="D27" s="350"/>
      <c r="E27" s="194"/>
      <c r="F27" s="195"/>
      <c r="G27" s="196"/>
      <c r="H27" s="197"/>
      <c r="I27" s="197"/>
      <c r="J27" s="196"/>
      <c r="K27" s="196"/>
      <c r="L27" s="196"/>
      <c r="M27" s="196"/>
    </row>
    <row r="28" spans="2:13" ht="15.75">
      <c r="B28" s="53"/>
      <c r="C28" s="350"/>
      <c r="D28" s="350"/>
      <c r="E28" s="194"/>
      <c r="F28" s="195"/>
      <c r="G28" s="196"/>
      <c r="H28" s="197"/>
      <c r="I28" s="197"/>
      <c r="J28" s="196"/>
      <c r="K28" s="196"/>
      <c r="L28" s="196"/>
      <c r="M28" s="196"/>
    </row>
    <row r="29" spans="2:13" ht="15.75">
      <c r="B29" s="53"/>
      <c r="C29" s="350"/>
      <c r="D29" s="350"/>
      <c r="E29" s="194"/>
      <c r="F29" s="195"/>
      <c r="G29" s="196"/>
      <c r="H29" s="197"/>
      <c r="I29" s="197"/>
      <c r="J29" s="196"/>
      <c r="K29" s="196"/>
      <c r="L29" s="196"/>
      <c r="M29" s="196"/>
    </row>
    <row r="30" spans="2:13" ht="15.75">
      <c r="B30" s="53"/>
      <c r="C30" s="350"/>
      <c r="D30" s="350"/>
      <c r="E30" s="194"/>
      <c r="F30" s="195"/>
      <c r="G30" s="196"/>
      <c r="H30" s="197"/>
      <c r="I30" s="197"/>
      <c r="J30" s="196"/>
      <c r="K30" s="196"/>
      <c r="L30" s="196"/>
      <c r="M30" s="196"/>
    </row>
    <row r="31" spans="2:13" ht="15.75">
      <c r="B31" s="53"/>
      <c r="C31" s="350"/>
      <c r="D31" s="350"/>
      <c r="E31" s="194"/>
      <c r="F31" s="195"/>
      <c r="G31" s="196"/>
      <c r="H31" s="197"/>
      <c r="I31" s="197"/>
      <c r="J31" s="196"/>
      <c r="K31" s="196"/>
      <c r="L31" s="196"/>
      <c r="M31" s="196"/>
    </row>
    <row r="32" spans="2:13" ht="15.75">
      <c r="B32" s="198" t="s">
        <v>69</v>
      </c>
      <c r="C32" s="199"/>
      <c r="D32" s="199"/>
      <c r="E32" s="207"/>
      <c r="F32" s="201"/>
      <c r="G32" s="208">
        <f>SUM(G24:G31)</f>
        <v>0</v>
      </c>
      <c r="H32" s="203"/>
      <c r="I32" s="203"/>
      <c r="J32" s="208">
        <f>SUM(J24:J31)</f>
        <v>0</v>
      </c>
      <c r="K32" s="208">
        <f>SUM(K24:K31)</f>
        <v>0</v>
      </c>
      <c r="L32" s="202">
        <f>SUM(L24:L31)</f>
        <v>0</v>
      </c>
      <c r="M32" s="208">
        <f>SUM(M24:M31)</f>
        <v>0</v>
      </c>
    </row>
    <row r="33" spans="2:13" ht="15.75">
      <c r="B33" s="191" t="s">
        <v>70</v>
      </c>
      <c r="C33" s="204"/>
      <c r="D33" s="204"/>
      <c r="E33" s="205"/>
      <c r="F33" s="183"/>
      <c r="G33" s="209"/>
      <c r="H33" s="206"/>
      <c r="I33" s="206"/>
      <c r="J33" s="183"/>
      <c r="K33" s="183"/>
      <c r="L33" s="183"/>
      <c r="M33" s="183"/>
    </row>
    <row r="34" spans="2:13" ht="15.75">
      <c r="B34" s="764" t="s">
        <v>1055</v>
      </c>
      <c r="C34" s="350">
        <v>35894</v>
      </c>
      <c r="D34" s="350">
        <v>43678</v>
      </c>
      <c r="E34" s="194">
        <v>4.09</v>
      </c>
      <c r="F34" s="195">
        <v>2934673.49</v>
      </c>
      <c r="G34" s="196">
        <v>1314257</v>
      </c>
      <c r="H34" s="197">
        <v>40575</v>
      </c>
      <c r="I34" s="197">
        <v>40756</v>
      </c>
      <c r="J34" s="196">
        <v>52316</v>
      </c>
      <c r="K34" s="196">
        <v>141965</v>
      </c>
      <c r="L34" s="196">
        <v>0</v>
      </c>
      <c r="M34" s="196">
        <v>0</v>
      </c>
    </row>
    <row r="35" spans="2:13" ht="15.75">
      <c r="B35" s="764" t="s">
        <v>1056</v>
      </c>
      <c r="C35" s="350">
        <v>39503</v>
      </c>
      <c r="D35" s="350">
        <v>46966</v>
      </c>
      <c r="E35" s="194">
        <v>3.62</v>
      </c>
      <c r="F35" s="195">
        <v>1130796.95</v>
      </c>
      <c r="G35" s="196">
        <v>986623</v>
      </c>
      <c r="H35" s="197">
        <v>40575</v>
      </c>
      <c r="I35" s="197">
        <v>40756</v>
      </c>
      <c r="J35" s="196">
        <v>35315</v>
      </c>
      <c r="K35" s="196">
        <v>44629</v>
      </c>
      <c r="L35" s="196">
        <v>0</v>
      </c>
      <c r="M35" s="196">
        <v>0</v>
      </c>
    </row>
    <row r="36" spans="2:13" ht="15.75">
      <c r="B36" s="765" t="s">
        <v>1057</v>
      </c>
      <c r="C36" s="350">
        <v>39289</v>
      </c>
      <c r="D36" s="350">
        <v>47178</v>
      </c>
      <c r="E36" s="194">
        <v>2.51</v>
      </c>
      <c r="F36" s="195">
        <v>3299868</v>
      </c>
      <c r="G36" s="196">
        <v>2872891</v>
      </c>
      <c r="H36" s="197">
        <v>40603</v>
      </c>
      <c r="I36" s="197">
        <v>40787</v>
      </c>
      <c r="J36" s="196">
        <v>71253</v>
      </c>
      <c r="K36" s="196">
        <v>137394</v>
      </c>
      <c r="L36" s="196">
        <v>67783</v>
      </c>
      <c r="M36" s="196">
        <v>140865</v>
      </c>
    </row>
    <row r="37" spans="2:13" ht="15.75">
      <c r="B37" s="53"/>
      <c r="C37" s="350"/>
      <c r="D37" s="350"/>
      <c r="E37" s="194"/>
      <c r="F37" s="195"/>
      <c r="G37" s="196"/>
      <c r="H37" s="197"/>
      <c r="I37" s="197"/>
      <c r="J37" s="196"/>
      <c r="K37" s="196"/>
      <c r="L37" s="196"/>
      <c r="M37" s="196"/>
    </row>
    <row r="38" spans="2:13" ht="15.75">
      <c r="B38" s="53"/>
      <c r="C38" s="350"/>
      <c r="D38" s="350"/>
      <c r="E38" s="194"/>
      <c r="F38" s="195"/>
      <c r="G38" s="196"/>
      <c r="H38" s="197"/>
      <c r="I38" s="197"/>
      <c r="J38" s="196"/>
      <c r="K38" s="196"/>
      <c r="L38" s="196"/>
      <c r="M38" s="196"/>
    </row>
    <row r="39" spans="2:13" ht="15.75">
      <c r="B39" s="53"/>
      <c r="C39" s="350"/>
      <c r="D39" s="350"/>
      <c r="E39" s="194"/>
      <c r="F39" s="195"/>
      <c r="G39" s="196"/>
      <c r="H39" s="197"/>
      <c r="I39" s="197"/>
      <c r="J39" s="196"/>
      <c r="K39" s="196"/>
      <c r="L39" s="196"/>
      <c r="M39" s="196"/>
    </row>
    <row r="40" spans="2:13" ht="15.75">
      <c r="B40" s="53"/>
      <c r="C40" s="350"/>
      <c r="D40" s="350"/>
      <c r="E40" s="194"/>
      <c r="F40" s="195"/>
      <c r="G40" s="196"/>
      <c r="H40" s="197"/>
      <c r="I40" s="197"/>
      <c r="J40" s="196"/>
      <c r="K40" s="196"/>
      <c r="L40" s="196"/>
      <c r="M40" s="196"/>
    </row>
    <row r="41" spans="2:29" ht="15.75">
      <c r="B41" s="53"/>
      <c r="C41" s="350"/>
      <c r="D41" s="350"/>
      <c r="E41" s="194"/>
      <c r="F41" s="195"/>
      <c r="G41" s="196"/>
      <c r="H41" s="197"/>
      <c r="I41" s="197"/>
      <c r="J41" s="196"/>
      <c r="K41" s="196"/>
      <c r="L41" s="196"/>
      <c r="M41" s="196"/>
      <c r="N41" s="8"/>
      <c r="O41" s="8"/>
      <c r="P41" s="8"/>
      <c r="Q41" s="8"/>
      <c r="R41" s="8"/>
      <c r="S41" s="8"/>
      <c r="T41" s="8"/>
      <c r="U41" s="8"/>
      <c r="V41" s="8"/>
      <c r="W41" s="8"/>
      <c r="X41" s="8"/>
      <c r="Y41" s="8"/>
      <c r="Z41" s="8"/>
      <c r="AA41" s="8"/>
      <c r="AB41" s="8"/>
      <c r="AC41" s="8"/>
    </row>
    <row r="42" spans="2:13" ht="15.75">
      <c r="B42" s="198" t="s">
        <v>198</v>
      </c>
      <c r="C42" s="182"/>
      <c r="D42" s="182"/>
      <c r="E42" s="207"/>
      <c r="F42" s="201"/>
      <c r="G42" s="208">
        <f>SUM(G34:G41)</f>
        <v>5173771</v>
      </c>
      <c r="H42" s="201"/>
      <c r="I42" s="201"/>
      <c r="J42" s="208">
        <f>SUM(J34:J41)</f>
        <v>158884</v>
      </c>
      <c r="K42" s="208">
        <f>SUM(K34:K41)</f>
        <v>323988</v>
      </c>
      <c r="L42" s="208">
        <f>SUM(L34:L41)</f>
        <v>67783</v>
      </c>
      <c r="M42" s="208">
        <f>SUM(M34:M41)</f>
        <v>140865</v>
      </c>
    </row>
    <row r="43" spans="2:13" ht="15.75">
      <c r="B43" s="198" t="s">
        <v>71</v>
      </c>
      <c r="C43" s="182"/>
      <c r="D43" s="182"/>
      <c r="E43" s="182"/>
      <c r="F43" s="201"/>
      <c r="G43" s="208">
        <f>SUM(G22+G32+G42)</f>
        <v>15588771</v>
      </c>
      <c r="H43" s="201"/>
      <c r="I43" s="201"/>
      <c r="J43" s="208">
        <f>SUM(J22+J32+J42)</f>
        <v>587772</v>
      </c>
      <c r="K43" s="208">
        <f>SUM(K22+K32+K42)</f>
        <v>1628988</v>
      </c>
      <c r="L43" s="208">
        <f>SUM(L22+L32+L42)</f>
        <v>692328</v>
      </c>
      <c r="M43" s="208">
        <f>SUM(M22+M32+M42)</f>
        <v>1495865</v>
      </c>
    </row>
    <row r="44" spans="2:13" ht="15.75">
      <c r="B44" s="8"/>
      <c r="C44" s="8"/>
      <c r="D44" s="8"/>
      <c r="E44" s="8"/>
      <c r="F44" s="8"/>
      <c r="G44" s="8"/>
      <c r="H44" s="8"/>
      <c r="I44" s="8"/>
      <c r="J44" s="8"/>
      <c r="K44" s="8"/>
      <c r="L44" s="8"/>
      <c r="M44" s="8"/>
    </row>
    <row r="45" spans="6:13" ht="15.75">
      <c r="F45" s="210"/>
      <c r="G45" s="210"/>
      <c r="J45" s="210"/>
      <c r="K45" s="210"/>
      <c r="L45" s="210"/>
      <c r="M45" s="210"/>
    </row>
    <row r="46" spans="6:14" ht="15.75">
      <c r="F46" s="8"/>
      <c r="H46" s="211"/>
      <c r="N46" s="8"/>
    </row>
    <row r="47" spans="2:13" ht="15.75">
      <c r="B47" s="8"/>
      <c r="C47" s="8"/>
      <c r="D47" s="8"/>
      <c r="E47" s="8"/>
      <c r="F47" s="8"/>
      <c r="G47" s="8"/>
      <c r="H47" s="8"/>
      <c r="I47" s="8"/>
      <c r="J47" s="8"/>
      <c r="K47" s="8"/>
      <c r="L47" s="8"/>
      <c r="M47" s="8"/>
    </row>
    <row r="48" spans="2:13" ht="15.75">
      <c r="B48" s="8"/>
      <c r="C48" s="8"/>
      <c r="D48" s="8"/>
      <c r="E48" s="8"/>
      <c r="F48" s="8"/>
      <c r="G48" s="8"/>
      <c r="H48" s="8"/>
      <c r="I48" s="8"/>
      <c r="J48" s="8"/>
      <c r="K48" s="8"/>
      <c r="L48" s="8"/>
      <c r="M48" s="8"/>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77"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0">
      <selection activeCell="I16" sqref="I16"/>
    </sheetView>
  </sheetViews>
  <sheetFormatPr defaultColWidth="8.796875" defaultRowHeight="15"/>
  <cols>
    <col min="1" max="1" width="10.796875" style="23" customWidth="1"/>
    <col min="2" max="2" width="23.59765625" style="23" customWidth="1"/>
    <col min="3" max="5" width="9.796875" style="23" customWidth="1"/>
    <col min="6" max="6" width="18.296875" style="23" customWidth="1"/>
    <col min="7" max="9" width="15.796875" style="23" customWidth="1"/>
    <col min="10" max="16384" width="8.8984375" style="23" customWidth="1"/>
  </cols>
  <sheetData>
    <row r="1" spans="2:9" ht="15.75">
      <c r="B1" s="151" t="str">
        <f>inputPrYr!$D$2</f>
        <v>Valley Center</v>
      </c>
      <c r="C1" s="22"/>
      <c r="D1" s="22"/>
      <c r="E1" s="22"/>
      <c r="F1" s="22"/>
      <c r="G1" s="22"/>
      <c r="H1" s="22"/>
      <c r="I1" s="212">
        <f>inputPrYr!$C$5</f>
        <v>2013</v>
      </c>
    </row>
    <row r="2" spans="2:9" ht="15.75">
      <c r="B2" s="151"/>
      <c r="C2" s="22"/>
      <c r="D2" s="22"/>
      <c r="E2" s="22"/>
      <c r="F2" s="22"/>
      <c r="G2" s="22"/>
      <c r="H2" s="22"/>
      <c r="I2" s="147"/>
    </row>
    <row r="3" spans="2:9" ht="15.75">
      <c r="B3" s="22"/>
      <c r="C3" s="22"/>
      <c r="D3" s="22"/>
      <c r="E3" s="22"/>
      <c r="F3" s="22"/>
      <c r="G3" s="22"/>
      <c r="H3" s="22"/>
      <c r="I3" s="119"/>
    </row>
    <row r="4" spans="2:9" ht="15.75">
      <c r="B4" s="186" t="s">
        <v>85</v>
      </c>
      <c r="C4" s="33"/>
      <c r="D4" s="33"/>
      <c r="E4" s="33"/>
      <c r="F4" s="33"/>
      <c r="G4" s="33"/>
      <c r="H4" s="33"/>
      <c r="I4" s="33"/>
    </row>
    <row r="5" spans="2:9" ht="15.75">
      <c r="B5" s="55"/>
      <c r="C5" s="187"/>
      <c r="D5" s="187"/>
      <c r="E5" s="187"/>
      <c r="F5" s="187"/>
      <c r="G5" s="187"/>
      <c r="H5" s="187"/>
      <c r="I5" s="187"/>
    </row>
    <row r="6" spans="2:9" ht="15.75">
      <c r="B6" s="133"/>
      <c r="C6" s="133"/>
      <c r="D6" s="133"/>
      <c r="E6" s="133"/>
      <c r="F6" s="166" t="s">
        <v>331</v>
      </c>
      <c r="G6" s="133"/>
      <c r="H6" s="133"/>
      <c r="I6" s="133"/>
    </row>
    <row r="7" spans="2:9" ht="15.75">
      <c r="B7" s="134"/>
      <c r="C7" s="127"/>
      <c r="D7" s="127" t="s">
        <v>72</v>
      </c>
      <c r="E7" s="127" t="s">
        <v>73</v>
      </c>
      <c r="F7" s="127" t="s">
        <v>17</v>
      </c>
      <c r="G7" s="127" t="s">
        <v>75</v>
      </c>
      <c r="H7" s="127" t="s">
        <v>76</v>
      </c>
      <c r="I7" s="127" t="s">
        <v>76</v>
      </c>
    </row>
    <row r="8" spans="2:9" ht="15.75">
      <c r="B8" s="134"/>
      <c r="C8" s="127" t="s">
        <v>77</v>
      </c>
      <c r="D8" s="127" t="s">
        <v>78</v>
      </c>
      <c r="E8" s="127" t="s">
        <v>62</v>
      </c>
      <c r="F8" s="127" t="s">
        <v>79</v>
      </c>
      <c r="G8" s="127" t="s">
        <v>125</v>
      </c>
      <c r="H8" s="127" t="s">
        <v>80</v>
      </c>
      <c r="I8" s="127" t="s">
        <v>80</v>
      </c>
    </row>
    <row r="9" spans="2:9" ht="15.75">
      <c r="B9" s="130" t="s">
        <v>81</v>
      </c>
      <c r="C9" s="130" t="s">
        <v>59</v>
      </c>
      <c r="D9" s="213" t="s">
        <v>82</v>
      </c>
      <c r="E9" s="130" t="s">
        <v>39</v>
      </c>
      <c r="F9" s="213" t="s">
        <v>149</v>
      </c>
      <c r="G9" s="214" t="str">
        <f>CONCATENATE("Jan 1 ",I1-1,"")</f>
        <v>Jan 1 2012</v>
      </c>
      <c r="H9" s="130">
        <f>I1-1</f>
        <v>2012</v>
      </c>
      <c r="I9" s="130">
        <f>I1</f>
        <v>2013</v>
      </c>
    </row>
    <row r="10" spans="2:9" ht="15.75">
      <c r="B10" s="768" t="s">
        <v>1082</v>
      </c>
      <c r="C10" s="772">
        <v>39330</v>
      </c>
      <c r="D10" s="771">
        <v>48</v>
      </c>
      <c r="E10" s="769">
        <v>4.75</v>
      </c>
      <c r="F10" s="770">
        <v>123774</v>
      </c>
      <c r="G10" s="770">
        <v>23147</v>
      </c>
      <c r="H10" s="770">
        <v>23147</v>
      </c>
      <c r="I10" s="770">
        <v>0</v>
      </c>
    </row>
    <row r="11" spans="2:9" ht="15.75">
      <c r="B11" s="53"/>
      <c r="C11" s="215"/>
      <c r="D11" s="216"/>
      <c r="E11" s="194"/>
      <c r="F11" s="195"/>
      <c r="G11" s="195"/>
      <c r="H11" s="195"/>
      <c r="I11" s="195"/>
    </row>
    <row r="12" spans="2:9" ht="15.75">
      <c r="B12" s="53"/>
      <c r="C12" s="215"/>
      <c r="D12" s="216"/>
      <c r="E12" s="194"/>
      <c r="F12" s="195"/>
      <c r="G12" s="195"/>
      <c r="H12" s="195"/>
      <c r="I12" s="195"/>
    </row>
    <row r="13" spans="2:9" ht="15.75">
      <c r="B13" s="53"/>
      <c r="C13" s="215"/>
      <c r="D13" s="216"/>
      <c r="E13" s="194"/>
      <c r="F13" s="195"/>
      <c r="G13" s="195"/>
      <c r="H13" s="195"/>
      <c r="I13" s="195"/>
    </row>
    <row r="14" spans="2:9" ht="15.75">
      <c r="B14" s="53"/>
      <c r="C14" s="350"/>
      <c r="D14" s="216"/>
      <c r="E14" s="194"/>
      <c r="F14" s="195"/>
      <c r="G14" s="195"/>
      <c r="H14" s="195"/>
      <c r="I14" s="195"/>
    </row>
    <row r="15" spans="2:9" ht="15.75">
      <c r="B15" s="53"/>
      <c r="C15" s="215"/>
      <c r="D15" s="216"/>
      <c r="E15" s="194"/>
      <c r="F15" s="195"/>
      <c r="G15" s="195"/>
      <c r="H15" s="195"/>
      <c r="I15" s="195"/>
    </row>
    <row r="16" spans="2:9" ht="15.75">
      <c r="B16" s="53"/>
      <c r="C16" s="215"/>
      <c r="D16" s="216"/>
      <c r="E16" s="194"/>
      <c r="F16" s="195"/>
      <c r="G16" s="195"/>
      <c r="H16" s="195"/>
      <c r="I16" s="195"/>
    </row>
    <row r="17" spans="2:9" ht="15.75">
      <c r="B17" s="53"/>
      <c r="C17" s="215"/>
      <c r="D17" s="216"/>
      <c r="E17" s="194"/>
      <c r="F17" s="195"/>
      <c r="G17" s="195"/>
      <c r="H17" s="195"/>
      <c r="I17" s="195"/>
    </row>
    <row r="18" spans="2:9" ht="15.75">
      <c r="B18" s="53"/>
      <c r="C18" s="215"/>
      <c r="D18" s="216"/>
      <c r="E18" s="194"/>
      <c r="F18" s="195"/>
      <c r="G18" s="195"/>
      <c r="H18" s="195"/>
      <c r="I18" s="195"/>
    </row>
    <row r="19" spans="2:9" ht="15.75">
      <c r="B19" s="53"/>
      <c r="C19" s="215"/>
      <c r="D19" s="216"/>
      <c r="E19" s="194"/>
      <c r="F19" s="195"/>
      <c r="G19" s="195"/>
      <c r="H19" s="195"/>
      <c r="I19" s="195"/>
    </row>
    <row r="20" spans="2:9" ht="15.75">
      <c r="B20" s="53"/>
      <c r="C20" s="215"/>
      <c r="D20" s="216"/>
      <c r="E20" s="194"/>
      <c r="F20" s="195"/>
      <c r="G20" s="195"/>
      <c r="H20" s="195"/>
      <c r="I20" s="195"/>
    </row>
    <row r="21" spans="2:9" ht="15.75">
      <c r="B21" s="53"/>
      <c r="C21" s="215"/>
      <c r="D21" s="216"/>
      <c r="E21" s="194"/>
      <c r="F21" s="195"/>
      <c r="G21" s="195"/>
      <c r="H21" s="195"/>
      <c r="I21" s="195"/>
    </row>
    <row r="22" spans="2:9" ht="15.75">
      <c r="B22" s="53"/>
      <c r="C22" s="215"/>
      <c r="D22" s="216"/>
      <c r="E22" s="194"/>
      <c r="F22" s="195"/>
      <c r="G22" s="195"/>
      <c r="H22" s="195"/>
      <c r="I22" s="195"/>
    </row>
    <row r="23" spans="2:9" ht="15.75">
      <c r="B23" s="53"/>
      <c r="C23" s="215"/>
      <c r="D23" s="216"/>
      <c r="E23" s="194"/>
      <c r="F23" s="195"/>
      <c r="G23" s="195"/>
      <c r="H23" s="195"/>
      <c r="I23" s="195"/>
    </row>
    <row r="24" spans="2:9" ht="15.75">
      <c r="B24" s="53"/>
      <c r="C24" s="215"/>
      <c r="D24" s="216"/>
      <c r="E24" s="194"/>
      <c r="F24" s="195"/>
      <c r="G24" s="195"/>
      <c r="H24" s="195"/>
      <c r="I24" s="195"/>
    </row>
    <row r="25" spans="2:9" ht="15.75">
      <c r="B25" s="53"/>
      <c r="C25" s="215"/>
      <c r="D25" s="216"/>
      <c r="E25" s="194"/>
      <c r="F25" s="195"/>
      <c r="G25" s="195"/>
      <c r="H25" s="195"/>
      <c r="I25" s="195"/>
    </row>
    <row r="26" spans="2:9" ht="15.75">
      <c r="B26" s="53"/>
      <c r="C26" s="215"/>
      <c r="D26" s="216"/>
      <c r="E26" s="194"/>
      <c r="F26" s="195"/>
      <c r="G26" s="195"/>
      <c r="H26" s="195"/>
      <c r="I26" s="195"/>
    </row>
    <row r="27" spans="2:9" ht="15.75">
      <c r="B27" s="53"/>
      <c r="C27" s="215"/>
      <c r="D27" s="216"/>
      <c r="E27" s="194"/>
      <c r="F27" s="195"/>
      <c r="G27" s="195"/>
      <c r="H27" s="195"/>
      <c r="I27" s="195"/>
    </row>
    <row r="28" spans="2:9" ht="16.5" thickBot="1">
      <c r="B28" s="217" t="s">
        <v>12</v>
      </c>
      <c r="C28" s="150"/>
      <c r="D28" s="150"/>
      <c r="E28" s="150"/>
      <c r="F28" s="150"/>
      <c r="G28" s="218">
        <f>SUM(G10:G27)</f>
        <v>23147</v>
      </c>
      <c r="H28" s="218">
        <f>SUM(H10:H27)</f>
        <v>23147</v>
      </c>
      <c r="I28" s="218">
        <f>SUM(I10:I27)</f>
        <v>0</v>
      </c>
    </row>
    <row r="29" spans="2:9" ht="16.5" thickTop="1">
      <c r="B29" s="22"/>
      <c r="C29" s="22"/>
      <c r="D29" s="22"/>
      <c r="E29" s="22"/>
      <c r="F29" s="22"/>
      <c r="G29" s="22"/>
      <c r="H29" s="151"/>
      <c r="I29" s="151"/>
    </row>
    <row r="30" spans="2:9" ht="15.75">
      <c r="B30" s="219" t="s">
        <v>276</v>
      </c>
      <c r="C30" s="220"/>
      <c r="D30" s="220"/>
      <c r="E30" s="220"/>
      <c r="F30" s="220"/>
      <c r="G30" s="220"/>
      <c r="H30" s="151"/>
      <c r="I30" s="151"/>
    </row>
  </sheetData>
  <sheetProtection sheet="1"/>
  <printOptions/>
  <pageMargins left="0.25" right="0.25" top="1" bottom="0.5" header="0.5" footer="0.5"/>
  <pageSetup blackAndWhite="1" fitToHeight="1" fitToWidth="1" horizontalDpi="120" verticalDpi="120" orientation="landscape" scale="88"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796875" defaultRowHeight="15"/>
  <cols>
    <col min="1" max="1" width="2.59765625" style="628" customWidth="1"/>
    <col min="2" max="4" width="8.8984375" style="628" customWidth="1"/>
    <col min="5" max="5" width="9.69921875" style="628" customWidth="1"/>
    <col min="6" max="6" width="8.8984375" style="628" customWidth="1"/>
    <col min="7" max="7" width="9.69921875" style="628" customWidth="1"/>
    <col min="8" max="16384" width="8.8984375" style="628" customWidth="1"/>
  </cols>
  <sheetData>
    <row r="1" spans="2:9" ht="15.75">
      <c r="B1" s="627"/>
      <c r="C1" s="627"/>
      <c r="D1" s="627"/>
      <c r="E1" s="627"/>
      <c r="F1" s="627"/>
      <c r="G1" s="627"/>
      <c r="H1" s="627"/>
      <c r="I1" s="627"/>
    </row>
    <row r="2" spans="2:9" ht="15.75">
      <c r="B2" s="810" t="s">
        <v>809</v>
      </c>
      <c r="C2" s="810"/>
      <c r="D2" s="810"/>
      <c r="E2" s="810"/>
      <c r="F2" s="810"/>
      <c r="G2" s="810"/>
      <c r="H2" s="810"/>
      <c r="I2" s="810"/>
    </row>
    <row r="3" spans="2:9" ht="15.75">
      <c r="B3" s="810" t="s">
        <v>810</v>
      </c>
      <c r="C3" s="810"/>
      <c r="D3" s="810"/>
      <c r="E3" s="810"/>
      <c r="F3" s="810"/>
      <c r="G3" s="810"/>
      <c r="H3" s="810"/>
      <c r="I3" s="810"/>
    </row>
    <row r="4" spans="2:9" ht="15.75">
      <c r="B4" s="629"/>
      <c r="C4" s="629"/>
      <c r="D4" s="629"/>
      <c r="E4" s="629"/>
      <c r="F4" s="629"/>
      <c r="G4" s="629"/>
      <c r="H4" s="629"/>
      <c r="I4" s="629"/>
    </row>
    <row r="5" spans="2:9" ht="15.75">
      <c r="B5" s="811" t="str">
        <f>CONCATENATE("Budgeted Year: ",inputPrYr!C5,"")</f>
        <v>Budgeted Year: 2013</v>
      </c>
      <c r="C5" s="811"/>
      <c r="D5" s="811"/>
      <c r="E5" s="811"/>
      <c r="F5" s="811"/>
      <c r="G5" s="811"/>
      <c r="H5" s="811"/>
      <c r="I5" s="811"/>
    </row>
    <row r="6" spans="2:9" ht="15.75">
      <c r="B6" s="630"/>
      <c r="C6" s="629"/>
      <c r="D6" s="629"/>
      <c r="E6" s="629"/>
      <c r="F6" s="629"/>
      <c r="G6" s="629"/>
      <c r="H6" s="629"/>
      <c r="I6" s="629"/>
    </row>
    <row r="7" spans="2:9" ht="15.75">
      <c r="B7" s="630" t="str">
        <f>CONCATENATE("Library found in: ",inputPrYr!D2,"")</f>
        <v>Library found in: Valley Center</v>
      </c>
      <c r="C7" s="629"/>
      <c r="D7" s="629"/>
      <c r="E7" s="629"/>
      <c r="F7" s="629"/>
      <c r="G7" s="629"/>
      <c r="H7" s="629"/>
      <c r="I7" s="629"/>
    </row>
    <row r="8" spans="2:9" ht="15.75">
      <c r="B8" s="630" t="str">
        <f>inputPrYr!D3</f>
        <v>Sedgwick County</v>
      </c>
      <c r="C8" s="629"/>
      <c r="D8" s="629"/>
      <c r="E8" s="629"/>
      <c r="F8" s="629"/>
      <c r="G8" s="629"/>
      <c r="H8" s="629"/>
      <c r="I8" s="629"/>
    </row>
    <row r="9" spans="2:9" ht="15.75">
      <c r="B9" s="629"/>
      <c r="C9" s="629"/>
      <c r="D9" s="629"/>
      <c r="E9" s="629"/>
      <c r="F9" s="629"/>
      <c r="G9" s="629"/>
      <c r="H9" s="629"/>
      <c r="I9" s="629"/>
    </row>
    <row r="10" spans="2:9" ht="39" customHeight="1">
      <c r="B10" s="812" t="s">
        <v>811</v>
      </c>
      <c r="C10" s="812"/>
      <c r="D10" s="812"/>
      <c r="E10" s="812"/>
      <c r="F10" s="812"/>
      <c r="G10" s="812"/>
      <c r="H10" s="812"/>
      <c r="I10" s="812"/>
    </row>
    <row r="11" spans="2:9" ht="15.75">
      <c r="B11" s="629"/>
      <c r="C11" s="629"/>
      <c r="D11" s="629"/>
      <c r="E11" s="629"/>
      <c r="F11" s="629"/>
      <c r="G11" s="629"/>
      <c r="H11" s="629"/>
      <c r="I11" s="629"/>
    </row>
    <row r="12" spans="2:9" ht="15.75">
      <c r="B12" s="631" t="s">
        <v>812</v>
      </c>
      <c r="C12" s="629"/>
      <c r="D12" s="629"/>
      <c r="E12" s="629"/>
      <c r="F12" s="629"/>
      <c r="G12" s="629"/>
      <c r="H12" s="629"/>
      <c r="I12" s="629"/>
    </row>
    <row r="13" spans="2:9" ht="15.75">
      <c r="B13" s="629"/>
      <c r="C13" s="629"/>
      <c r="D13" s="629"/>
      <c r="E13" s="632" t="s">
        <v>803</v>
      </c>
      <c r="F13" s="629"/>
      <c r="G13" s="632" t="s">
        <v>813</v>
      </c>
      <c r="H13" s="629"/>
      <c r="I13" s="629"/>
    </row>
    <row r="14" spans="2:9" ht="15.75">
      <c r="B14" s="629"/>
      <c r="C14" s="629"/>
      <c r="D14" s="629"/>
      <c r="E14" s="633">
        <f>inputPrYr!C5-1</f>
        <v>2012</v>
      </c>
      <c r="F14" s="629"/>
      <c r="G14" s="633">
        <f>inputPrYr!C5</f>
        <v>2013</v>
      </c>
      <c r="H14" s="629"/>
      <c r="I14" s="629"/>
    </row>
    <row r="15" spans="2:9" ht="15.75">
      <c r="B15" s="630" t="str">
        <f>'DebtSvs-Library'!B48</f>
        <v>Ad Valorem Tax</v>
      </c>
      <c r="C15" s="629"/>
      <c r="D15" s="629"/>
      <c r="E15" s="634">
        <f>'DebtSvs-Library'!D48</f>
        <v>192771</v>
      </c>
      <c r="F15" s="629"/>
      <c r="G15" s="634">
        <f>'DebtSvs-Library'!E80</f>
        <v>193882</v>
      </c>
      <c r="H15" s="629"/>
      <c r="I15" s="629"/>
    </row>
    <row r="16" spans="2:9" ht="15.75">
      <c r="B16" s="630" t="str">
        <f>'DebtSvs-Library'!B49</f>
        <v>Delinquent Tax</v>
      </c>
      <c r="C16" s="629"/>
      <c r="D16" s="629"/>
      <c r="E16" s="634">
        <f>'DebtSvs-Library'!D49</f>
        <v>2800</v>
      </c>
      <c r="F16" s="629"/>
      <c r="G16" s="634">
        <f>'DebtSvs-Library'!E49</f>
        <v>1000</v>
      </c>
      <c r="H16" s="629"/>
      <c r="I16" s="629"/>
    </row>
    <row r="17" spans="2:9" ht="15.75">
      <c r="B17" s="630" t="str">
        <f>'DebtSvs-Library'!B50</f>
        <v>Motor Vehicle Tax</v>
      </c>
      <c r="C17" s="629"/>
      <c r="D17" s="629"/>
      <c r="E17" s="634">
        <f>'DebtSvs-Library'!D50</f>
        <v>27410</v>
      </c>
      <c r="F17" s="629"/>
      <c r="G17" s="634">
        <f>'DebtSvs-Library'!E50</f>
        <v>26343</v>
      </c>
      <c r="H17" s="629"/>
      <c r="I17" s="629"/>
    </row>
    <row r="18" spans="2:9" ht="15.75">
      <c r="B18" s="630" t="str">
        <f>'DebtSvs-Library'!B51</f>
        <v>Recreational Vehicle Tax</v>
      </c>
      <c r="C18" s="629"/>
      <c r="D18" s="629"/>
      <c r="E18" s="634">
        <f>'DebtSvs-Library'!D51</f>
        <v>500</v>
      </c>
      <c r="F18" s="629"/>
      <c r="G18" s="634">
        <f>'DebtSvs-Library'!E51</f>
        <v>523</v>
      </c>
      <c r="H18" s="629"/>
      <c r="I18" s="629"/>
    </row>
    <row r="19" spans="2:9" ht="15.75">
      <c r="B19" s="630" t="str">
        <f>'DebtSvs-Library'!B52</f>
        <v>16/20M Vehicle Tax</v>
      </c>
      <c r="C19" s="629"/>
      <c r="D19" s="629"/>
      <c r="E19" s="634">
        <f>'DebtSvs-Library'!D52</f>
        <v>300</v>
      </c>
      <c r="F19" s="629"/>
      <c r="G19" s="634">
        <f>'DebtSvs-Library'!E52</f>
        <v>418</v>
      </c>
      <c r="H19" s="629"/>
      <c r="I19" s="629"/>
    </row>
    <row r="20" spans="2:9" ht="15.75">
      <c r="B20" s="629" t="s">
        <v>167</v>
      </c>
      <c r="C20" s="629"/>
      <c r="D20" s="629"/>
      <c r="E20" s="634">
        <v>0</v>
      </c>
      <c r="F20" s="629"/>
      <c r="G20" s="634">
        <v>0</v>
      </c>
      <c r="H20" s="629"/>
      <c r="I20" s="629"/>
    </row>
    <row r="21" spans="2:9" ht="15.75">
      <c r="B21" s="629"/>
      <c r="C21" s="629"/>
      <c r="D21" s="629"/>
      <c r="E21" s="634">
        <v>0</v>
      </c>
      <c r="F21" s="629"/>
      <c r="G21" s="634">
        <v>0</v>
      </c>
      <c r="H21" s="629"/>
      <c r="I21" s="629"/>
    </row>
    <row r="22" spans="2:9" ht="15.75">
      <c r="B22" s="629" t="s">
        <v>814</v>
      </c>
      <c r="C22" s="629"/>
      <c r="D22" s="629"/>
      <c r="E22" s="635">
        <f>SUM(E15:E21)</f>
        <v>223781</v>
      </c>
      <c r="F22" s="629"/>
      <c r="G22" s="635">
        <f>SUM(G15:G21)</f>
        <v>222166</v>
      </c>
      <c r="H22" s="629"/>
      <c r="I22" s="629"/>
    </row>
    <row r="23" spans="2:9" ht="15.75">
      <c r="B23" s="629" t="s">
        <v>815</v>
      </c>
      <c r="C23" s="629"/>
      <c r="D23" s="629"/>
      <c r="E23" s="636">
        <f>G22-E22</f>
        <v>-1615</v>
      </c>
      <c r="F23" s="629"/>
      <c r="G23" s="637"/>
      <c r="H23" s="629"/>
      <c r="I23" s="629"/>
    </row>
    <row r="24" spans="2:9" ht="15.75">
      <c r="B24" s="629" t="s">
        <v>816</v>
      </c>
      <c r="C24" s="629"/>
      <c r="D24" s="638" t="str">
        <f>IF((G22-E22)&gt;0,"Qualify","Not Qualify")</f>
        <v>Not Qualify</v>
      </c>
      <c r="E24" s="629"/>
      <c r="F24" s="629"/>
      <c r="G24" s="629"/>
      <c r="H24" s="629"/>
      <c r="I24" s="629"/>
    </row>
    <row r="25" spans="2:9" ht="15.75">
      <c r="B25" s="629"/>
      <c r="C25" s="629"/>
      <c r="D25" s="629"/>
      <c r="E25" s="629"/>
      <c r="F25" s="629"/>
      <c r="G25" s="629"/>
      <c r="H25" s="629"/>
      <c r="I25" s="629"/>
    </row>
    <row r="26" spans="2:9" ht="15.75">
      <c r="B26" s="631" t="s">
        <v>817</v>
      </c>
      <c r="C26" s="629"/>
      <c r="D26" s="629"/>
      <c r="E26" s="629"/>
      <c r="F26" s="629"/>
      <c r="G26" s="629"/>
      <c r="H26" s="629"/>
      <c r="I26" s="629"/>
    </row>
    <row r="27" spans="2:9" ht="15.75">
      <c r="B27" s="629" t="s">
        <v>818</v>
      </c>
      <c r="C27" s="629"/>
      <c r="D27" s="629"/>
      <c r="E27" s="634">
        <f>summ!D48</f>
        <v>44193447</v>
      </c>
      <c r="F27" s="629"/>
      <c r="G27" s="634">
        <f>summ!F48</f>
        <v>43081575</v>
      </c>
      <c r="H27" s="629"/>
      <c r="I27" s="629"/>
    </row>
    <row r="28" spans="2:9" ht="15.75">
      <c r="B28" s="629" t="s">
        <v>819</v>
      </c>
      <c r="C28" s="629"/>
      <c r="D28" s="629"/>
      <c r="E28" s="639" t="str">
        <f>IF(G27-E27&gt;0,"No","Yes")</f>
        <v>Yes</v>
      </c>
      <c r="F28" s="629"/>
      <c r="G28" s="629"/>
      <c r="H28" s="629"/>
      <c r="I28" s="629"/>
    </row>
    <row r="29" spans="2:9" ht="15.75">
      <c r="B29" s="629" t="s">
        <v>820</v>
      </c>
      <c r="C29" s="629"/>
      <c r="D29" s="629"/>
      <c r="E29" s="632">
        <f>summ!E18</f>
        <v>4.497</v>
      </c>
      <c r="F29" s="629"/>
      <c r="G29" s="647">
        <f>summ!H18</f>
        <v>4.5</v>
      </c>
      <c r="H29" s="629"/>
      <c r="I29" s="629"/>
    </row>
    <row r="30" spans="2:9" ht="15.75">
      <c r="B30" s="629" t="s">
        <v>821</v>
      </c>
      <c r="C30" s="629"/>
      <c r="D30" s="629"/>
      <c r="E30" s="648">
        <f>G29-E29</f>
        <v>0.0030000000000001137</v>
      </c>
      <c r="F30" s="629"/>
      <c r="G30" s="629"/>
      <c r="H30" s="629"/>
      <c r="I30" s="629"/>
    </row>
    <row r="31" spans="2:9" ht="15.75">
      <c r="B31" s="629" t="s">
        <v>816</v>
      </c>
      <c r="C31" s="629"/>
      <c r="D31" s="640" t="str">
        <f>IF(E30&gt;=0,"Qualify","Not Qualify")</f>
        <v>Qualify</v>
      </c>
      <c r="E31" s="629"/>
      <c r="F31" s="629"/>
      <c r="G31" s="629"/>
      <c r="H31" s="629"/>
      <c r="I31" s="629"/>
    </row>
    <row r="32" spans="2:9" ht="15.75">
      <c r="B32" s="629"/>
      <c r="C32" s="629"/>
      <c r="D32" s="629"/>
      <c r="E32" s="629"/>
      <c r="F32" s="629"/>
      <c r="G32" s="629"/>
      <c r="H32" s="629"/>
      <c r="I32" s="629"/>
    </row>
    <row r="33" spans="2:9" ht="15.75">
      <c r="B33" s="629" t="s">
        <v>822</v>
      </c>
      <c r="C33" s="629"/>
      <c r="D33" s="629"/>
      <c r="E33" s="629"/>
      <c r="F33" s="649" t="str">
        <f>IF(D24="Not Qualify",IF(D31="Not Qualify",IF(D31="Not Qualify","Not Qualify","Qualify"),"Qualify"),"Qualify")</f>
        <v>Qualify</v>
      </c>
      <c r="G33" s="629"/>
      <c r="H33" s="629"/>
      <c r="I33" s="629"/>
    </row>
    <row r="34" spans="2:9" ht="15.75">
      <c r="B34" s="629"/>
      <c r="C34" s="629"/>
      <c r="D34" s="629"/>
      <c r="E34" s="629"/>
      <c r="F34" s="629"/>
      <c r="G34" s="629"/>
      <c r="H34" s="629"/>
      <c r="I34" s="629"/>
    </row>
    <row r="35" spans="2:9" ht="15.75">
      <c r="B35" s="629"/>
      <c r="C35" s="629"/>
      <c r="D35" s="629"/>
      <c r="E35" s="629"/>
      <c r="F35" s="629"/>
      <c r="G35" s="629"/>
      <c r="H35" s="629"/>
      <c r="I35" s="629"/>
    </row>
    <row r="36" spans="2:9" ht="37.5" customHeight="1">
      <c r="B36" s="812" t="s">
        <v>823</v>
      </c>
      <c r="C36" s="812"/>
      <c r="D36" s="812"/>
      <c r="E36" s="812"/>
      <c r="F36" s="812"/>
      <c r="G36" s="812"/>
      <c r="H36" s="812"/>
      <c r="I36" s="812"/>
    </row>
    <row r="37" spans="2:9" ht="15.75">
      <c r="B37" s="629"/>
      <c r="C37" s="629"/>
      <c r="D37" s="629"/>
      <c r="E37" s="629"/>
      <c r="F37" s="629"/>
      <c r="G37" s="629"/>
      <c r="H37" s="629"/>
      <c r="I37" s="629"/>
    </row>
    <row r="38" spans="2:9" ht="15.75">
      <c r="B38" s="629"/>
      <c r="C38" s="629"/>
      <c r="D38" s="629"/>
      <c r="E38" s="629"/>
      <c r="F38" s="629"/>
      <c r="G38" s="629"/>
      <c r="H38" s="629"/>
      <c r="I38" s="629"/>
    </row>
    <row r="39" spans="2:9" ht="15.75">
      <c r="B39" s="629"/>
      <c r="C39" s="629"/>
      <c r="D39" s="629"/>
      <c r="E39" s="629"/>
      <c r="F39" s="629"/>
      <c r="G39" s="629"/>
      <c r="H39" s="629"/>
      <c r="I39" s="629"/>
    </row>
    <row r="40" spans="2:9" ht="15.75">
      <c r="B40" s="629"/>
      <c r="C40" s="629"/>
      <c r="D40" s="629"/>
      <c r="E40" s="646" t="s">
        <v>32</v>
      </c>
      <c r="F40" s="645">
        <v>7</v>
      </c>
      <c r="G40" s="629"/>
      <c r="H40" s="629"/>
      <c r="I40" s="629"/>
    </row>
    <row r="41" spans="2:9" ht="15.75">
      <c r="B41" s="629"/>
      <c r="C41" s="629"/>
      <c r="D41" s="629"/>
      <c r="E41" s="629"/>
      <c r="F41" s="629"/>
      <c r="G41" s="629"/>
      <c r="H41" s="629"/>
      <c r="I41" s="629"/>
    </row>
    <row r="42" spans="2:9" ht="15.75">
      <c r="B42" s="629"/>
      <c r="C42" s="629"/>
      <c r="D42" s="629"/>
      <c r="E42" s="629"/>
      <c r="F42" s="629"/>
      <c r="G42" s="629"/>
      <c r="H42" s="629"/>
      <c r="I42" s="629"/>
    </row>
    <row r="43" spans="2:9" ht="15.75">
      <c r="B43" s="813" t="s">
        <v>824</v>
      </c>
      <c r="C43" s="814"/>
      <c r="D43" s="814"/>
      <c r="E43" s="814"/>
      <c r="F43" s="814"/>
      <c r="G43" s="814"/>
      <c r="H43" s="814"/>
      <c r="I43" s="814"/>
    </row>
    <row r="44" spans="2:9" ht="15.75">
      <c r="B44" s="629"/>
      <c r="C44" s="629"/>
      <c r="D44" s="629"/>
      <c r="E44" s="629"/>
      <c r="F44" s="629"/>
      <c r="G44" s="629"/>
      <c r="H44" s="629"/>
      <c r="I44" s="629"/>
    </row>
    <row r="45" spans="2:9" ht="15.75">
      <c r="B45" s="641" t="s">
        <v>825</v>
      </c>
      <c r="C45" s="629"/>
      <c r="D45" s="629"/>
      <c r="E45" s="629"/>
      <c r="F45" s="629"/>
      <c r="G45" s="629"/>
      <c r="H45" s="629"/>
      <c r="I45" s="629"/>
    </row>
    <row r="46" spans="2:9" ht="15.75">
      <c r="B46" s="641" t="str">
        <f>CONCATENATE("sources in your ",G14," library fund is not equal to or greater than the amount from the same")</f>
        <v>sources in your 2013 library fund is not equal to or greater than the amount from the same</v>
      </c>
      <c r="C46" s="629"/>
      <c r="D46" s="629"/>
      <c r="E46" s="629"/>
      <c r="F46" s="629"/>
      <c r="G46" s="629"/>
      <c r="H46" s="629"/>
      <c r="I46" s="629"/>
    </row>
    <row r="47" spans="2:9" ht="15.75">
      <c r="B47" s="641" t="str">
        <f>CONCATENATE("sources in ",E14,".")</f>
        <v>sources in 2012.</v>
      </c>
      <c r="C47" s="627"/>
      <c r="D47" s="627"/>
      <c r="E47" s="627"/>
      <c r="F47" s="627"/>
      <c r="G47" s="627"/>
      <c r="H47" s="627"/>
      <c r="I47" s="627"/>
    </row>
    <row r="48" spans="2:9" ht="15.75">
      <c r="B48" s="627"/>
      <c r="C48" s="627"/>
      <c r="D48" s="627"/>
      <c r="E48" s="627"/>
      <c r="F48" s="627"/>
      <c r="G48" s="627"/>
      <c r="H48" s="627"/>
      <c r="I48" s="627"/>
    </row>
    <row r="49" spans="2:9" ht="15.75">
      <c r="B49" s="641" t="s">
        <v>826</v>
      </c>
      <c r="C49" s="641"/>
      <c r="D49" s="642"/>
      <c r="E49" s="642"/>
      <c r="F49" s="642"/>
      <c r="G49" s="642"/>
      <c r="H49" s="642"/>
      <c r="I49" s="642"/>
    </row>
    <row r="50" spans="2:9" ht="15.75">
      <c r="B50" s="641" t="s">
        <v>827</v>
      </c>
      <c r="C50" s="641"/>
      <c r="D50" s="642"/>
      <c r="E50" s="642"/>
      <c r="F50" s="642"/>
      <c r="G50" s="642"/>
      <c r="H50" s="642"/>
      <c r="I50" s="642"/>
    </row>
    <row r="51" spans="2:9" ht="15.75">
      <c r="B51" s="641" t="s">
        <v>828</v>
      </c>
      <c r="C51" s="641"/>
      <c r="D51" s="642"/>
      <c r="E51" s="642"/>
      <c r="F51" s="642"/>
      <c r="G51" s="642"/>
      <c r="H51" s="642"/>
      <c r="I51" s="642"/>
    </row>
    <row r="52" spans="2:9" ht="15">
      <c r="B52" s="642"/>
      <c r="C52" s="642"/>
      <c r="D52" s="642"/>
      <c r="E52" s="642"/>
      <c r="F52" s="642"/>
      <c r="G52" s="642"/>
      <c r="H52" s="642"/>
      <c r="I52" s="642"/>
    </row>
    <row r="53" spans="2:9" ht="15.75">
      <c r="B53" s="643" t="s">
        <v>829</v>
      </c>
      <c r="C53" s="642"/>
      <c r="D53" s="642"/>
      <c r="E53" s="642"/>
      <c r="F53" s="642"/>
      <c r="G53" s="642"/>
      <c r="H53" s="642"/>
      <c r="I53" s="642"/>
    </row>
    <row r="54" spans="2:9" ht="15">
      <c r="B54" s="642"/>
      <c r="C54" s="642"/>
      <c r="D54" s="642"/>
      <c r="E54" s="642"/>
      <c r="F54" s="642"/>
      <c r="G54" s="642"/>
      <c r="H54" s="642"/>
      <c r="I54" s="642"/>
    </row>
    <row r="55" spans="2:9" ht="15.75">
      <c r="B55" s="641" t="s">
        <v>830</v>
      </c>
      <c r="C55" s="642"/>
      <c r="D55" s="642"/>
      <c r="E55" s="642"/>
      <c r="F55" s="642"/>
      <c r="G55" s="642"/>
      <c r="H55" s="642"/>
      <c r="I55" s="642"/>
    </row>
    <row r="56" spans="2:9" ht="15.75">
      <c r="B56" s="641" t="s">
        <v>831</v>
      </c>
      <c r="C56" s="642"/>
      <c r="D56" s="642"/>
      <c r="E56" s="642"/>
      <c r="F56" s="642"/>
      <c r="G56" s="642"/>
      <c r="H56" s="642"/>
      <c r="I56" s="642"/>
    </row>
    <row r="57" spans="2:9" ht="15">
      <c r="B57" s="642"/>
      <c r="C57" s="642"/>
      <c r="D57" s="642"/>
      <c r="E57" s="642"/>
      <c r="F57" s="642"/>
      <c r="G57" s="642"/>
      <c r="H57" s="642"/>
      <c r="I57" s="642"/>
    </row>
    <row r="58" spans="2:9" ht="15.75">
      <c r="B58" s="643" t="s">
        <v>832</v>
      </c>
      <c r="C58" s="641"/>
      <c r="D58" s="641"/>
      <c r="E58" s="641"/>
      <c r="F58" s="641"/>
      <c r="G58" s="642"/>
      <c r="H58" s="642"/>
      <c r="I58" s="642"/>
    </row>
    <row r="59" spans="2:9" ht="15.75">
      <c r="B59" s="641"/>
      <c r="C59" s="641"/>
      <c r="D59" s="641"/>
      <c r="E59" s="641"/>
      <c r="F59" s="641"/>
      <c r="G59" s="642"/>
      <c r="H59" s="642"/>
      <c r="I59" s="642"/>
    </row>
    <row r="60" spans="2:9" ht="15.75">
      <c r="B60" s="641" t="s">
        <v>833</v>
      </c>
      <c r="C60" s="641"/>
      <c r="D60" s="641"/>
      <c r="E60" s="641"/>
      <c r="F60" s="641"/>
      <c r="G60" s="642"/>
      <c r="H60" s="642"/>
      <c r="I60" s="642"/>
    </row>
    <row r="61" spans="2:9" ht="15.75">
      <c r="B61" s="641" t="s">
        <v>834</v>
      </c>
      <c r="C61" s="641"/>
      <c r="D61" s="641"/>
      <c r="E61" s="641"/>
      <c r="F61" s="641"/>
      <c r="G61" s="642"/>
      <c r="H61" s="642"/>
      <c r="I61" s="642"/>
    </row>
    <row r="62" spans="2:9" ht="15.75">
      <c r="B62" s="641" t="s">
        <v>835</v>
      </c>
      <c r="C62" s="641"/>
      <c r="D62" s="641"/>
      <c r="E62" s="641"/>
      <c r="F62" s="641"/>
      <c r="G62" s="642"/>
      <c r="H62" s="642"/>
      <c r="I62" s="642"/>
    </row>
    <row r="63" spans="2:9" ht="15.75">
      <c r="B63" s="641" t="s">
        <v>836</v>
      </c>
      <c r="C63" s="641"/>
      <c r="D63" s="641"/>
      <c r="E63" s="641"/>
      <c r="F63" s="641"/>
      <c r="G63" s="642"/>
      <c r="H63" s="642"/>
      <c r="I63" s="642"/>
    </row>
    <row r="64" spans="2:9" ht="15">
      <c r="B64" s="644"/>
      <c r="C64" s="644"/>
      <c r="D64" s="644"/>
      <c r="E64" s="644"/>
      <c r="F64" s="644"/>
      <c r="G64" s="642"/>
      <c r="H64" s="642"/>
      <c r="I64" s="642"/>
    </row>
    <row r="65" spans="2:9" ht="15.75">
      <c r="B65" s="641" t="s">
        <v>837</v>
      </c>
      <c r="C65" s="644"/>
      <c r="D65" s="644"/>
      <c r="E65" s="644"/>
      <c r="F65" s="644"/>
      <c r="G65" s="642"/>
      <c r="H65" s="642"/>
      <c r="I65" s="642"/>
    </row>
    <row r="66" spans="2:9" ht="15.75">
      <c r="B66" s="641" t="s">
        <v>838</v>
      </c>
      <c r="C66" s="644"/>
      <c r="D66" s="644"/>
      <c r="E66" s="644"/>
      <c r="F66" s="644"/>
      <c r="G66" s="642"/>
      <c r="H66" s="642"/>
      <c r="I66" s="642"/>
    </row>
    <row r="67" spans="2:9" ht="15">
      <c r="B67" s="644"/>
      <c r="C67" s="644"/>
      <c r="D67" s="644"/>
      <c r="E67" s="644"/>
      <c r="F67" s="644"/>
      <c r="G67" s="642"/>
      <c r="H67" s="642"/>
      <c r="I67" s="642"/>
    </row>
    <row r="68" spans="2:9" ht="15.75">
      <c r="B68" s="641" t="s">
        <v>839</v>
      </c>
      <c r="C68" s="644"/>
      <c r="D68" s="644"/>
      <c r="E68" s="644"/>
      <c r="F68" s="644"/>
      <c r="G68" s="642"/>
      <c r="H68" s="642"/>
      <c r="I68" s="642"/>
    </row>
    <row r="69" spans="2:9" ht="15.75">
      <c r="B69" s="641" t="s">
        <v>840</v>
      </c>
      <c r="C69" s="644"/>
      <c r="D69" s="644"/>
      <c r="E69" s="644"/>
      <c r="F69" s="644"/>
      <c r="G69" s="642"/>
      <c r="H69" s="642"/>
      <c r="I69" s="642"/>
    </row>
    <row r="70" spans="2:9" ht="15">
      <c r="B70" s="644"/>
      <c r="C70" s="644"/>
      <c r="D70" s="644"/>
      <c r="E70" s="644"/>
      <c r="F70" s="644"/>
      <c r="G70" s="642"/>
      <c r="H70" s="642"/>
      <c r="I70" s="642"/>
    </row>
    <row r="71" spans="2:9" ht="15.75">
      <c r="B71" s="643" t="s">
        <v>841</v>
      </c>
      <c r="C71" s="644"/>
      <c r="D71" s="644"/>
      <c r="E71" s="644"/>
      <c r="F71" s="644"/>
      <c r="G71" s="642"/>
      <c r="H71" s="642"/>
      <c r="I71" s="642"/>
    </row>
    <row r="72" spans="2:9" ht="15">
      <c r="B72" s="644"/>
      <c r="C72" s="644"/>
      <c r="D72" s="644"/>
      <c r="E72" s="644"/>
      <c r="F72" s="644"/>
      <c r="G72" s="642"/>
      <c r="H72" s="642"/>
      <c r="I72" s="642"/>
    </row>
    <row r="73" spans="2:9" ht="15.75">
      <c r="B73" s="641" t="s">
        <v>842</v>
      </c>
      <c r="C73" s="644"/>
      <c r="D73" s="644"/>
      <c r="E73" s="644"/>
      <c r="F73" s="644"/>
      <c r="G73" s="642"/>
      <c r="H73" s="642"/>
      <c r="I73" s="642"/>
    </row>
    <row r="74" spans="2:9" ht="15.75">
      <c r="B74" s="641" t="s">
        <v>843</v>
      </c>
      <c r="C74" s="644"/>
      <c r="D74" s="644"/>
      <c r="E74" s="644"/>
      <c r="F74" s="644"/>
      <c r="G74" s="642"/>
      <c r="H74" s="642"/>
      <c r="I74" s="642"/>
    </row>
    <row r="75" spans="2:9" ht="15">
      <c r="B75" s="644"/>
      <c r="C75" s="644"/>
      <c r="D75" s="644"/>
      <c r="E75" s="644"/>
      <c r="F75" s="644"/>
      <c r="G75" s="642"/>
      <c r="H75" s="642"/>
      <c r="I75" s="642"/>
    </row>
    <row r="76" spans="2:9" ht="15.75">
      <c r="B76" s="643" t="s">
        <v>844</v>
      </c>
      <c r="C76" s="644"/>
      <c r="D76" s="644"/>
      <c r="E76" s="644"/>
      <c r="F76" s="644"/>
      <c r="G76" s="642"/>
      <c r="H76" s="642"/>
      <c r="I76" s="642"/>
    </row>
    <row r="77" spans="2:9" ht="15">
      <c r="B77" s="644"/>
      <c r="C77" s="644"/>
      <c r="D77" s="644"/>
      <c r="E77" s="644"/>
      <c r="F77" s="644"/>
      <c r="G77" s="642"/>
      <c r="H77" s="642"/>
      <c r="I77" s="642"/>
    </row>
    <row r="78" spans="2:9" ht="15.75">
      <c r="B78" s="641" t="str">
        <f>CONCATENATE("If the ",G14," municipal budget has not been published and has not been submitted to the County")</f>
        <v>If the 2013 municipal budget has not been published and has not been submitted to the County</v>
      </c>
      <c r="C78" s="644"/>
      <c r="D78" s="644"/>
      <c r="E78" s="644"/>
      <c r="F78" s="644"/>
      <c r="G78" s="642"/>
      <c r="H78" s="642"/>
      <c r="I78" s="642"/>
    </row>
    <row r="79" spans="2:9" ht="15.75">
      <c r="B79" s="641" t="s">
        <v>845</v>
      </c>
      <c r="C79" s="644"/>
      <c r="D79" s="644"/>
      <c r="E79" s="644"/>
      <c r="F79" s="644"/>
      <c r="G79" s="642"/>
      <c r="H79" s="642"/>
      <c r="I79" s="642"/>
    </row>
    <row r="80" spans="2:9" ht="15">
      <c r="B80" s="644"/>
      <c r="C80" s="644"/>
      <c r="D80" s="644"/>
      <c r="E80" s="644"/>
      <c r="F80" s="644"/>
      <c r="G80" s="642"/>
      <c r="H80" s="642"/>
      <c r="I80" s="642"/>
    </row>
    <row r="81" spans="2:9" ht="15.75">
      <c r="B81" s="643" t="s">
        <v>397</v>
      </c>
      <c r="C81" s="644"/>
      <c r="D81" s="644"/>
      <c r="E81" s="644"/>
      <c r="F81" s="644"/>
      <c r="G81" s="642"/>
      <c r="H81" s="642"/>
      <c r="I81" s="642"/>
    </row>
    <row r="82" spans="2:9" ht="15">
      <c r="B82" s="644"/>
      <c r="C82" s="644"/>
      <c r="D82" s="644"/>
      <c r="E82" s="644"/>
      <c r="F82" s="644"/>
      <c r="G82" s="642"/>
      <c r="H82" s="642"/>
      <c r="I82" s="642"/>
    </row>
    <row r="83" spans="2:9" ht="15.75">
      <c r="B83" s="641" t="s">
        <v>846</v>
      </c>
      <c r="C83" s="644"/>
      <c r="D83" s="644"/>
      <c r="E83" s="644"/>
      <c r="F83" s="644"/>
      <c r="G83" s="642"/>
      <c r="H83" s="642"/>
      <c r="I83" s="642"/>
    </row>
    <row r="84" spans="2:9" ht="15.75">
      <c r="B84" s="641" t="str">
        <f>CONCATENATE("Budget Year ",G14," is equal to or greater than that for Current Year Estimate ",E14,".")</f>
        <v>Budget Year 2013 is equal to or greater than that for Current Year Estimate 2012.</v>
      </c>
      <c r="C84" s="644"/>
      <c r="D84" s="644"/>
      <c r="E84" s="644"/>
      <c r="F84" s="644"/>
      <c r="G84" s="642"/>
      <c r="H84" s="642"/>
      <c r="I84" s="642"/>
    </row>
    <row r="85" spans="2:9" ht="15">
      <c r="B85" s="644"/>
      <c r="C85" s="644"/>
      <c r="D85" s="644"/>
      <c r="E85" s="644"/>
      <c r="F85" s="644"/>
      <c r="G85" s="642"/>
      <c r="H85" s="642"/>
      <c r="I85" s="642"/>
    </row>
    <row r="86" spans="2:9" ht="15.75">
      <c r="B86" s="641" t="s">
        <v>847</v>
      </c>
      <c r="C86" s="644"/>
      <c r="D86" s="644"/>
      <c r="E86" s="644"/>
      <c r="F86" s="644"/>
      <c r="G86" s="642"/>
      <c r="H86" s="642"/>
      <c r="I86" s="642"/>
    </row>
    <row r="87" spans="2:9" ht="15.75">
      <c r="B87" s="641" t="s">
        <v>848</v>
      </c>
      <c r="C87" s="644"/>
      <c r="D87" s="644"/>
      <c r="E87" s="644"/>
      <c r="F87" s="644"/>
      <c r="G87" s="642"/>
      <c r="H87" s="642"/>
      <c r="I87" s="642"/>
    </row>
    <row r="88" spans="2:9" ht="15.75">
      <c r="B88" s="641" t="s">
        <v>849</v>
      </c>
      <c r="C88" s="644"/>
      <c r="D88" s="644"/>
      <c r="E88" s="644"/>
      <c r="F88" s="644"/>
      <c r="G88" s="642"/>
      <c r="H88" s="642"/>
      <c r="I88" s="642"/>
    </row>
    <row r="89" spans="2:9" ht="15.75">
      <c r="B89" s="641" t="str">
        <f>CONCATENATE("purpose for the previous (",E14,") year.")</f>
        <v>purpose for the previous (2012) year.</v>
      </c>
      <c r="C89" s="644"/>
      <c r="D89" s="644"/>
      <c r="E89" s="644"/>
      <c r="F89" s="644"/>
      <c r="G89" s="642"/>
      <c r="H89" s="642"/>
      <c r="I89" s="642"/>
    </row>
    <row r="90" spans="2:9" ht="15">
      <c r="B90" s="644"/>
      <c r="C90" s="644"/>
      <c r="D90" s="644"/>
      <c r="E90" s="644"/>
      <c r="F90" s="644"/>
      <c r="G90" s="642"/>
      <c r="H90" s="642"/>
      <c r="I90" s="642"/>
    </row>
    <row r="91" spans="2:9" ht="15.75">
      <c r="B91" s="641" t="str">
        <f>CONCATENATE("Next, look to see if delinquent tax for ",G14," is budgeted. Often this line is budgeted at $0 or left")</f>
        <v>Next, look to see if delinquent tax for 2013 is budgeted. Often this line is budgeted at $0 or left</v>
      </c>
      <c r="C91" s="644"/>
      <c r="D91" s="644"/>
      <c r="E91" s="644"/>
      <c r="F91" s="644"/>
      <c r="G91" s="642"/>
      <c r="H91" s="642"/>
      <c r="I91" s="642"/>
    </row>
    <row r="92" spans="2:9" ht="15.75">
      <c r="B92" s="641" t="s">
        <v>850</v>
      </c>
      <c r="C92" s="644"/>
      <c r="D92" s="644"/>
      <c r="E92" s="644"/>
      <c r="F92" s="644"/>
      <c r="G92" s="642"/>
      <c r="H92" s="642"/>
      <c r="I92" s="642"/>
    </row>
    <row r="93" spans="2:9" ht="15.75">
      <c r="B93" s="641" t="s">
        <v>851</v>
      </c>
      <c r="C93" s="644"/>
      <c r="D93" s="644"/>
      <c r="E93" s="644"/>
      <c r="F93" s="644"/>
      <c r="G93" s="642"/>
      <c r="H93" s="642"/>
      <c r="I93" s="642"/>
    </row>
    <row r="94" spans="2:9" ht="15.75">
      <c r="B94" s="641" t="s">
        <v>852</v>
      </c>
      <c r="C94" s="644"/>
      <c r="D94" s="644"/>
      <c r="E94" s="644"/>
      <c r="F94" s="644"/>
      <c r="G94" s="642"/>
      <c r="H94" s="642"/>
      <c r="I94" s="642"/>
    </row>
    <row r="95" spans="2:9" ht="15">
      <c r="B95" s="644"/>
      <c r="C95" s="644"/>
      <c r="D95" s="644"/>
      <c r="E95" s="644"/>
      <c r="F95" s="644"/>
      <c r="G95" s="642"/>
      <c r="H95" s="642"/>
      <c r="I95" s="642"/>
    </row>
    <row r="96" spans="2:9" ht="15.75">
      <c r="B96" s="643" t="s">
        <v>853</v>
      </c>
      <c r="C96" s="644"/>
      <c r="D96" s="644"/>
      <c r="E96" s="644"/>
      <c r="F96" s="644"/>
      <c r="G96" s="642"/>
      <c r="H96" s="642"/>
      <c r="I96" s="642"/>
    </row>
    <row r="97" spans="2:9" ht="15">
      <c r="B97" s="644"/>
      <c r="C97" s="644"/>
      <c r="D97" s="644"/>
      <c r="E97" s="644"/>
      <c r="F97" s="644"/>
      <c r="G97" s="642"/>
      <c r="H97" s="642"/>
      <c r="I97" s="642"/>
    </row>
    <row r="98" spans="2:9" ht="15.75">
      <c r="B98" s="641" t="s">
        <v>854</v>
      </c>
      <c r="C98" s="644"/>
      <c r="D98" s="644"/>
      <c r="E98" s="644"/>
      <c r="F98" s="644"/>
      <c r="G98" s="642"/>
      <c r="H98" s="642"/>
      <c r="I98" s="642"/>
    </row>
    <row r="99" spans="2:9" ht="15.75">
      <c r="B99" s="641" t="s">
        <v>855</v>
      </c>
      <c r="C99" s="644"/>
      <c r="D99" s="644"/>
      <c r="E99" s="644"/>
      <c r="F99" s="644"/>
      <c r="G99" s="642"/>
      <c r="H99" s="642"/>
      <c r="I99" s="642"/>
    </row>
    <row r="100" spans="2:9" ht="15">
      <c r="B100" s="644"/>
      <c r="C100" s="644"/>
      <c r="D100" s="644"/>
      <c r="E100" s="644"/>
      <c r="F100" s="644"/>
      <c r="G100" s="642"/>
      <c r="H100" s="642"/>
      <c r="I100" s="642"/>
    </row>
    <row r="101" spans="2:9" ht="15.75">
      <c r="B101" s="641" t="s">
        <v>856</v>
      </c>
      <c r="C101" s="644"/>
      <c r="D101" s="644"/>
      <c r="E101" s="644"/>
      <c r="F101" s="644"/>
      <c r="G101" s="642"/>
      <c r="H101" s="642"/>
      <c r="I101" s="642"/>
    </row>
    <row r="102" spans="2:9" ht="15.75">
      <c r="B102" s="641" t="s">
        <v>857</v>
      </c>
      <c r="C102" s="644"/>
      <c r="D102" s="644"/>
      <c r="E102" s="644"/>
      <c r="F102" s="644"/>
      <c r="G102" s="642"/>
      <c r="H102" s="642"/>
      <c r="I102" s="642"/>
    </row>
    <row r="103" spans="2:9" ht="15.75">
      <c r="B103" s="641" t="s">
        <v>858</v>
      </c>
      <c r="C103" s="644"/>
      <c r="D103" s="644"/>
      <c r="E103" s="644"/>
      <c r="F103" s="644"/>
      <c r="G103" s="642"/>
      <c r="H103" s="642"/>
      <c r="I103" s="642"/>
    </row>
    <row r="104" spans="2:9" ht="15.75">
      <c r="B104" s="641" t="s">
        <v>859</v>
      </c>
      <c r="C104" s="644"/>
      <c r="D104" s="644"/>
      <c r="E104" s="644"/>
      <c r="F104" s="644"/>
      <c r="G104" s="642"/>
      <c r="H104" s="642"/>
      <c r="I104" s="642"/>
    </row>
    <row r="105" spans="2:9" ht="15">
      <c r="B105" s="756" t="s">
        <v>966</v>
      </c>
      <c r="C105" s="755"/>
      <c r="D105" s="755"/>
      <c r="E105" s="755"/>
      <c r="F105" s="755"/>
      <c r="G105" s="754"/>
      <c r="H105" s="754"/>
      <c r="I105" s="754"/>
    </row>
    <row r="108" ht="15">
      <c r="G108" s="65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144"/>
  <sheetViews>
    <sheetView zoomScalePageLayoutView="0" workbookViewId="0" topLeftCell="A94">
      <selection activeCell="F24" sqref="F24"/>
    </sheetView>
  </sheetViews>
  <sheetFormatPr defaultColWidth="8.796875" defaultRowHeight="15"/>
  <cols>
    <col min="1" max="1" width="2.3984375" style="23" customWidth="1"/>
    <col min="2" max="2" width="31.69921875" style="23" customWidth="1"/>
    <col min="3" max="4" width="15.796875" style="23" customWidth="1"/>
    <col min="5" max="5" width="16.19921875" style="23" customWidth="1"/>
    <col min="6" max="6" width="6.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c r="C3" s="22"/>
      <c r="D3" s="22"/>
      <c r="E3" s="119"/>
    </row>
    <row r="4" spans="2:5" ht="15.75">
      <c r="B4" s="41" t="s">
        <v>89</v>
      </c>
      <c r="C4" s="221"/>
      <c r="D4" s="221"/>
      <c r="E4" s="221"/>
    </row>
    <row r="5" spans="2:5" ht="15.75">
      <c r="B5" s="149" t="s">
        <v>24</v>
      </c>
      <c r="C5" s="661" t="s">
        <v>802</v>
      </c>
      <c r="D5" s="662" t="s">
        <v>805</v>
      </c>
      <c r="E5" s="125" t="s">
        <v>806</v>
      </c>
    </row>
    <row r="6" spans="2:5" ht="15.75">
      <c r="B6" s="369" t="str">
        <f>inputPrYr!B17</f>
        <v>General</v>
      </c>
      <c r="C6" s="352" t="str">
        <f>CONCATENATE("Actual for ",E1-2,"")</f>
        <v>Actual for 2011</v>
      </c>
      <c r="D6" s="352" t="str">
        <f>CONCATENATE("Estimate for ",E1-1,"")</f>
        <v>Estimate for 2012</v>
      </c>
      <c r="E6" s="222" t="str">
        <f>CONCATENATE("Year for ",E1,"")</f>
        <v>Year for 2013</v>
      </c>
    </row>
    <row r="7" spans="2:5" ht="15.75">
      <c r="B7" s="223" t="s">
        <v>144</v>
      </c>
      <c r="C7" s="224">
        <v>180000</v>
      </c>
      <c r="D7" s="351">
        <f>C112</f>
        <v>188055</v>
      </c>
      <c r="E7" s="193">
        <f>D112</f>
        <v>49631</v>
      </c>
    </row>
    <row r="8" spans="2:5" ht="15.75">
      <c r="B8" s="226" t="s">
        <v>146</v>
      </c>
      <c r="C8" s="139"/>
      <c r="D8" s="139"/>
      <c r="E8" s="68"/>
    </row>
    <row r="9" spans="2:5" ht="15.75">
      <c r="B9" s="223" t="s">
        <v>25</v>
      </c>
      <c r="C9" s="224">
        <v>790550</v>
      </c>
      <c r="D9" s="351">
        <f>IF(inputPrYr!H16&gt;0,inputPrYr!G17,inputPrYr!E17)</f>
        <v>697446</v>
      </c>
      <c r="E9" s="229" t="s">
        <v>13</v>
      </c>
    </row>
    <row r="10" spans="2:5" ht="15.75">
      <c r="B10" s="223" t="s">
        <v>26</v>
      </c>
      <c r="C10" s="224">
        <v>0</v>
      </c>
      <c r="D10" s="224">
        <v>8300</v>
      </c>
      <c r="E10" s="230">
        <v>7000</v>
      </c>
    </row>
    <row r="11" spans="2:5" ht="15.75">
      <c r="B11" s="223" t="s">
        <v>27</v>
      </c>
      <c r="C11" s="224">
        <v>121080</v>
      </c>
      <c r="D11" s="224">
        <v>110650</v>
      </c>
      <c r="E11" s="193">
        <f>mvalloc!D7</f>
        <v>95309</v>
      </c>
    </row>
    <row r="12" spans="2:5" ht="15.75">
      <c r="B12" s="223" t="s">
        <v>28</v>
      </c>
      <c r="C12" s="224">
        <v>2350</v>
      </c>
      <c r="D12" s="224">
        <v>2430</v>
      </c>
      <c r="E12" s="193">
        <f>mvalloc!E7</f>
        <v>1891</v>
      </c>
    </row>
    <row r="13" spans="2:5" ht="15.75">
      <c r="B13" s="223" t="s">
        <v>121</v>
      </c>
      <c r="C13" s="224">
        <v>205</v>
      </c>
      <c r="D13" s="224">
        <v>1200</v>
      </c>
      <c r="E13" s="193">
        <f>mvalloc!F7</f>
        <v>1514</v>
      </c>
    </row>
    <row r="14" spans="2:5" ht="15.75">
      <c r="B14" s="223" t="s">
        <v>122</v>
      </c>
      <c r="C14" s="224">
        <v>0</v>
      </c>
      <c r="D14" s="224">
        <v>0</v>
      </c>
      <c r="E14" s="193">
        <f>inputOth!E16</f>
        <v>0</v>
      </c>
    </row>
    <row r="15" spans="2:5" ht="15.75">
      <c r="B15" s="223" t="s">
        <v>167</v>
      </c>
      <c r="C15" s="224">
        <v>0</v>
      </c>
      <c r="D15" s="224">
        <v>0</v>
      </c>
      <c r="E15" s="193">
        <f>inputOth!E42</f>
        <v>0</v>
      </c>
    </row>
    <row r="16" spans="2:5" ht="15.75">
      <c r="B16" s="223" t="s">
        <v>168</v>
      </c>
      <c r="C16" s="224">
        <v>0</v>
      </c>
      <c r="D16" s="224">
        <v>0</v>
      </c>
      <c r="E16" s="193">
        <f>inputOth!E43</f>
        <v>0</v>
      </c>
    </row>
    <row r="17" spans="2:5" ht="15.75">
      <c r="B17" s="227" t="s">
        <v>1002</v>
      </c>
      <c r="C17" s="224">
        <v>472240</v>
      </c>
      <c r="D17" s="224">
        <v>460000</v>
      </c>
      <c r="E17" s="50">
        <v>465000</v>
      </c>
    </row>
    <row r="18" spans="2:5" ht="15.75">
      <c r="B18" s="227" t="s">
        <v>1003</v>
      </c>
      <c r="C18" s="224">
        <v>7580</v>
      </c>
      <c r="D18" s="224">
        <v>4000</v>
      </c>
      <c r="E18" s="50">
        <v>6000</v>
      </c>
    </row>
    <row r="19" spans="2:5" ht="15.75">
      <c r="B19" s="513" t="s">
        <v>1004</v>
      </c>
      <c r="C19" s="224">
        <v>568720</v>
      </c>
      <c r="D19" s="224">
        <v>494900</v>
      </c>
      <c r="E19" s="50">
        <v>535900</v>
      </c>
    </row>
    <row r="20" spans="2:5" ht="15.75">
      <c r="B20" s="514" t="s">
        <v>1005</v>
      </c>
      <c r="C20" s="224">
        <v>12010</v>
      </c>
      <c r="D20" s="224">
        <v>14300</v>
      </c>
      <c r="E20" s="50">
        <v>14300</v>
      </c>
    </row>
    <row r="21" spans="2:5" ht="15.75">
      <c r="B21" s="514" t="s">
        <v>1006</v>
      </c>
      <c r="C21" s="224">
        <v>88720</v>
      </c>
      <c r="D21" s="224">
        <v>65000</v>
      </c>
      <c r="E21" s="50">
        <v>87600</v>
      </c>
    </row>
    <row r="22" spans="2:5" ht="15.75">
      <c r="B22" s="514" t="s">
        <v>1007</v>
      </c>
      <c r="C22" s="224">
        <v>47250</v>
      </c>
      <c r="D22" s="224">
        <v>110000</v>
      </c>
      <c r="E22" s="50">
        <v>79200</v>
      </c>
    </row>
    <row r="23" spans="2:5" ht="15.75">
      <c r="B23" s="227" t="s">
        <v>1008</v>
      </c>
      <c r="C23" s="224">
        <v>124000</v>
      </c>
      <c r="D23" s="224">
        <v>140000</v>
      </c>
      <c r="E23" s="50">
        <v>135000</v>
      </c>
    </row>
    <row r="24" spans="2:5" ht="15.75">
      <c r="B24" s="227"/>
      <c r="C24" s="224"/>
      <c r="D24" s="224"/>
      <c r="E24" s="50"/>
    </row>
    <row r="25" spans="2:5" ht="15.75">
      <c r="B25" s="227"/>
      <c r="C25" s="224"/>
      <c r="D25" s="224"/>
      <c r="E25" s="50"/>
    </row>
    <row r="26" spans="2:5" ht="15.75">
      <c r="B26" s="227"/>
      <c r="C26" s="224"/>
      <c r="D26" s="224"/>
      <c r="E26" s="50"/>
    </row>
    <row r="27" spans="2:5" ht="15.75">
      <c r="B27" s="227"/>
      <c r="C27" s="224"/>
      <c r="D27" s="224"/>
      <c r="E27" s="50"/>
    </row>
    <row r="28" spans="2:5" ht="15.75">
      <c r="B28" s="227"/>
      <c r="C28" s="224"/>
      <c r="D28" s="224"/>
      <c r="E28" s="50"/>
    </row>
    <row r="29" spans="2:5" ht="15.75">
      <c r="B29" s="227"/>
      <c r="C29" s="224"/>
      <c r="D29" s="224"/>
      <c r="E29" s="50"/>
    </row>
    <row r="30" spans="2:5" ht="15.75">
      <c r="B30" s="227"/>
      <c r="C30" s="224"/>
      <c r="D30" s="224"/>
      <c r="E30" s="50"/>
    </row>
    <row r="31" spans="2:5" ht="15.75">
      <c r="B31" s="227"/>
      <c r="C31" s="224"/>
      <c r="D31" s="224"/>
      <c r="E31" s="50"/>
    </row>
    <row r="32" spans="2:5" ht="15.75">
      <c r="B32" s="227"/>
      <c r="C32" s="224"/>
      <c r="D32" s="224"/>
      <c r="E32" s="50"/>
    </row>
    <row r="33" spans="2:5" ht="15.75">
      <c r="B33" s="227"/>
      <c r="C33" s="224"/>
      <c r="D33" s="224"/>
      <c r="E33" s="50"/>
    </row>
    <row r="34" spans="2:5" ht="15.75">
      <c r="B34" s="227"/>
      <c r="C34" s="224"/>
      <c r="D34" s="224"/>
      <c r="E34" s="50"/>
    </row>
    <row r="35" spans="2:5" ht="15.75">
      <c r="B35" s="227"/>
      <c r="C35" s="224"/>
      <c r="D35" s="224"/>
      <c r="E35" s="50"/>
    </row>
    <row r="36" spans="2:5" ht="15.75">
      <c r="B36" s="227"/>
      <c r="C36" s="224"/>
      <c r="D36" s="224"/>
      <c r="E36" s="50"/>
    </row>
    <row r="37" spans="2:5" ht="15.75">
      <c r="B37" s="227"/>
      <c r="C37" s="224"/>
      <c r="D37" s="224"/>
      <c r="E37" s="50"/>
    </row>
    <row r="38" spans="2:5" ht="15.75">
      <c r="B38" s="227"/>
      <c r="C38" s="224"/>
      <c r="D38" s="224"/>
      <c r="E38" s="50"/>
    </row>
    <row r="39" spans="2:5" ht="15.75">
      <c r="B39" s="227"/>
      <c r="C39" s="224"/>
      <c r="D39" s="224"/>
      <c r="E39" s="50"/>
    </row>
    <row r="40" spans="2:5" ht="15.75">
      <c r="B40" s="227"/>
      <c r="C40" s="224"/>
      <c r="D40" s="224"/>
      <c r="E40" s="50"/>
    </row>
    <row r="41" spans="2:5" ht="15.75">
      <c r="B41" s="227"/>
      <c r="C41" s="224"/>
      <c r="D41" s="224"/>
      <c r="E41" s="50"/>
    </row>
    <row r="42" spans="2:5" ht="15.75">
      <c r="B42" s="227"/>
      <c r="C42" s="224"/>
      <c r="D42" s="224"/>
      <c r="E42" s="50"/>
    </row>
    <row r="43" spans="2:5" ht="15.75">
      <c r="B43" s="227"/>
      <c r="C43" s="224"/>
      <c r="D43" s="224"/>
      <c r="E43" s="50"/>
    </row>
    <row r="44" spans="2:5" ht="15.75">
      <c r="B44" s="227"/>
      <c r="C44" s="224"/>
      <c r="D44" s="224"/>
      <c r="E44" s="50"/>
    </row>
    <row r="45" spans="2:5" ht="15.75">
      <c r="B45" s="227"/>
      <c r="C45" s="224"/>
      <c r="D45" s="224"/>
      <c r="E45" s="50"/>
    </row>
    <row r="46" spans="2:5" ht="15.75">
      <c r="B46" s="227"/>
      <c r="C46" s="224"/>
      <c r="D46" s="224"/>
      <c r="E46" s="50"/>
    </row>
    <row r="47" spans="2:5" ht="15.75">
      <c r="B47" s="227"/>
      <c r="C47" s="224"/>
      <c r="D47" s="224"/>
      <c r="E47" s="50"/>
    </row>
    <row r="48" spans="2:5" ht="15.75">
      <c r="B48" s="227"/>
      <c r="C48" s="224"/>
      <c r="D48" s="224"/>
      <c r="E48" s="50"/>
    </row>
    <row r="49" spans="2:5" ht="15.75">
      <c r="B49" s="227"/>
      <c r="C49" s="224"/>
      <c r="D49" s="224"/>
      <c r="E49" s="50"/>
    </row>
    <row r="50" spans="2:5" ht="15.75">
      <c r="B50" s="227"/>
      <c r="C50" s="224"/>
      <c r="D50" s="224"/>
      <c r="E50" s="50"/>
    </row>
    <row r="51" spans="2:5" ht="15.75">
      <c r="B51" s="227"/>
      <c r="C51" s="224"/>
      <c r="D51" s="224"/>
      <c r="E51" s="50"/>
    </row>
    <row r="52" spans="2:5" ht="15.75">
      <c r="B52" s="515"/>
      <c r="C52" s="224"/>
      <c r="D52" s="224"/>
      <c r="E52" s="50"/>
    </row>
    <row r="53" spans="2:5" ht="15.75">
      <c r="B53" s="231"/>
      <c r="C53" s="224"/>
      <c r="D53" s="224"/>
      <c r="E53" s="50"/>
    </row>
    <row r="54" spans="2:5" ht="15.75">
      <c r="B54" s="139" t="s">
        <v>267</v>
      </c>
      <c r="C54" s="224">
        <v>0</v>
      </c>
      <c r="D54" s="50">
        <v>0</v>
      </c>
      <c r="E54" s="225">
        <v>0</v>
      </c>
    </row>
    <row r="55" spans="2:5" ht="15.75">
      <c r="B55" s="223" t="s">
        <v>785</v>
      </c>
      <c r="C55" s="349">
        <f>IF(C56*0.1&lt;C54,"Exceed 10% Rule","")</f>
      </c>
      <c r="D55" s="356">
        <f>IF(D56*0.1&lt;D54,"Exceed 10% Rule","")</f>
      </c>
      <c r="E55" s="232">
        <f>IF(E56*0.1+E118&lt;E54,"Exceed 10% Rule","")</f>
      </c>
    </row>
    <row r="56" spans="2:5" ht="15.75">
      <c r="B56" s="233" t="s">
        <v>30</v>
      </c>
      <c r="C56" s="366">
        <f>SUM(C9:C54)</f>
        <v>2234705</v>
      </c>
      <c r="D56" s="366">
        <f>SUM(D9:D54)</f>
        <v>2108226</v>
      </c>
      <c r="E56" s="234">
        <f>SUM(E10:E54)</f>
        <v>1428714</v>
      </c>
    </row>
    <row r="57" spans="2:5" ht="15.75">
      <c r="B57" s="233" t="s">
        <v>31</v>
      </c>
      <c r="C57" s="366">
        <f>C7+C56</f>
        <v>2414705</v>
      </c>
      <c r="D57" s="366">
        <f>D7+D56</f>
        <v>2296281</v>
      </c>
      <c r="E57" s="234">
        <f>E7+E56</f>
        <v>1478345</v>
      </c>
    </row>
    <row r="58" spans="2:5" ht="15.75">
      <c r="B58" s="22"/>
      <c r="C58" s="22"/>
      <c r="D58" s="22"/>
      <c r="E58" s="22"/>
    </row>
    <row r="59" spans="2:5" ht="15.75">
      <c r="B59" s="150"/>
      <c r="C59" s="119" t="s">
        <v>40</v>
      </c>
      <c r="D59" s="149">
        <f>IF(inputPrYr!D19&gt;0,8,7)</f>
        <v>8</v>
      </c>
      <c r="E59" s="150"/>
    </row>
    <row r="60" spans="2:5" ht="15.75">
      <c r="B60" s="150"/>
      <c r="C60" s="150"/>
      <c r="D60" s="150"/>
      <c r="E60" s="150"/>
    </row>
    <row r="61" spans="2:5" ht="15.75">
      <c r="B61" s="151" t="str">
        <f>inputPrYr!D2</f>
        <v>Valley Center</v>
      </c>
      <c r="C61" s="22"/>
      <c r="D61" s="22"/>
      <c r="E61" s="147"/>
    </row>
    <row r="62" spans="2:5" ht="15.75">
      <c r="B62" s="22"/>
      <c r="C62" s="22"/>
      <c r="D62" s="22"/>
      <c r="E62" s="119"/>
    </row>
    <row r="63" spans="2:5" ht="15.75">
      <c r="B63" s="217" t="s">
        <v>88</v>
      </c>
      <c r="C63" s="187"/>
      <c r="D63" s="187"/>
      <c r="E63" s="187"/>
    </row>
    <row r="64" spans="2:5" ht="15.75">
      <c r="B64" s="22" t="s">
        <v>24</v>
      </c>
      <c r="C64" s="661" t="str">
        <f aca="true" t="shared" si="0" ref="C64:E65">C5</f>
        <v>Prior Year </v>
      </c>
      <c r="D64" s="662" t="str">
        <f t="shared" si="0"/>
        <v>Current Year </v>
      </c>
      <c r="E64" s="125" t="str">
        <f t="shared" si="0"/>
        <v>Proposed Budget </v>
      </c>
    </row>
    <row r="65" spans="2:5" ht="15.75">
      <c r="B65" s="170" t="str">
        <f>inputPrYr!B17</f>
        <v>General</v>
      </c>
      <c r="C65" s="352" t="str">
        <f t="shared" si="0"/>
        <v>Actual for 2011</v>
      </c>
      <c r="D65" s="352" t="str">
        <f t="shared" si="0"/>
        <v>Estimate for 2012</v>
      </c>
      <c r="E65" s="222" t="str">
        <f t="shared" si="0"/>
        <v>Year for 2013</v>
      </c>
    </row>
    <row r="66" spans="2:5" ht="15.75">
      <c r="B66" s="235" t="s">
        <v>31</v>
      </c>
      <c r="C66" s="351">
        <f>C57</f>
        <v>2414705</v>
      </c>
      <c r="D66" s="351">
        <f>D57</f>
        <v>2296281</v>
      </c>
      <c r="E66" s="193">
        <f>E57</f>
        <v>1478345</v>
      </c>
    </row>
    <row r="67" spans="2:5" ht="15.75">
      <c r="B67" s="223" t="s">
        <v>33</v>
      </c>
      <c r="C67" s="139"/>
      <c r="D67" s="139"/>
      <c r="E67" s="68"/>
    </row>
    <row r="68" spans="2:5" ht="15.75">
      <c r="B68" s="236" t="str">
        <f>GenDetail!A7</f>
        <v>ADMINISTRATION</v>
      </c>
      <c r="C68" s="367">
        <f>GenDetail!B15</f>
        <v>554730</v>
      </c>
      <c r="D68" s="367">
        <f>GenDetail!C15</f>
        <v>529200</v>
      </c>
      <c r="E68" s="57">
        <f>GenDetail!D15</f>
        <v>543330</v>
      </c>
    </row>
    <row r="69" spans="2:5" ht="15.75">
      <c r="B69" s="236" t="str">
        <f>GenDetail!A16</f>
        <v>LEGAL &amp; COURT</v>
      </c>
      <c r="C69" s="367">
        <f>GenDetail!B21</f>
        <v>88160</v>
      </c>
      <c r="D69" s="367">
        <f>GenDetail!C21</f>
        <v>123100</v>
      </c>
      <c r="E69" s="57">
        <f>GenDetail!D21</f>
        <v>131880</v>
      </c>
    </row>
    <row r="70" spans="2:5" ht="15.75">
      <c r="B70" s="236" t="str">
        <f>GenDetail!A22</f>
        <v>COMMUNITY DEVELOPMENT</v>
      </c>
      <c r="C70" s="367">
        <f>GenDetail!B27</f>
        <v>111920</v>
      </c>
      <c r="D70" s="367">
        <f>GenDetail!C27</f>
        <v>123500</v>
      </c>
      <c r="E70" s="57">
        <f>GenDetail!D27</f>
        <v>124300</v>
      </c>
    </row>
    <row r="71" spans="2:5" ht="15.75">
      <c r="B71" s="236" t="str">
        <f>GenDetail!A28</f>
        <v>POLICE</v>
      </c>
      <c r="C71" s="367">
        <f>GenDetail!B33</f>
        <v>641470</v>
      </c>
      <c r="D71" s="367">
        <f>GenDetail!C33</f>
        <v>683800</v>
      </c>
      <c r="E71" s="57">
        <f>GenDetail!D33</f>
        <v>792100</v>
      </c>
    </row>
    <row r="72" spans="2:5" ht="15.75">
      <c r="B72" s="236" t="str">
        <f>GenDetail!A34</f>
        <v>FIRE</v>
      </c>
      <c r="C72" s="367">
        <f>GenDetail!B39</f>
        <v>211750</v>
      </c>
      <c r="D72" s="367">
        <f>GenDetail!C39</f>
        <v>195750</v>
      </c>
      <c r="E72" s="57">
        <f>GenDetail!D39</f>
        <v>211050</v>
      </c>
    </row>
    <row r="73" spans="2:5" ht="15.75">
      <c r="B73" s="236" t="str">
        <f>GenDetail!A40</f>
        <v>PARK &amp; PUBLIC GROUNDS</v>
      </c>
      <c r="C73" s="367">
        <f>GenDetail!B45</f>
        <v>409180</v>
      </c>
      <c r="D73" s="367">
        <f>GenDetail!C45</f>
        <v>362900</v>
      </c>
      <c r="E73" s="57">
        <f>GenDetail!D45</f>
        <v>373700</v>
      </c>
    </row>
    <row r="74" spans="2:5" ht="15.75">
      <c r="B74" s="236" t="str">
        <f>GenDetail!A46</f>
        <v>ENVIRONMENTAL SERVICES</v>
      </c>
      <c r="C74" s="367">
        <f>GenDetail!B51</f>
        <v>57310</v>
      </c>
      <c r="D74" s="367">
        <f>GenDetail!C51</f>
        <v>58800</v>
      </c>
      <c r="E74" s="57">
        <f>GenDetail!D51</f>
        <v>58800</v>
      </c>
    </row>
    <row r="75" spans="2:5" ht="15.75">
      <c r="B75" s="236" t="str">
        <f>GenDetail!A52</f>
        <v>EMERGENCY COMMUNICATIONS</v>
      </c>
      <c r="C75" s="367">
        <f>GenDetail!B57</f>
        <v>152130</v>
      </c>
      <c r="D75" s="367">
        <f>GenDetail!C57</f>
        <v>169600</v>
      </c>
      <c r="E75" s="57">
        <f>GenDetail!D57</f>
        <v>0</v>
      </c>
    </row>
    <row r="76" spans="2:6" ht="15.75">
      <c r="B76" s="237" t="s">
        <v>630</v>
      </c>
      <c r="C76" s="413">
        <f>SUM(C68:C75)</f>
        <v>2226650</v>
      </c>
      <c r="D76" s="413">
        <f>SUM(D68:D75)</f>
        <v>2246650</v>
      </c>
      <c r="E76" s="256">
        <f>SUM(E68:E75)</f>
        <v>2235160</v>
      </c>
      <c r="F76" s="238"/>
    </row>
    <row r="77" spans="2:5" ht="15.75">
      <c r="B77" s="231"/>
      <c r="C77" s="224"/>
      <c r="D77" s="224"/>
      <c r="E77" s="50"/>
    </row>
    <row r="78" spans="2:5" ht="15.75">
      <c r="B78" s="231"/>
      <c r="C78" s="224"/>
      <c r="D78" s="224"/>
      <c r="E78" s="50"/>
    </row>
    <row r="79" spans="2:5" ht="15.75">
      <c r="B79" s="231"/>
      <c r="C79" s="224"/>
      <c r="D79" s="224"/>
      <c r="E79" s="50"/>
    </row>
    <row r="80" spans="2:5" ht="15.75">
      <c r="B80" s="231"/>
      <c r="C80" s="224"/>
      <c r="D80" s="224"/>
      <c r="E80" s="50"/>
    </row>
    <row r="81" spans="2:5" ht="15.75">
      <c r="B81" s="231"/>
      <c r="C81" s="224"/>
      <c r="D81" s="224"/>
      <c r="E81" s="50"/>
    </row>
    <row r="82" spans="2:5" ht="15.75">
      <c r="B82" s="231"/>
      <c r="C82" s="224"/>
      <c r="D82" s="224"/>
      <c r="E82" s="50"/>
    </row>
    <row r="83" spans="2:5" ht="15.75">
      <c r="B83" s="239"/>
      <c r="C83" s="224"/>
      <c r="D83" s="224"/>
      <c r="E83" s="50"/>
    </row>
    <row r="84" spans="2:5" ht="15.75">
      <c r="B84" s="239"/>
      <c r="C84" s="224"/>
      <c r="D84" s="224"/>
      <c r="E84" s="50"/>
    </row>
    <row r="85" spans="2:5" ht="15.75">
      <c r="B85" s="239"/>
      <c r="C85" s="224"/>
      <c r="D85" s="224"/>
      <c r="E85" s="50"/>
    </row>
    <row r="86" spans="2:5" ht="15.75">
      <c r="B86" s="239"/>
      <c r="C86" s="224"/>
      <c r="D86" s="224"/>
      <c r="E86" s="50"/>
    </row>
    <row r="87" spans="2:5" ht="15.75">
      <c r="B87" s="239"/>
      <c r="C87" s="224"/>
      <c r="D87" s="224"/>
      <c r="E87" s="50"/>
    </row>
    <row r="88" spans="2:5" ht="15.75">
      <c r="B88" s="239"/>
      <c r="C88" s="224"/>
      <c r="D88" s="224"/>
      <c r="E88" s="50"/>
    </row>
    <row r="89" spans="2:5" ht="15.75">
      <c r="B89" s="239"/>
      <c r="C89" s="224"/>
      <c r="D89" s="224"/>
      <c r="E89" s="50"/>
    </row>
    <row r="90" spans="2:5" ht="15.75">
      <c r="B90" s="239"/>
      <c r="C90" s="224"/>
      <c r="D90" s="224"/>
      <c r="E90" s="50"/>
    </row>
    <row r="91" spans="2:5" ht="15.75">
      <c r="B91" s="239"/>
      <c r="C91" s="224"/>
      <c r="D91" s="224"/>
      <c r="E91" s="50"/>
    </row>
    <row r="92" spans="2:5" ht="15.75">
      <c r="B92" s="239"/>
      <c r="C92" s="224"/>
      <c r="D92" s="224"/>
      <c r="E92" s="50"/>
    </row>
    <row r="93" spans="2:5" ht="15.75">
      <c r="B93" s="239"/>
      <c r="C93" s="224"/>
      <c r="D93" s="224"/>
      <c r="E93" s="50"/>
    </row>
    <row r="94" spans="2:5" ht="15.75">
      <c r="B94" s="239"/>
      <c r="C94" s="224"/>
      <c r="D94" s="224"/>
      <c r="E94" s="50"/>
    </row>
    <row r="95" spans="2:5" ht="15.75">
      <c r="B95" s="239"/>
      <c r="C95" s="224"/>
      <c r="D95" s="224"/>
      <c r="E95" s="50"/>
    </row>
    <row r="96" spans="2:5" ht="15.75">
      <c r="B96" s="239"/>
      <c r="C96" s="224"/>
      <c r="D96" s="224"/>
      <c r="E96" s="50"/>
    </row>
    <row r="97" spans="2:5" ht="15.75">
      <c r="B97" s="239"/>
      <c r="C97" s="224"/>
      <c r="D97" s="224"/>
      <c r="E97" s="50"/>
    </row>
    <row r="98" spans="2:5" ht="15.75">
      <c r="B98" s="239"/>
      <c r="C98" s="224"/>
      <c r="D98" s="224"/>
      <c r="E98" s="50"/>
    </row>
    <row r="99" spans="2:5" ht="15.75">
      <c r="B99" s="239"/>
      <c r="C99" s="224"/>
      <c r="D99" s="224"/>
      <c r="E99" s="50"/>
    </row>
    <row r="100" spans="2:5" ht="15.75">
      <c r="B100" s="239"/>
      <c r="C100" s="224"/>
      <c r="D100" s="224"/>
      <c r="E100" s="50"/>
    </row>
    <row r="101" spans="2:10" ht="15.75">
      <c r="B101" s="239"/>
      <c r="C101" s="224"/>
      <c r="D101" s="224"/>
      <c r="E101" s="50"/>
      <c r="G101" s="815" t="str">
        <f>CONCATENATE("Desired Carryover Into ",E1+1,"")</f>
        <v>Desired Carryover Into 2014</v>
      </c>
      <c r="H101" s="816"/>
      <c r="I101" s="816"/>
      <c r="J101" s="817"/>
    </row>
    <row r="102" spans="2:10" ht="15.75">
      <c r="B102" s="239"/>
      <c r="C102" s="224"/>
      <c r="D102" s="224"/>
      <c r="E102" s="50"/>
      <c r="G102" s="478"/>
      <c r="H102" s="477"/>
      <c r="I102" s="477"/>
      <c r="J102" s="479"/>
    </row>
    <row r="103" spans="2:10" ht="15.75">
      <c r="B103" s="239"/>
      <c r="C103" s="224"/>
      <c r="D103" s="224"/>
      <c r="E103" s="50"/>
      <c r="G103" s="406" t="s">
        <v>633</v>
      </c>
      <c r="H103" s="400"/>
      <c r="I103" s="400"/>
      <c r="J103" s="395">
        <v>0</v>
      </c>
    </row>
    <row r="104" spans="2:10" ht="15.75">
      <c r="B104" s="239"/>
      <c r="C104" s="224"/>
      <c r="D104" s="224"/>
      <c r="E104" s="50"/>
      <c r="G104" s="481" t="s">
        <v>634</v>
      </c>
      <c r="H104" s="393"/>
      <c r="I104" s="394"/>
      <c r="J104" s="476">
        <f>IF(J103=0,"",ROUND((J103+E118-G116)/inputOth!E7*1000,3)-G121)</f>
      </c>
    </row>
    <row r="105" spans="2:10" ht="15.75">
      <c r="B105" s="239"/>
      <c r="C105" s="224"/>
      <c r="D105" s="224"/>
      <c r="E105" s="50"/>
      <c r="G105" s="570" t="str">
        <f>CONCATENATE("",E1," Tot Exp/Non-Appr Must Be:")</f>
        <v>2013 Tot Exp/Non-Appr Must Be:</v>
      </c>
      <c r="H105" s="571"/>
      <c r="I105" s="572"/>
      <c r="J105" s="573">
        <f>IF(J103&gt;0,IF(E115&lt;E57,IF(J103=G116,E115,((J103-G116)*(1-D117))+E57),E115+(J103-G116)),0)</f>
        <v>0</v>
      </c>
    </row>
    <row r="106" spans="2:10" ht="15.75">
      <c r="B106" s="239"/>
      <c r="C106" s="224"/>
      <c r="D106" s="224"/>
      <c r="E106" s="50"/>
      <c r="G106" s="592" t="s">
        <v>807</v>
      </c>
      <c r="H106" s="569"/>
      <c r="I106" s="569"/>
      <c r="J106" s="728">
        <f>IF(J103&gt;0,J105-E115,0)</f>
        <v>0</v>
      </c>
    </row>
    <row r="107" spans="2:5" ht="15.75">
      <c r="B107" s="239"/>
      <c r="C107" s="224"/>
      <c r="D107" s="224"/>
      <c r="E107" s="50"/>
    </row>
    <row r="108" spans="2:10" ht="15.75" customHeight="1">
      <c r="B108" s="240" t="s">
        <v>268</v>
      </c>
      <c r="C108" s="224">
        <v>0</v>
      </c>
      <c r="D108" s="224">
        <v>0</v>
      </c>
      <c r="E108" s="57">
        <f>nhood!E6</f>
      </c>
      <c r="G108" s="815" t="str">
        <f>CONCATENATE("Projected Carryover Into ",E1+1,"")</f>
        <v>Projected Carryover Into 2014</v>
      </c>
      <c r="H108" s="825"/>
      <c r="I108" s="825"/>
      <c r="J108" s="826"/>
    </row>
    <row r="109" spans="2:10" ht="15.75">
      <c r="B109" s="240" t="s">
        <v>267</v>
      </c>
      <c r="C109" s="224">
        <v>0</v>
      </c>
      <c r="D109" s="224">
        <v>0</v>
      </c>
      <c r="E109" s="50">
        <v>0</v>
      </c>
      <c r="G109" s="478"/>
      <c r="H109" s="477"/>
      <c r="I109" s="477"/>
      <c r="J109" s="479"/>
    </row>
    <row r="110" spans="2:10" ht="15.75">
      <c r="B110" s="240" t="s">
        <v>786</v>
      </c>
      <c r="C110" s="349">
        <f>IF(C111*0.1&lt;C109,"Exceed 10% Rule","")</f>
      </c>
      <c r="D110" s="356">
        <f>IF(D111*0.1&lt;D109,"Exceed 10% Rule","")</f>
      </c>
      <c r="E110" s="255">
        <f>IF(E111*0.1&lt;E109,"Exceed 10% Rule","")</f>
      </c>
      <c r="G110" s="397">
        <f>D112</f>
        <v>49631</v>
      </c>
      <c r="H110" s="398" t="str">
        <f>CONCATENATE("",E1-1," Ending Cash Balance (est.)")</f>
        <v>2012 Ending Cash Balance (est.)</v>
      </c>
      <c r="I110" s="399"/>
      <c r="J110" s="479"/>
    </row>
    <row r="111" spans="2:10" ht="15.75">
      <c r="B111" s="233" t="s">
        <v>37</v>
      </c>
      <c r="C111" s="366">
        <f>SUM(C76:C109)</f>
        <v>2226650</v>
      </c>
      <c r="D111" s="366">
        <f>SUM(D76:D109)</f>
        <v>2246650</v>
      </c>
      <c r="E111" s="234">
        <f>SUM(E76:E109)</f>
        <v>2235160</v>
      </c>
      <c r="G111" s="397">
        <f>E56</f>
        <v>1428714</v>
      </c>
      <c r="H111" s="400" t="str">
        <f>CONCATENATE("",E1," Non-AV Receipts (est.)")</f>
        <v>2013 Non-AV Receipts (est.)</v>
      </c>
      <c r="I111" s="399"/>
      <c r="J111" s="479"/>
    </row>
    <row r="112" spans="2:11" ht="15.75">
      <c r="B112" s="131" t="s">
        <v>145</v>
      </c>
      <c r="C112" s="367">
        <f>C57-C111</f>
        <v>188055</v>
      </c>
      <c r="D112" s="367">
        <f>D57-D111</f>
        <v>49631</v>
      </c>
      <c r="E112" s="254" t="s">
        <v>13</v>
      </c>
      <c r="G112" s="401">
        <f>IF(E117&gt;0,E116,E118)</f>
        <v>756815</v>
      </c>
      <c r="H112" s="400" t="str">
        <f>CONCATENATE("",E1," Ad Valorem Tax (est.)")</f>
        <v>2013 Ad Valorem Tax (est.)</v>
      </c>
      <c r="I112" s="399"/>
      <c r="J112" s="479"/>
      <c r="K112" s="734" t="str">
        <f>IF(G112=E118,"","Note: Does not include Delinquent Taxes")</f>
        <v>Note: Does not include Delinquent Taxes</v>
      </c>
    </row>
    <row r="113" spans="2:10" ht="15.75">
      <c r="B113" s="119" t="str">
        <f>CONCATENATE("",$E$1-2,"/",$E$1-1," Budget Authority Amount:")</f>
        <v>2011/2012 Budget Authority Amount:</v>
      </c>
      <c r="C113" s="183">
        <f>inputOth!B61</f>
        <v>2266985</v>
      </c>
      <c r="D113" s="242">
        <f>inputPrYr!D17</f>
        <v>2297500</v>
      </c>
      <c r="E113" s="254" t="s">
        <v>13</v>
      </c>
      <c r="F113" s="243"/>
      <c r="G113" s="397">
        <f>SUM(G110:G112)</f>
        <v>2235160</v>
      </c>
      <c r="H113" s="400" t="str">
        <f>CONCATENATE("Total ",E1," Resources Available")</f>
        <v>Total 2013 Resources Available</v>
      </c>
      <c r="I113" s="399"/>
      <c r="J113" s="479"/>
    </row>
    <row r="114" spans="2:10" ht="15.75">
      <c r="B114" s="119"/>
      <c r="C114" s="818" t="s">
        <v>625</v>
      </c>
      <c r="D114" s="819"/>
      <c r="E114" s="50">
        <v>0</v>
      </c>
      <c r="F114" s="388">
        <f>IF((E111/0.95)-E111&lt;E114,"Exceeds 5% ","")</f>
      </c>
      <c r="G114" s="402"/>
      <c r="H114" s="400"/>
      <c r="I114" s="400"/>
      <c r="J114" s="479"/>
    </row>
    <row r="115" spans="2:10" ht="15.75">
      <c r="B115" s="372" t="str">
        <f>CONCATENATE(C143,"     ",D143)</f>
        <v>     </v>
      </c>
      <c r="C115" s="820" t="s">
        <v>626</v>
      </c>
      <c r="D115" s="821"/>
      <c r="E115" s="193">
        <f>E111+E114</f>
        <v>2235160</v>
      </c>
      <c r="G115" s="401">
        <f>ROUND(C111*0.05+C111,0)</f>
        <v>2337983</v>
      </c>
      <c r="H115" s="400" t="str">
        <f>CONCATENATE("Less ",E1-2," Expenditures + 5%")</f>
        <v>Less 2011 Expenditures + 5%</v>
      </c>
      <c r="I115" s="399"/>
      <c r="J115" s="396"/>
    </row>
    <row r="116" spans="2:10" ht="15.75">
      <c r="B116" s="372" t="str">
        <f>CONCATENATE(C144,"     ",D144)</f>
        <v>     </v>
      </c>
      <c r="C116" s="244"/>
      <c r="D116" s="147" t="s">
        <v>38</v>
      </c>
      <c r="E116" s="57">
        <f>IF(E115-E57&gt;0,E115-E57,0)</f>
        <v>756815</v>
      </c>
      <c r="G116" s="407">
        <f>G113-G115</f>
        <v>-102823</v>
      </c>
      <c r="H116" s="403" t="str">
        <f>CONCATENATE("Projected ",E1+1," Carryover (est.)")</f>
        <v>Projected 2014 Carryover (est.)</v>
      </c>
      <c r="I116" s="404"/>
      <c r="J116" s="405"/>
    </row>
    <row r="117" spans="2:5" ht="15.75">
      <c r="B117" s="119"/>
      <c r="C117" s="358" t="s">
        <v>627</v>
      </c>
      <c r="D117" s="594">
        <f>inputOth!E47</f>
        <v>0.03</v>
      </c>
      <c r="E117" s="57">
        <f>ROUND(IF(D117&gt;0,(E116*D117),0),0)</f>
        <v>22704</v>
      </c>
    </row>
    <row r="118" spans="2:10" ht="16.5" thickBot="1">
      <c r="B118" s="22"/>
      <c r="C118" s="822" t="str">
        <f>CONCATENATE("Amount of  ",$E$1-1," Ad Valorem Tax")</f>
        <v>Amount of  2012 Ad Valorem Tax</v>
      </c>
      <c r="D118" s="823"/>
      <c r="E118" s="355">
        <f>E116+E117</f>
        <v>779519</v>
      </c>
      <c r="G118" s="827" t="s">
        <v>863</v>
      </c>
      <c r="H118" s="828"/>
      <c r="I118" s="828"/>
      <c r="J118" s="829"/>
    </row>
    <row r="119" spans="2:10" ht="16.5" thickTop="1">
      <c r="B119" s="22"/>
      <c r="C119" s="822"/>
      <c r="D119" s="824"/>
      <c r="E119" s="663"/>
      <c r="G119" s="664"/>
      <c r="H119" s="665"/>
      <c r="I119" s="666"/>
      <c r="J119" s="667"/>
    </row>
    <row r="120" spans="2:10" ht="15.75">
      <c r="B120" s="22"/>
      <c r="C120" s="22"/>
      <c r="D120" s="22"/>
      <c r="E120" s="22"/>
      <c r="G120" s="668">
        <f>summ!H16</f>
        <v>18.094</v>
      </c>
      <c r="H120" s="665" t="str">
        <f>CONCATENATE("",E1," Fund Mill Rate")</f>
        <v>2013 Fund Mill Rate</v>
      </c>
      <c r="I120" s="666"/>
      <c r="J120" s="667"/>
    </row>
    <row r="121" spans="2:10" ht="15.75">
      <c r="B121" s="150"/>
      <c r="C121" s="119" t="s">
        <v>40</v>
      </c>
      <c r="D121" s="149" t="str">
        <f>CONCATENATE("",D59,"a")</f>
        <v>8a</v>
      </c>
      <c r="E121" s="150"/>
      <c r="G121" s="669">
        <f>summ!E16</f>
        <v>16.27</v>
      </c>
      <c r="H121" s="665" t="str">
        <f>CONCATENATE("",E1-1," Fund Mill Rate")</f>
        <v>2012 Fund Mill Rate</v>
      </c>
      <c r="I121" s="666"/>
      <c r="J121" s="667"/>
    </row>
    <row r="122" spans="7:10" ht="15.75">
      <c r="G122" s="670">
        <f>summ!H43</f>
        <v>53.608999999999995</v>
      </c>
      <c r="H122" s="665" t="str">
        <f>CONCATENATE("Total ",E1," Mill Rate")</f>
        <v>Total 2013 Mill Rate</v>
      </c>
      <c r="I122" s="666"/>
      <c r="J122" s="667"/>
    </row>
    <row r="123" spans="2:10" ht="15.75">
      <c r="B123" s="83"/>
      <c r="G123" s="669">
        <f>summ!E43</f>
        <v>51.172</v>
      </c>
      <c r="H123" s="671" t="str">
        <f>CONCATENATE("Total ",E1-1," Mill Rate")</f>
        <v>Total 2012 Mill Rate</v>
      </c>
      <c r="I123" s="672"/>
      <c r="J123" s="673"/>
    </row>
    <row r="124" ht="15.75">
      <c r="K124" s="568"/>
    </row>
    <row r="126" spans="2:3" ht="15.75">
      <c r="B126" s="8"/>
      <c r="C126" s="8"/>
    </row>
    <row r="143" spans="3:4" ht="15.75" hidden="1">
      <c r="C143" s="23">
        <f>IF(C111&gt;C113,"See Tab A","")</f>
      </c>
      <c r="D143" s="23">
        <f>IF(D111&gt;D113,"See Tab C","")</f>
      </c>
    </row>
    <row r="144" spans="3:4" ht="15.75" hidden="1">
      <c r="C144" s="23">
        <f>IF(C112&lt;0,"See Tab B","")</f>
      </c>
      <c r="D144" s="23">
        <f>IF(D112&lt;0,"See Tab D","")</f>
      </c>
    </row>
  </sheetData>
  <sheetProtection sheet="1"/>
  <mergeCells count="7">
    <mergeCell ref="G101:J101"/>
    <mergeCell ref="C114:D114"/>
    <mergeCell ref="C115:D115"/>
    <mergeCell ref="C118:D118"/>
    <mergeCell ref="C119:D119"/>
    <mergeCell ref="G108:J108"/>
    <mergeCell ref="G118:J118"/>
  </mergeCells>
  <conditionalFormatting sqref="E114">
    <cfRule type="cellIs" priority="2" dxfId="114" operator="greaterThan" stopIfTrue="1">
      <formula>$E$111/0.95-$E$111</formula>
    </cfRule>
  </conditionalFormatting>
  <conditionalFormatting sqref="E109">
    <cfRule type="cellIs" priority="3" dxfId="114" operator="greaterThan" stopIfTrue="1">
      <formula>$E$111*0.1</formula>
    </cfRule>
  </conditionalFormatting>
  <conditionalFormatting sqref="D111">
    <cfRule type="cellIs" priority="4" dxfId="115" operator="greaterThan" stopIfTrue="1">
      <formula>$D$113</formula>
    </cfRule>
  </conditionalFormatting>
  <conditionalFormatting sqref="E54">
    <cfRule type="cellIs" priority="11" dxfId="114" operator="greaterThan" stopIfTrue="1">
      <formula>$E$56*0.1+E118</formula>
    </cfRule>
  </conditionalFormatting>
  <printOptions/>
  <pageMargins left="0.5" right="0.5" top="1" bottom="0.5" header="0.5" footer="0.25"/>
  <pageSetup blackAndWhite="1" fitToHeight="2" horizontalDpi="120" verticalDpi="120" orientation="portrait" scale="68" r:id="rId1"/>
  <headerFooter alignWithMargins="0">
    <oddHeader>&amp;RState of Kansas
City
</oddHeader>
  </headerFooter>
  <rowBreaks count="1" manualBreakCount="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26">
      <selection activeCell="F36" sqref="F36"/>
    </sheetView>
  </sheetViews>
  <sheetFormatPr defaultColWidth="8.796875" defaultRowHeight="15"/>
  <cols>
    <col min="1" max="1" width="28.296875" style="8" customWidth="1"/>
    <col min="2" max="3" width="15.796875" style="8" customWidth="1"/>
    <col min="4" max="4" width="16.09765625" style="8" customWidth="1"/>
    <col min="5" max="16384" width="8.8984375" style="8" customWidth="1"/>
  </cols>
  <sheetData>
    <row r="1" spans="1:4" ht="15.75">
      <c r="A1" s="151" t="str">
        <f>inputPrYr!D2</f>
        <v>Valley Center</v>
      </c>
      <c r="B1" s="22"/>
      <c r="C1" s="149"/>
      <c r="D1" s="22">
        <f>inputPrYr!C5</f>
        <v>2013</v>
      </c>
    </row>
    <row r="2" spans="1:4" ht="15.75">
      <c r="A2" s="22"/>
      <c r="B2" s="22"/>
      <c r="C2" s="22"/>
      <c r="D2" s="149"/>
    </row>
    <row r="3" spans="1:4" ht="15.75">
      <c r="A3" s="41"/>
      <c r="B3" s="246"/>
      <c r="C3" s="246"/>
      <c r="D3" s="246"/>
    </row>
    <row r="4" spans="1:4" ht="15.75">
      <c r="A4" s="149" t="s">
        <v>24</v>
      </c>
      <c r="B4" s="247" t="s">
        <v>802</v>
      </c>
      <c r="C4" s="125" t="s">
        <v>805</v>
      </c>
      <c r="D4" s="125" t="s">
        <v>806</v>
      </c>
    </row>
    <row r="5" spans="1:4" ht="15.75">
      <c r="A5" s="524" t="s">
        <v>302</v>
      </c>
      <c r="B5" s="352" t="str">
        <f>CONCATENATE("Actual for ",D1-2,"")</f>
        <v>Actual for 2011</v>
      </c>
      <c r="C5" s="352" t="str">
        <f>CONCATENATE("Estimate for ",D1-1,"")</f>
        <v>Estimate for 2012</v>
      </c>
      <c r="D5" s="222" t="str">
        <f>CONCATENATE("Year for ",D1,"")</f>
        <v>Year for 2013</v>
      </c>
    </row>
    <row r="6" spans="1:4" ht="15.75">
      <c r="A6" s="191" t="s">
        <v>33</v>
      </c>
      <c r="B6" s="68"/>
      <c r="C6" s="68"/>
      <c r="D6" s="68"/>
    </row>
    <row r="7" spans="1:4" ht="15.75">
      <c r="A7" s="248" t="s">
        <v>1009</v>
      </c>
      <c r="B7" s="68"/>
      <c r="C7" s="68"/>
      <c r="D7" s="68"/>
    </row>
    <row r="8" spans="1:4" ht="15.75">
      <c r="A8" s="249" t="s">
        <v>41</v>
      </c>
      <c r="B8" s="230">
        <v>250420</v>
      </c>
      <c r="C8" s="230">
        <v>233000</v>
      </c>
      <c r="D8" s="230">
        <v>271630</v>
      </c>
    </row>
    <row r="9" spans="1:4" ht="15.75">
      <c r="A9" s="249" t="s">
        <v>34</v>
      </c>
      <c r="B9" s="230">
        <v>168990</v>
      </c>
      <c r="C9" s="230">
        <v>138700</v>
      </c>
      <c r="D9" s="230">
        <v>151200</v>
      </c>
    </row>
    <row r="10" spans="1:4" ht="15.75">
      <c r="A10" s="249" t="s">
        <v>35</v>
      </c>
      <c r="B10" s="230">
        <v>9290</v>
      </c>
      <c r="C10" s="230">
        <v>10000</v>
      </c>
      <c r="D10" s="230">
        <v>10000</v>
      </c>
    </row>
    <row r="11" spans="1:4" ht="15.75">
      <c r="A11" s="249" t="s">
        <v>36</v>
      </c>
      <c r="B11" s="230">
        <v>4390</v>
      </c>
      <c r="C11" s="230">
        <v>12500</v>
      </c>
      <c r="D11" s="230">
        <v>12500</v>
      </c>
    </row>
    <row r="12" spans="1:4" ht="15.75">
      <c r="A12" s="249" t="s">
        <v>175</v>
      </c>
      <c r="B12" s="230">
        <v>56640</v>
      </c>
      <c r="C12" s="230">
        <v>30000</v>
      </c>
      <c r="D12" s="230">
        <v>33000</v>
      </c>
    </row>
    <row r="13" spans="1:4" ht="15.75">
      <c r="A13" s="53" t="s">
        <v>1010</v>
      </c>
      <c r="B13" s="230">
        <v>5000</v>
      </c>
      <c r="C13" s="230">
        <v>5000</v>
      </c>
      <c r="D13" s="230">
        <v>5000</v>
      </c>
    </row>
    <row r="14" spans="1:4" ht="15.75">
      <c r="A14" s="53" t="s">
        <v>1011</v>
      </c>
      <c r="B14" s="230">
        <v>60000</v>
      </c>
      <c r="C14" s="230">
        <v>100000</v>
      </c>
      <c r="D14" s="230">
        <v>60000</v>
      </c>
    </row>
    <row r="15" spans="1:4" ht="15.75">
      <c r="A15" s="191" t="s">
        <v>331</v>
      </c>
      <c r="B15" s="241">
        <f>SUM(B8:B14)</f>
        <v>554730</v>
      </c>
      <c r="C15" s="241">
        <f>SUM(C8:C14)</f>
        <v>529200</v>
      </c>
      <c r="D15" s="241">
        <f>SUM(D8:D14)</f>
        <v>543330</v>
      </c>
    </row>
    <row r="16" spans="1:4" ht="15.75">
      <c r="A16" s="250" t="s">
        <v>1012</v>
      </c>
      <c r="B16" s="151"/>
      <c r="C16" s="151"/>
      <c r="D16" s="151"/>
    </row>
    <row r="17" spans="1:4" ht="15.75">
      <c r="A17" s="249" t="s">
        <v>41</v>
      </c>
      <c r="B17" s="230">
        <v>64590</v>
      </c>
      <c r="C17" s="230">
        <v>74500</v>
      </c>
      <c r="D17" s="230">
        <v>84150</v>
      </c>
    </row>
    <row r="18" spans="1:4" ht="15.75">
      <c r="A18" s="249" t="s">
        <v>34</v>
      </c>
      <c r="B18" s="230">
        <v>13520</v>
      </c>
      <c r="C18" s="230">
        <v>21750</v>
      </c>
      <c r="D18" s="230">
        <v>26000</v>
      </c>
    </row>
    <row r="19" spans="1:4" ht="15.75">
      <c r="A19" s="249" t="s">
        <v>35</v>
      </c>
      <c r="B19" s="230">
        <v>1040</v>
      </c>
      <c r="C19" s="230">
        <v>850</v>
      </c>
      <c r="D19" s="230">
        <v>730</v>
      </c>
    </row>
    <row r="20" spans="1:4" ht="15.75">
      <c r="A20" s="249" t="s">
        <v>1013</v>
      </c>
      <c r="B20" s="230">
        <v>9010</v>
      </c>
      <c r="C20" s="230">
        <v>26000</v>
      </c>
      <c r="D20" s="230">
        <v>21000</v>
      </c>
    </row>
    <row r="21" spans="1:4" ht="15.75">
      <c r="A21" s="191" t="s">
        <v>331</v>
      </c>
      <c r="B21" s="241">
        <f>SUM(B17:B20)</f>
        <v>88160</v>
      </c>
      <c r="C21" s="241">
        <f>SUM(C17:C20)</f>
        <v>123100</v>
      </c>
      <c r="D21" s="241">
        <f>SUM(D17:D20)</f>
        <v>131880</v>
      </c>
    </row>
    <row r="22" spans="1:4" ht="15.75">
      <c r="A22" s="250" t="s">
        <v>1014</v>
      </c>
      <c r="B22" s="151"/>
      <c r="C22" s="151"/>
      <c r="D22" s="151"/>
    </row>
    <row r="23" spans="1:4" ht="15.75">
      <c r="A23" s="249" t="s">
        <v>41</v>
      </c>
      <c r="B23" s="230">
        <v>51450</v>
      </c>
      <c r="C23" s="230">
        <v>81500</v>
      </c>
      <c r="D23" s="230">
        <v>82900</v>
      </c>
    </row>
    <row r="24" spans="1:4" ht="15.75">
      <c r="A24" s="249" t="s">
        <v>34</v>
      </c>
      <c r="B24" s="230">
        <v>28840</v>
      </c>
      <c r="C24" s="230">
        <v>24600</v>
      </c>
      <c r="D24" s="230">
        <v>23000</v>
      </c>
    </row>
    <row r="25" spans="1:4" ht="15.75">
      <c r="A25" s="249" t="s">
        <v>35</v>
      </c>
      <c r="B25" s="230">
        <v>1580</v>
      </c>
      <c r="C25" s="230">
        <v>1200</v>
      </c>
      <c r="D25" s="230">
        <v>2000</v>
      </c>
    </row>
    <row r="26" spans="1:4" ht="15.75">
      <c r="A26" s="249" t="s">
        <v>1013</v>
      </c>
      <c r="B26" s="230">
        <v>30050</v>
      </c>
      <c r="C26" s="230">
        <v>16200</v>
      </c>
      <c r="D26" s="230">
        <v>16400</v>
      </c>
    </row>
    <row r="27" spans="1:4" ht="15.75">
      <c r="A27" s="191" t="s">
        <v>331</v>
      </c>
      <c r="B27" s="241">
        <f>SUM(B23:B26)</f>
        <v>111920</v>
      </c>
      <c r="C27" s="241">
        <f>SUM(C23:C26)</f>
        <v>123500</v>
      </c>
      <c r="D27" s="241">
        <f>SUM(D23:D26)</f>
        <v>124300</v>
      </c>
    </row>
    <row r="28" spans="1:4" ht="15.75">
      <c r="A28" s="250" t="s">
        <v>1015</v>
      </c>
      <c r="B28" s="151"/>
      <c r="C28" s="151"/>
      <c r="D28" s="151"/>
    </row>
    <row r="29" spans="1:4" ht="15.75">
      <c r="A29" s="249" t="s">
        <v>41</v>
      </c>
      <c r="B29" s="230">
        <v>524970</v>
      </c>
      <c r="C29" s="230">
        <v>564000</v>
      </c>
      <c r="D29" s="230">
        <v>655000</v>
      </c>
    </row>
    <row r="30" spans="1:4" ht="15.75">
      <c r="A30" s="249" t="s">
        <v>34</v>
      </c>
      <c r="B30" s="230">
        <v>73460</v>
      </c>
      <c r="C30" s="230">
        <v>65100</v>
      </c>
      <c r="D30" s="230">
        <v>75100</v>
      </c>
    </row>
    <row r="31" spans="1:4" ht="15.75">
      <c r="A31" s="249" t="s">
        <v>35</v>
      </c>
      <c r="B31" s="230">
        <v>32980</v>
      </c>
      <c r="C31" s="230">
        <v>42200</v>
      </c>
      <c r="D31" s="230">
        <v>49500</v>
      </c>
    </row>
    <row r="32" spans="1:4" ht="15.75">
      <c r="A32" s="249" t="s">
        <v>36</v>
      </c>
      <c r="B32" s="230">
        <v>10060</v>
      </c>
      <c r="C32" s="230">
        <v>12500</v>
      </c>
      <c r="D32" s="230">
        <v>12500</v>
      </c>
    </row>
    <row r="33" spans="1:4" ht="15.75">
      <c r="A33" s="191" t="s">
        <v>331</v>
      </c>
      <c r="B33" s="241">
        <f>SUM(B29:B32)</f>
        <v>641470</v>
      </c>
      <c r="C33" s="241">
        <f>SUM(C29:C32)</f>
        <v>683800</v>
      </c>
      <c r="D33" s="241">
        <f>SUM(D29:D32)</f>
        <v>792100</v>
      </c>
    </row>
    <row r="34" spans="1:4" ht="15.75">
      <c r="A34" s="250" t="s">
        <v>1016</v>
      </c>
      <c r="B34" s="151"/>
      <c r="C34" s="151"/>
      <c r="D34" s="151"/>
    </row>
    <row r="35" spans="1:4" ht="15.75">
      <c r="A35" s="249" t="s">
        <v>41</v>
      </c>
      <c r="B35" s="230">
        <v>136120</v>
      </c>
      <c r="C35" s="230">
        <v>133000</v>
      </c>
      <c r="D35" s="230">
        <v>145400</v>
      </c>
    </row>
    <row r="36" spans="1:4" ht="15.75">
      <c r="A36" s="249" t="s">
        <v>34</v>
      </c>
      <c r="B36" s="230">
        <v>48530</v>
      </c>
      <c r="C36" s="230">
        <v>39550</v>
      </c>
      <c r="D36" s="230">
        <v>42250</v>
      </c>
    </row>
    <row r="37" spans="1:4" ht="15.75">
      <c r="A37" s="249" t="s">
        <v>35</v>
      </c>
      <c r="B37" s="230">
        <v>4010</v>
      </c>
      <c r="C37" s="230">
        <v>5200</v>
      </c>
      <c r="D37" s="230">
        <v>5400</v>
      </c>
    </row>
    <row r="38" spans="1:4" ht="15.75">
      <c r="A38" s="249" t="s">
        <v>1013</v>
      </c>
      <c r="B38" s="230">
        <v>23090</v>
      </c>
      <c r="C38" s="230">
        <v>18000</v>
      </c>
      <c r="D38" s="230">
        <v>18000</v>
      </c>
    </row>
    <row r="39" spans="1:4" ht="15.75">
      <c r="A39" s="191" t="s">
        <v>331</v>
      </c>
      <c r="B39" s="241">
        <f>SUM(B35:B38)</f>
        <v>211750</v>
      </c>
      <c r="C39" s="241">
        <f>SUM(C35:C38)</f>
        <v>195750</v>
      </c>
      <c r="D39" s="241">
        <f>SUM(D35:D38)</f>
        <v>211050</v>
      </c>
    </row>
    <row r="40" spans="1:4" ht="15.75">
      <c r="A40" s="250" t="s">
        <v>1017</v>
      </c>
      <c r="B40" s="151"/>
      <c r="C40" s="151"/>
      <c r="D40" s="151"/>
    </row>
    <row r="41" spans="1:4" ht="15.75">
      <c r="A41" s="249" t="s">
        <v>41</v>
      </c>
      <c r="B41" s="230">
        <v>162720</v>
      </c>
      <c r="C41" s="230">
        <v>161000</v>
      </c>
      <c r="D41" s="230">
        <v>167300</v>
      </c>
    </row>
    <row r="42" spans="1:4" ht="15.75">
      <c r="A42" s="249" t="s">
        <v>34</v>
      </c>
      <c r="B42" s="230">
        <v>125880</v>
      </c>
      <c r="C42" s="230">
        <v>105700</v>
      </c>
      <c r="D42" s="230">
        <v>117000</v>
      </c>
    </row>
    <row r="43" spans="1:4" ht="15.75">
      <c r="A43" s="249" t="s">
        <v>35</v>
      </c>
      <c r="B43" s="230">
        <v>44140</v>
      </c>
      <c r="C43" s="230">
        <v>35900</v>
      </c>
      <c r="D43" s="230">
        <v>36600</v>
      </c>
    </row>
    <row r="44" spans="1:4" ht="15.75">
      <c r="A44" s="249" t="s">
        <v>1013</v>
      </c>
      <c r="B44" s="230">
        <v>76440</v>
      </c>
      <c r="C44" s="230">
        <v>60300</v>
      </c>
      <c r="D44" s="230">
        <v>52800</v>
      </c>
    </row>
    <row r="45" spans="1:4" ht="15.75">
      <c r="A45" s="191" t="s">
        <v>331</v>
      </c>
      <c r="B45" s="241">
        <f>SUM(B41:B44)</f>
        <v>409180</v>
      </c>
      <c r="C45" s="241">
        <f>SUM(C41:C44)</f>
        <v>362900</v>
      </c>
      <c r="D45" s="241">
        <f>SUM(D41:D44)</f>
        <v>373700</v>
      </c>
    </row>
    <row r="46" spans="1:4" ht="15.75">
      <c r="A46" s="250" t="s">
        <v>1018</v>
      </c>
      <c r="B46" s="151"/>
      <c r="C46" s="151"/>
      <c r="D46" s="151"/>
    </row>
    <row r="47" spans="1:4" ht="15.75">
      <c r="A47" s="249" t="s">
        <v>41</v>
      </c>
      <c r="B47" s="230">
        <v>36810</v>
      </c>
      <c r="C47" s="230">
        <v>40500</v>
      </c>
      <c r="D47" s="230">
        <v>41900</v>
      </c>
    </row>
    <row r="48" spans="1:4" ht="15.75">
      <c r="A48" s="249" t="s">
        <v>34</v>
      </c>
      <c r="B48" s="230">
        <v>15290</v>
      </c>
      <c r="C48" s="230">
        <v>13100</v>
      </c>
      <c r="D48" s="230">
        <v>12600</v>
      </c>
    </row>
    <row r="49" spans="1:4" ht="15.75">
      <c r="A49" s="249" t="s">
        <v>35</v>
      </c>
      <c r="B49" s="230">
        <v>2540</v>
      </c>
      <c r="C49" s="230">
        <v>3200</v>
      </c>
      <c r="D49" s="230">
        <v>3200</v>
      </c>
    </row>
    <row r="50" spans="1:4" ht="15.75">
      <c r="A50" s="249" t="s">
        <v>36</v>
      </c>
      <c r="B50" s="230">
        <v>2670</v>
      </c>
      <c r="C50" s="230">
        <v>2000</v>
      </c>
      <c r="D50" s="230">
        <v>1100</v>
      </c>
    </row>
    <row r="51" spans="1:4" ht="15.75">
      <c r="A51" s="191" t="s">
        <v>331</v>
      </c>
      <c r="B51" s="241">
        <f>SUM(B47:B50)</f>
        <v>57310</v>
      </c>
      <c r="C51" s="241">
        <f>SUM(C47:C50)</f>
        <v>58800</v>
      </c>
      <c r="D51" s="241">
        <f>SUM(D47:D50)</f>
        <v>58800</v>
      </c>
    </row>
    <row r="52" spans="1:4" ht="15.75">
      <c r="A52" s="250" t="s">
        <v>1019</v>
      </c>
      <c r="B52" s="151"/>
      <c r="C52" s="151"/>
      <c r="D52" s="151"/>
    </row>
    <row r="53" spans="1:4" ht="15.75">
      <c r="A53" s="249" t="s">
        <v>41</v>
      </c>
      <c r="B53" s="230">
        <v>131850</v>
      </c>
      <c r="C53" s="230">
        <v>146000</v>
      </c>
      <c r="D53" s="230">
        <v>0</v>
      </c>
    </row>
    <row r="54" spans="1:4" ht="15.75">
      <c r="A54" s="249" t="s">
        <v>34</v>
      </c>
      <c r="B54" s="230">
        <v>17850</v>
      </c>
      <c r="C54" s="230">
        <v>19400</v>
      </c>
      <c r="D54" s="230">
        <v>0</v>
      </c>
    </row>
    <row r="55" spans="1:4" ht="15.75">
      <c r="A55" s="249" t="s">
        <v>35</v>
      </c>
      <c r="B55" s="230">
        <v>660</v>
      </c>
      <c r="C55" s="230">
        <v>700</v>
      </c>
      <c r="D55" s="230">
        <v>0</v>
      </c>
    </row>
    <row r="56" spans="1:4" ht="15.75">
      <c r="A56" s="249" t="s">
        <v>36</v>
      </c>
      <c r="B56" s="230">
        <v>1770</v>
      </c>
      <c r="C56" s="230">
        <v>3500</v>
      </c>
      <c r="D56" s="230">
        <v>0</v>
      </c>
    </row>
    <row r="57" spans="1:4" ht="15.75">
      <c r="A57" s="191" t="s">
        <v>331</v>
      </c>
      <c r="B57" s="241">
        <f>SUM(B53:B56)</f>
        <v>152130</v>
      </c>
      <c r="C57" s="241">
        <f>SUM(C53:C56)</f>
        <v>169600</v>
      </c>
      <c r="D57" s="241">
        <f>SUM(D53:D56)</f>
        <v>0</v>
      </c>
    </row>
    <row r="58" spans="1:4" ht="15.75">
      <c r="A58" s="22"/>
      <c r="B58" s="151"/>
      <c r="C58" s="151"/>
      <c r="D58" s="151"/>
    </row>
    <row r="59" spans="1:4" ht="16.5" thickBot="1">
      <c r="A59" s="191" t="s">
        <v>42</v>
      </c>
      <c r="B59" s="251">
        <f>B15+B21+B27+B33+B39+B45+B51+B57</f>
        <v>2226650</v>
      </c>
      <c r="C59" s="251">
        <f>C15+C21+C27+C33+C39+C45+C51+C57</f>
        <v>2246650</v>
      </c>
      <c r="D59" s="251">
        <f>D15+D21+D27+D33+D39+D45+D51+D57</f>
        <v>2235160</v>
      </c>
    </row>
    <row r="60" spans="1:4" ht="16.5" thickTop="1">
      <c r="A60" s="252" t="s">
        <v>301</v>
      </c>
      <c r="B60" s="151"/>
      <c r="C60" s="151"/>
      <c r="D60" s="151"/>
    </row>
    <row r="61" spans="1:4" ht="15.75">
      <c r="A61" s="119" t="s">
        <v>40</v>
      </c>
      <c r="B61" s="575" t="str">
        <f>CONCATENATE("",general!D59,"c")</f>
        <v>8c</v>
      </c>
      <c r="C61" s="151"/>
      <c r="D61" s="151"/>
    </row>
  </sheetData>
  <sheetProtection sheet="1"/>
  <printOptions/>
  <pageMargins left="0.5" right="0.5" top="1" bottom="0.5" header="0.5" footer="0.5"/>
  <pageSetup blackAndWhite="1" fitToHeight="1" fitToWidth="1" horizontalDpi="300" verticalDpi="300" orientation="portrait" scale="80"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dimension ref="B1:K94"/>
  <sheetViews>
    <sheetView workbookViewId="0" topLeftCell="A70">
      <selection activeCell="B80" sqref="B80"/>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6" width="8.0976562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151"/>
      <c r="D1" s="22"/>
      <c r="E1" s="185">
        <f>inputPrYr!$C$5</f>
        <v>2013</v>
      </c>
    </row>
    <row r="2" spans="2:5" ht="15.75">
      <c r="B2" s="22"/>
      <c r="C2" s="22"/>
      <c r="D2" s="22"/>
      <c r="E2" s="147"/>
    </row>
    <row r="3" spans="2:5" ht="15.75">
      <c r="B3" s="41" t="s">
        <v>89</v>
      </c>
      <c r="C3" s="41"/>
      <c r="D3" s="361"/>
      <c r="E3" s="360"/>
    </row>
    <row r="4" spans="2:5" ht="15.75">
      <c r="B4" s="29" t="s">
        <v>24</v>
      </c>
      <c r="C4" s="661" t="s">
        <v>802</v>
      </c>
      <c r="D4" s="662" t="s">
        <v>805</v>
      </c>
      <c r="E4" s="125" t="s">
        <v>806</v>
      </c>
    </row>
    <row r="5" spans="2:5" ht="15.75">
      <c r="B5" s="368" t="str">
        <f>inputPrYr!B18</f>
        <v>Debt Service</v>
      </c>
      <c r="C5" s="352" t="str">
        <f>CONCATENATE("Actual for ",E1-2,"")</f>
        <v>Actual for 2011</v>
      </c>
      <c r="D5" s="352" t="str">
        <f>CONCATENATE("Estimate for ",E1-1,"")</f>
        <v>Estimate for 2012</v>
      </c>
      <c r="E5" s="222" t="str">
        <f>CONCATENATE("Year for ",E1,"")</f>
        <v>Year for 2013</v>
      </c>
    </row>
    <row r="6" spans="2:5" ht="15.75">
      <c r="B6" s="131" t="s">
        <v>144</v>
      </c>
      <c r="C6" s="596">
        <v>61800</v>
      </c>
      <c r="D6" s="351">
        <f>C34</f>
        <v>0</v>
      </c>
      <c r="E6" s="193">
        <f>D34</f>
        <v>0</v>
      </c>
    </row>
    <row r="7" spans="2:5" ht="15.75">
      <c r="B7" s="131" t="s">
        <v>146</v>
      </c>
      <c r="C7" s="351"/>
      <c r="D7" s="351"/>
      <c r="E7" s="193"/>
    </row>
    <row r="8" spans="2:5" ht="15.75">
      <c r="B8" s="131" t="s">
        <v>25</v>
      </c>
      <c r="C8" s="582">
        <v>518970</v>
      </c>
      <c r="D8" s="351">
        <f>IF(inputPrYr!H16&gt;0,inputPrYr!G18,inputPrYr!E18)</f>
        <v>735240</v>
      </c>
      <c r="E8" s="254" t="s">
        <v>13</v>
      </c>
    </row>
    <row r="9" spans="2:5" ht="15.75">
      <c r="B9" s="131" t="s">
        <v>26</v>
      </c>
      <c r="C9" s="582">
        <v>0</v>
      </c>
      <c r="D9" s="224">
        <v>6000</v>
      </c>
      <c r="E9" s="50">
        <v>9000</v>
      </c>
    </row>
    <row r="10" spans="2:5" ht="15.75">
      <c r="B10" s="131" t="s">
        <v>27</v>
      </c>
      <c r="C10" s="582">
        <v>65530</v>
      </c>
      <c r="D10" s="224">
        <v>60000</v>
      </c>
      <c r="E10" s="193">
        <f>mvalloc!D8</f>
        <v>100473</v>
      </c>
    </row>
    <row r="11" spans="2:5" ht="15.75">
      <c r="B11" s="131" t="s">
        <v>28</v>
      </c>
      <c r="C11" s="582">
        <v>1290</v>
      </c>
      <c r="D11" s="224">
        <v>1200</v>
      </c>
      <c r="E11" s="193">
        <f>mvalloc!E8</f>
        <v>1994</v>
      </c>
    </row>
    <row r="12" spans="2:5" ht="15.75">
      <c r="B12" s="240" t="s">
        <v>121</v>
      </c>
      <c r="C12" s="582">
        <v>60</v>
      </c>
      <c r="D12" s="224">
        <v>900</v>
      </c>
      <c r="E12" s="193">
        <f>mvalloc!F8</f>
        <v>1595</v>
      </c>
    </row>
    <row r="13" spans="2:5" ht="15.75">
      <c r="B13" s="231" t="s">
        <v>1021</v>
      </c>
      <c r="C13" s="582">
        <v>792020</v>
      </c>
      <c r="D13" s="224">
        <v>800000</v>
      </c>
      <c r="E13" s="50">
        <v>780000</v>
      </c>
    </row>
    <row r="14" spans="2:5" ht="15.75">
      <c r="B14" s="231" t="s">
        <v>1022</v>
      </c>
      <c r="C14" s="582">
        <v>7200</v>
      </c>
      <c r="D14" s="224">
        <v>0</v>
      </c>
      <c r="E14" s="50">
        <v>0</v>
      </c>
    </row>
    <row r="15" spans="2:5" ht="15.75">
      <c r="B15" s="231" t="s">
        <v>1023</v>
      </c>
      <c r="C15" s="582">
        <v>357500</v>
      </c>
      <c r="D15" s="224">
        <v>210500</v>
      </c>
      <c r="E15" s="50">
        <v>490900</v>
      </c>
    </row>
    <row r="16" spans="2:5" ht="15.75">
      <c r="B16" s="267" t="s">
        <v>29</v>
      </c>
      <c r="C16" s="582">
        <v>930</v>
      </c>
      <c r="D16" s="224">
        <v>2500</v>
      </c>
      <c r="E16" s="50">
        <v>1000</v>
      </c>
    </row>
    <row r="17" spans="2:5" ht="15.75">
      <c r="B17" s="267"/>
      <c r="C17" s="582"/>
      <c r="D17" s="224"/>
      <c r="E17" s="50"/>
    </row>
    <row r="18" spans="2:5" ht="15.75">
      <c r="B18" s="131" t="s">
        <v>267</v>
      </c>
      <c r="C18" s="582">
        <v>0</v>
      </c>
      <c r="D18" s="224">
        <v>0</v>
      </c>
      <c r="E18" s="50">
        <v>0</v>
      </c>
    </row>
    <row r="19" spans="2:5" ht="15.75">
      <c r="B19" s="131" t="s">
        <v>785</v>
      </c>
      <c r="C19" s="353">
        <f>IF(C20*0.1&lt;C18,"Exceed 10% Rule","")</f>
      </c>
      <c r="D19" s="370">
        <f>IF(D20*0.1&lt;D18,"Exceed 10% Rule","")</f>
      </c>
      <c r="E19" s="255">
        <f>IF(E21*0.01+E40&lt;E18,"Exceed 10% Rule","")</f>
      </c>
    </row>
    <row r="20" spans="2:5" ht="15.75">
      <c r="B20" s="233" t="s">
        <v>30</v>
      </c>
      <c r="C20" s="354">
        <f>SUM(C8:C18)</f>
        <v>1743500</v>
      </c>
      <c r="D20" s="354">
        <f>SUM(D8:D18)</f>
        <v>1816340</v>
      </c>
      <c r="E20" s="259">
        <f>SUM(E8:E18)</f>
        <v>1384962</v>
      </c>
    </row>
    <row r="21" spans="2:5" ht="15.75">
      <c r="B21" s="233" t="s">
        <v>31</v>
      </c>
      <c r="C21" s="354">
        <f>C6+C20</f>
        <v>1805300</v>
      </c>
      <c r="D21" s="354">
        <f>D6+D20</f>
        <v>1816340</v>
      </c>
      <c r="E21" s="259">
        <f>E6+E20</f>
        <v>1384962</v>
      </c>
    </row>
    <row r="22" spans="2:5" ht="15.75">
      <c r="B22" s="131" t="s">
        <v>33</v>
      </c>
      <c r="C22" s="131"/>
      <c r="D22" s="351"/>
      <c r="E22" s="193"/>
    </row>
    <row r="23" spans="2:5" ht="15.75">
      <c r="B23" s="231" t="s">
        <v>1024</v>
      </c>
      <c r="C23" s="365">
        <v>0</v>
      </c>
      <c r="D23" s="224">
        <v>5000</v>
      </c>
      <c r="E23" s="50">
        <v>10000</v>
      </c>
    </row>
    <row r="24" spans="2:10" ht="15.75">
      <c r="B24" s="231" t="s">
        <v>1025</v>
      </c>
      <c r="C24" s="365">
        <v>1150000</v>
      </c>
      <c r="D24" s="224">
        <v>1205000</v>
      </c>
      <c r="E24" s="50">
        <v>1355000</v>
      </c>
      <c r="G24" s="836" t="str">
        <f>CONCATENATE("Desired Carryover Into ",E1+1,"")</f>
        <v>Desired Carryover Into 2014</v>
      </c>
      <c r="H24" s="825"/>
      <c r="I24" s="825"/>
      <c r="J24" s="826"/>
    </row>
    <row r="25" spans="2:10" ht="15.75">
      <c r="B25" s="231" t="s">
        <v>1026</v>
      </c>
      <c r="C25" s="365">
        <v>614090</v>
      </c>
      <c r="D25" s="224">
        <v>491700</v>
      </c>
      <c r="E25" s="50">
        <v>624545</v>
      </c>
      <c r="G25" s="583"/>
      <c r="H25" s="578"/>
      <c r="I25" s="580"/>
      <c r="J25" s="584"/>
    </row>
    <row r="26" spans="2:10" ht="15.75">
      <c r="B26" s="231" t="s">
        <v>1027</v>
      </c>
      <c r="C26" s="365">
        <v>0</v>
      </c>
      <c r="D26" s="224">
        <v>114640</v>
      </c>
      <c r="E26" s="50">
        <v>75000</v>
      </c>
      <c r="G26" s="581" t="s">
        <v>633</v>
      </c>
      <c r="H26" s="580"/>
      <c r="I26" s="580"/>
      <c r="J26" s="579">
        <v>0</v>
      </c>
    </row>
    <row r="27" spans="2:10" ht="15.75">
      <c r="B27" s="231"/>
      <c r="C27" s="365"/>
      <c r="D27" s="224"/>
      <c r="E27" s="50"/>
      <c r="G27" s="583" t="s">
        <v>634</v>
      </c>
      <c r="H27" s="578"/>
      <c r="I27" s="578"/>
      <c r="J27" s="597">
        <f>IF(J26=0,"",ROUND((J26+E40-G39)/inputOth!E7*1000,3)-G44)</f>
      </c>
    </row>
    <row r="28" spans="2:10" ht="15.75">
      <c r="B28" s="231"/>
      <c r="C28" s="365"/>
      <c r="D28" s="224"/>
      <c r="E28" s="50"/>
      <c r="G28" s="588" t="str">
        <f>CONCATENATE("",E1," Tot Exp/Non-Appr Must Be:")</f>
        <v>2013 Tot Exp/Non-Appr Must Be:</v>
      </c>
      <c r="H28" s="586"/>
      <c r="I28" s="587"/>
      <c r="J28" s="585">
        <f>IF(J26&gt;0,IF(E37&lt;E21,IF(J26=G39,E37,((J26-G39)*(1-D39))+E21),E37+(J26-G39)),0)</f>
        <v>0</v>
      </c>
    </row>
    <row r="29" spans="2:10" ht="15.75">
      <c r="B29" s="231"/>
      <c r="C29" s="365"/>
      <c r="D29" s="224"/>
      <c r="E29" s="50"/>
      <c r="G29" s="592" t="s">
        <v>807</v>
      </c>
      <c r="H29" s="593"/>
      <c r="I29" s="593"/>
      <c r="J29" s="589">
        <f>IF(J26&gt;0,J28-E37,0)</f>
        <v>0</v>
      </c>
    </row>
    <row r="30" spans="2:5" ht="15.75">
      <c r="B30" s="363" t="s">
        <v>268</v>
      </c>
      <c r="C30" s="365">
        <v>0</v>
      </c>
      <c r="D30" s="224">
        <v>0</v>
      </c>
      <c r="E30" s="193">
        <f>nhood!E7</f>
      </c>
    </row>
    <row r="31" spans="2:10" ht="15.75">
      <c r="B31" s="363" t="s">
        <v>267</v>
      </c>
      <c r="C31" s="365">
        <v>41210</v>
      </c>
      <c r="D31" s="224">
        <v>0</v>
      </c>
      <c r="E31" s="50">
        <v>0</v>
      </c>
      <c r="G31" s="832" t="str">
        <f>CONCATENATE("Projected Carryover Into ",E1+1,"")</f>
        <v>Projected Carryover Into 2014</v>
      </c>
      <c r="H31" s="833"/>
      <c r="I31" s="833"/>
      <c r="J31" s="826"/>
    </row>
    <row r="32" spans="2:10" ht="15.75">
      <c r="B32" s="363" t="s">
        <v>629</v>
      </c>
      <c r="C32" s="364">
        <f>IF(C33*0.1&lt;C31,"Exceed 10% Rule","")</f>
      </c>
      <c r="D32" s="371">
        <f>IF(D33*0.1&lt;D31,"Exceed 10% Rule","")</f>
      </c>
      <c r="E32" s="362">
        <f>IF(E33*0.1&lt;E31,"Exceed 10% Rule","")</f>
      </c>
      <c r="G32" s="478"/>
      <c r="H32" s="477"/>
      <c r="I32" s="477"/>
      <c r="J32" s="576"/>
    </row>
    <row r="33" spans="2:10" ht="15.75">
      <c r="B33" s="233" t="s">
        <v>37</v>
      </c>
      <c r="C33" s="366">
        <f>SUM(C23:C31)</f>
        <v>1805300</v>
      </c>
      <c r="D33" s="366">
        <f>SUM(D23:D31)</f>
        <v>1816340</v>
      </c>
      <c r="E33" s="234">
        <f>SUM(E23:E31)</f>
        <v>2064545</v>
      </c>
      <c r="G33" s="482">
        <f>D34</f>
        <v>0</v>
      </c>
      <c r="H33" s="483" t="str">
        <f>CONCATENATE("",E1-1," Ending Cash Balance (est.)")</f>
        <v>2012 Ending Cash Balance (est.)</v>
      </c>
      <c r="I33" s="479"/>
      <c r="J33" s="576"/>
    </row>
    <row r="34" spans="2:10" ht="15.75">
      <c r="B34" s="131" t="s">
        <v>145</v>
      </c>
      <c r="C34" s="367">
        <f>C21-C33</f>
        <v>0</v>
      </c>
      <c r="D34" s="367">
        <f>D21-D33</f>
        <v>0</v>
      </c>
      <c r="E34" s="254" t="s">
        <v>13</v>
      </c>
      <c r="G34" s="482">
        <f>E20</f>
        <v>1384962</v>
      </c>
      <c r="H34" s="484" t="str">
        <f>CONCATENATE("",E1," Non-AV Receipts (est.)")</f>
        <v>2013 Non-AV Receipts (est.)</v>
      </c>
      <c r="I34" s="477"/>
      <c r="J34" s="576"/>
    </row>
    <row r="35" spans="2:11" ht="15.75">
      <c r="B35" s="119" t="str">
        <f>CONCATENATE("",E1-2,"/",E1-1," Budget Authority Amount:")</f>
        <v>2011/2012 Budget Authority Amount:</v>
      </c>
      <c r="C35" s="183">
        <f>inputOth!B62</f>
        <v>1871700</v>
      </c>
      <c r="D35" s="242">
        <f>inputPrYr!D18</f>
        <v>1831600</v>
      </c>
      <c r="E35" s="254" t="s">
        <v>13</v>
      </c>
      <c r="F35" s="243"/>
      <c r="G35" s="485">
        <f>IF(E39&gt;0,E38,E40)</f>
        <v>679583</v>
      </c>
      <c r="H35" s="484" t="str">
        <f>CONCATENATE("",E1," Ad Valorem Tax (est.)")</f>
        <v>2013 Ad Valorem Tax (est.)</v>
      </c>
      <c r="I35" s="477"/>
      <c r="J35" s="576"/>
      <c r="K35" s="595" t="str">
        <f>IF(G35=E40,"","Note: Does not include Delinquent Taxes")</f>
        <v>Note: Does not include Delinquent Taxes</v>
      </c>
    </row>
    <row r="36" spans="2:10" ht="15.75">
      <c r="B36" s="119"/>
      <c r="C36" s="818" t="s">
        <v>625</v>
      </c>
      <c r="D36" s="819"/>
      <c r="E36" s="50">
        <v>0</v>
      </c>
      <c r="F36" s="388">
        <f>IF(E33/0.95-E33&lt;E36,"Exceeds 5%","")</f>
      </c>
      <c r="G36" s="482">
        <f>SUM(G33:G35)</f>
        <v>2064545</v>
      </c>
      <c r="H36" s="484" t="str">
        <f>CONCATENATE("Total ",E1," Resources Available")</f>
        <v>Total 2013 Resources Available</v>
      </c>
      <c r="I36" s="479"/>
      <c r="J36" s="576"/>
    </row>
    <row r="37" spans="2:10" ht="15.75">
      <c r="B37" s="372" t="str">
        <f>CONCATENATE(C90,"     ",D90)</f>
        <v>     </v>
      </c>
      <c r="C37" s="820" t="s">
        <v>626</v>
      </c>
      <c r="D37" s="821"/>
      <c r="E37" s="193">
        <f>E33+E36</f>
        <v>2064545</v>
      </c>
      <c r="G37" s="486"/>
      <c r="H37" s="484"/>
      <c r="I37" s="477"/>
      <c r="J37" s="576"/>
    </row>
    <row r="38" spans="2:10" ht="15.75">
      <c r="B38" s="372" t="str">
        <f>CONCATENATE(C91,"     ",D91)</f>
        <v>     </v>
      </c>
      <c r="C38" s="244"/>
      <c r="D38" s="147" t="s">
        <v>38</v>
      </c>
      <c r="E38" s="57">
        <f>IF(E37-E21&gt;0,E37-E21,0)</f>
        <v>679583</v>
      </c>
      <c r="G38" s="485">
        <f>C33</f>
        <v>1805300</v>
      </c>
      <c r="H38" s="484" t="str">
        <f>CONCATENATE("Less ",E1-2," Expenditures")</f>
        <v>Less 2011 Expenditures</v>
      </c>
      <c r="I38" s="477"/>
      <c r="J38" s="576"/>
    </row>
    <row r="39" spans="2:10" ht="15.75">
      <c r="B39" s="147"/>
      <c r="C39" s="358" t="s">
        <v>627</v>
      </c>
      <c r="D39" s="594">
        <f>inputOth!E47</f>
        <v>0.03</v>
      </c>
      <c r="E39" s="193">
        <f>ROUND(IF(D39&gt;0,(E38*D39),0),0)</f>
        <v>20387</v>
      </c>
      <c r="G39" s="416">
        <f>SUM(G36-G38)</f>
        <v>259245</v>
      </c>
      <c r="H39" s="417" t="str">
        <f>CONCATENATE("Projected ",E1+1," carryover (est.)")</f>
        <v>Projected 2014 carryover (est.)</v>
      </c>
      <c r="I39" s="480"/>
      <c r="J39" s="574"/>
    </row>
    <row r="40" spans="2:5" ht="16.5" thickBot="1">
      <c r="B40" s="22"/>
      <c r="C40" s="830" t="str">
        <f>CONCATENATE("Amount of  ",E1-1," Ad Valorem Tax")</f>
        <v>Amount of  2012 Ad Valorem Tax</v>
      </c>
      <c r="D40" s="831"/>
      <c r="E40" s="260">
        <f>E38+E39</f>
        <v>699970</v>
      </c>
    </row>
    <row r="41" spans="2:10" ht="16.5" thickTop="1">
      <c r="B41" s="22"/>
      <c r="C41" s="830"/>
      <c r="D41" s="830"/>
      <c r="E41" s="359"/>
      <c r="G41" s="827" t="s">
        <v>863</v>
      </c>
      <c r="H41" s="828"/>
      <c r="I41" s="828"/>
      <c r="J41" s="829"/>
    </row>
    <row r="42" spans="2:10" ht="15.75">
      <c r="B42" s="22"/>
      <c r="C42" s="359"/>
      <c r="D42" s="359"/>
      <c r="E42" s="359"/>
      <c r="G42" s="735"/>
      <c r="H42" s="694"/>
      <c r="I42" s="723"/>
      <c r="J42" s="724"/>
    </row>
    <row r="43" spans="2:10" ht="15.75">
      <c r="B43" s="29"/>
      <c r="C43" s="29"/>
      <c r="D43" s="361"/>
      <c r="E43" s="361"/>
      <c r="G43" s="737">
        <f>summ!H17</f>
        <v>16.248</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f>summ!E17</f>
        <v>17.151</v>
      </c>
      <c r="H44" s="694" t="str">
        <f>CONCATENATE("",E1-1," Fund Mill Rate")</f>
        <v>2012 Fund Mill Rate</v>
      </c>
      <c r="I44" s="723"/>
      <c r="J44" s="724"/>
    </row>
    <row r="45" spans="2:10" ht="15.75">
      <c r="B45" s="369" t="str">
        <f>inputPrYr!B19</f>
        <v>Library</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131" t="s">
        <v>144</v>
      </c>
      <c r="C46" s="365">
        <v>0</v>
      </c>
      <c r="D46" s="351">
        <f>C74</f>
        <v>0</v>
      </c>
      <c r="E46" s="193">
        <f>D74</f>
        <v>15181</v>
      </c>
      <c r="G46" s="736">
        <f>summ!E43</f>
        <v>51.172</v>
      </c>
      <c r="H46" s="719" t="str">
        <f>CONCATENATE("Total ",E1-1," Mill Rate")</f>
        <v>Total 2012 Mill Rate</v>
      </c>
      <c r="I46" s="720"/>
      <c r="J46" s="721"/>
    </row>
    <row r="47" spans="2:5" ht="15.75">
      <c r="B47" s="142" t="s">
        <v>146</v>
      </c>
      <c r="C47" s="131"/>
      <c r="D47" s="351"/>
      <c r="E47" s="193"/>
    </row>
    <row r="48" spans="2:5" ht="15.75">
      <c r="B48" s="131" t="s">
        <v>25</v>
      </c>
      <c r="C48" s="365">
        <v>195170</v>
      </c>
      <c r="D48" s="351">
        <f>IF(inputPrYr!H16&gt;0,inputPrYr!G19,inputPrYr!E19)</f>
        <v>192771</v>
      </c>
      <c r="E48" s="254" t="s">
        <v>13</v>
      </c>
    </row>
    <row r="49" spans="2:5" ht="15.75">
      <c r="B49" s="131" t="s">
        <v>26</v>
      </c>
      <c r="C49" s="365">
        <v>0</v>
      </c>
      <c r="D49" s="224">
        <v>2800</v>
      </c>
      <c r="E49" s="50">
        <v>1000</v>
      </c>
    </row>
    <row r="50" spans="2:5" ht="15.75">
      <c r="B50" s="131" t="s">
        <v>27</v>
      </c>
      <c r="C50" s="365">
        <v>26910</v>
      </c>
      <c r="D50" s="224">
        <v>27410</v>
      </c>
      <c r="E50" s="193">
        <f>mvalloc!D9</f>
        <v>26343</v>
      </c>
    </row>
    <row r="51" spans="2:5" ht="15.75">
      <c r="B51" s="131" t="s">
        <v>28</v>
      </c>
      <c r="C51" s="365">
        <v>520</v>
      </c>
      <c r="D51" s="224">
        <v>500</v>
      </c>
      <c r="E51" s="193">
        <f>mvalloc!E9</f>
        <v>523</v>
      </c>
    </row>
    <row r="52" spans="2:5" ht="15.75">
      <c r="B52" s="240" t="s">
        <v>121</v>
      </c>
      <c r="C52" s="365">
        <v>40</v>
      </c>
      <c r="D52" s="224">
        <v>300</v>
      </c>
      <c r="E52" s="193">
        <f>mvalloc!F9</f>
        <v>418</v>
      </c>
    </row>
    <row r="53" spans="2:5" ht="15.75">
      <c r="B53" s="50"/>
      <c r="C53" s="365"/>
      <c r="D53" s="224"/>
      <c r="E53" s="50"/>
    </row>
    <row r="54" spans="2:5" ht="15.75">
      <c r="B54" s="224"/>
      <c r="C54" s="365"/>
      <c r="D54" s="224"/>
      <c r="E54" s="50"/>
    </row>
    <row r="55" spans="2:5" ht="15.75">
      <c r="B55" s="231"/>
      <c r="C55" s="365"/>
      <c r="D55" s="224"/>
      <c r="E55" s="50"/>
    </row>
    <row r="56" spans="2:5" ht="15.75">
      <c r="B56" s="231"/>
      <c r="C56" s="365"/>
      <c r="D56" s="224"/>
      <c r="E56" s="50"/>
    </row>
    <row r="57" spans="2:5" ht="15.75">
      <c r="B57" s="267" t="s">
        <v>29</v>
      </c>
      <c r="C57" s="365">
        <v>0</v>
      </c>
      <c r="D57" s="224">
        <v>0</v>
      </c>
      <c r="E57" s="50">
        <v>0</v>
      </c>
    </row>
    <row r="58" spans="2:5" ht="15.75">
      <c r="B58" s="131" t="s">
        <v>267</v>
      </c>
      <c r="C58" s="365">
        <v>0</v>
      </c>
      <c r="D58" s="224">
        <v>15000</v>
      </c>
      <c r="E58" s="50">
        <v>0</v>
      </c>
    </row>
    <row r="59" spans="2:5" ht="15.75">
      <c r="B59" s="131" t="s">
        <v>785</v>
      </c>
      <c r="C59" s="353">
        <f>IF(C60*0.1&lt;C58,"Exceed 10% Rule","")</f>
      </c>
      <c r="D59" s="370">
        <f>IF(D60*0.1&lt;D58,"Exceed 10% Rule","")</f>
      </c>
      <c r="E59" s="255">
        <f>IF(E61*0.01+E80&lt;E58,"Exceed 10% Rule","")</f>
      </c>
    </row>
    <row r="60" spans="2:5" ht="15.75">
      <c r="B60" s="233" t="s">
        <v>30</v>
      </c>
      <c r="C60" s="366">
        <f>SUM(C48:C58)</f>
        <v>222640</v>
      </c>
      <c r="D60" s="366">
        <f>SUM(D48:D58)</f>
        <v>238781</v>
      </c>
      <c r="E60" s="234">
        <f>SUM(E48:E58)</f>
        <v>28284</v>
      </c>
    </row>
    <row r="61" spans="2:5" ht="15.75">
      <c r="B61" s="233" t="s">
        <v>31</v>
      </c>
      <c r="C61" s="366">
        <f>C46+C60</f>
        <v>222640</v>
      </c>
      <c r="D61" s="366">
        <f>D46+D60</f>
        <v>238781</v>
      </c>
      <c r="E61" s="234">
        <f>E46+E60</f>
        <v>43465</v>
      </c>
    </row>
    <row r="62" spans="2:5" ht="15.75">
      <c r="B62" s="131" t="s">
        <v>33</v>
      </c>
      <c r="C62" s="131"/>
      <c r="D62" s="351"/>
      <c r="E62" s="193"/>
    </row>
    <row r="63" spans="2:5" ht="15.75">
      <c r="B63" s="231" t="s">
        <v>1020</v>
      </c>
      <c r="C63" s="365">
        <v>222640</v>
      </c>
      <c r="D63" s="224">
        <v>223600</v>
      </c>
      <c r="E63" s="50">
        <v>231700</v>
      </c>
    </row>
    <row r="64" spans="2:10" ht="15.75">
      <c r="B64" s="231"/>
      <c r="C64" s="365"/>
      <c r="D64" s="224"/>
      <c r="E64" s="50"/>
      <c r="G64" s="834" t="str">
        <f>CONCATENATE("Desired Carryover Into ",E1+1,"")</f>
        <v>Desired Carryover Into 2014</v>
      </c>
      <c r="H64" s="837"/>
      <c r="I64" s="837"/>
      <c r="J64" s="838"/>
    </row>
    <row r="65" spans="2:10" ht="15.75">
      <c r="B65" s="231"/>
      <c r="C65" s="365"/>
      <c r="D65" s="224"/>
      <c r="E65" s="50"/>
      <c r="G65" s="602"/>
      <c r="H65" s="598"/>
      <c r="I65" s="600"/>
      <c r="J65" s="603"/>
    </row>
    <row r="66" spans="2:10" ht="15.75">
      <c r="B66" s="231"/>
      <c r="C66" s="365"/>
      <c r="D66" s="224"/>
      <c r="E66" s="50"/>
      <c r="G66" s="601" t="s">
        <v>633</v>
      </c>
      <c r="H66" s="600"/>
      <c r="I66" s="600"/>
      <c r="J66" s="599">
        <v>0</v>
      </c>
    </row>
    <row r="67" spans="2:10" ht="15.75">
      <c r="B67" s="231"/>
      <c r="C67" s="365"/>
      <c r="D67" s="224"/>
      <c r="E67" s="50"/>
      <c r="G67" s="602" t="s">
        <v>634</v>
      </c>
      <c r="H67" s="598"/>
      <c r="I67" s="598"/>
      <c r="J67" s="610">
        <f>IF(J66=0,"",ROUND((J66+E80-G79)/inputOth!E7*1000,3)-G84)</f>
      </c>
    </row>
    <row r="68" spans="2:10" ht="15.75">
      <c r="B68" s="231"/>
      <c r="C68" s="365"/>
      <c r="D68" s="224"/>
      <c r="E68" s="50"/>
      <c r="G68" s="607" t="str">
        <f>CONCATENATE("",E1," Tot Exp/Non-Appr Must Be:")</f>
        <v>2013 Tot Exp/Non-Appr Must Be:</v>
      </c>
      <c r="H68" s="605"/>
      <c r="I68" s="606"/>
      <c r="J68" s="604">
        <f>IF(J66&gt;0,IF(E77&lt;E61,IF(J66=G79,E77,((J66-G79)*(1-D79))+E61),E77+(J66-G79)),0)</f>
        <v>0</v>
      </c>
    </row>
    <row r="69" spans="2:10" ht="15.75">
      <c r="B69" s="231"/>
      <c r="C69" s="365"/>
      <c r="D69" s="224"/>
      <c r="E69" s="50"/>
      <c r="G69" s="609" t="s">
        <v>807</v>
      </c>
      <c r="H69" s="611"/>
      <c r="I69" s="611"/>
      <c r="J69" s="608">
        <f>IF(J66&gt;0,J68-E77,0)</f>
        <v>0</v>
      </c>
    </row>
    <row r="70" spans="2:5" ht="15.75">
      <c r="B70" s="240" t="s">
        <v>268</v>
      </c>
      <c r="C70" s="365">
        <v>0</v>
      </c>
      <c r="D70" s="224">
        <v>0</v>
      </c>
      <c r="E70" s="193">
        <f>nhood!E8</f>
      </c>
    </row>
    <row r="71" spans="2:10" ht="15.75">
      <c r="B71" s="240" t="s">
        <v>267</v>
      </c>
      <c r="C71" s="365">
        <v>0</v>
      </c>
      <c r="D71" s="224">
        <v>0</v>
      </c>
      <c r="E71" s="50">
        <v>0</v>
      </c>
      <c r="G71" s="834" t="str">
        <f>CONCATENATE("Projected Carryover Into ",E1+1,"")</f>
        <v>Projected Carryover Into 2014</v>
      </c>
      <c r="H71" s="835"/>
      <c r="I71" s="835"/>
      <c r="J71" s="826"/>
    </row>
    <row r="72" spans="2:10" ht="15.75">
      <c r="B72" s="240" t="s">
        <v>628</v>
      </c>
      <c r="C72" s="353">
        <f>IF(C73*0.1&lt;C71,"Exceed 10% Rule","")</f>
      </c>
      <c r="D72" s="370">
        <f>IF(D73*0.1&lt;D71,"Exceed 10% Rule","")</f>
      </c>
      <c r="E72" s="255">
        <f>IF(E73*0.1&lt;E71,"Exceed 10% Rule","")</f>
      </c>
      <c r="G72" s="613"/>
      <c r="H72" s="612"/>
      <c r="I72" s="612"/>
      <c r="J72" s="729"/>
    </row>
    <row r="73" spans="2:10" ht="15.75">
      <c r="B73" s="233" t="s">
        <v>37</v>
      </c>
      <c r="C73" s="366">
        <f>SUM(C63:C71)</f>
        <v>222640</v>
      </c>
      <c r="D73" s="366">
        <f>SUM(D63:D71)</f>
        <v>223600</v>
      </c>
      <c r="E73" s="234">
        <f>SUM(E63:E71)</f>
        <v>231700</v>
      </c>
      <c r="G73" s="615">
        <f>D74</f>
        <v>15181</v>
      </c>
      <c r="H73" s="616" t="str">
        <f>CONCATENATE("",E1-1," Ending Cash Balance (est.)")</f>
        <v>2012 Ending Cash Balance (est.)</v>
      </c>
      <c r="I73" s="617"/>
      <c r="J73" s="729"/>
    </row>
    <row r="74" spans="2:10" ht="15.75">
      <c r="B74" s="131" t="s">
        <v>145</v>
      </c>
      <c r="C74" s="367">
        <f>C61-C73</f>
        <v>0</v>
      </c>
      <c r="D74" s="367">
        <f>D61-D73</f>
        <v>15181</v>
      </c>
      <c r="E74" s="254" t="s">
        <v>13</v>
      </c>
      <c r="G74" s="615">
        <f>E60</f>
        <v>28284</v>
      </c>
      <c r="H74" s="618" t="str">
        <f>CONCATENATE("",E1," Non-AV Receipts (est.)")</f>
        <v>2013 Non-AV Receipts (est.)</v>
      </c>
      <c r="I74" s="617"/>
      <c r="J74" s="729"/>
    </row>
    <row r="75" spans="2:11" ht="15.75">
      <c r="B75" s="119" t="str">
        <f>CONCATENATE("",E1-2,"/",E1-1," Budget Authority Amount:")</f>
        <v>2011/2012 Budget Authority Amount:</v>
      </c>
      <c r="C75" s="183">
        <f>inputOth!B63</f>
        <v>237790</v>
      </c>
      <c r="D75" s="183">
        <f>inputPrYr!D19</f>
        <v>229300</v>
      </c>
      <c r="E75" s="254" t="s">
        <v>13</v>
      </c>
      <c r="F75" s="243"/>
      <c r="G75" s="619">
        <f>IF(E79&gt;0,E78,E80)</f>
        <v>188235</v>
      </c>
      <c r="H75" s="618" t="str">
        <f>CONCATENATE("",E1," Ad Valorem Tax (est.)")</f>
        <v>2013 Ad Valorem Tax (est.)</v>
      </c>
      <c r="I75" s="617"/>
      <c r="J75" s="729"/>
      <c r="K75" s="595" t="str">
        <f>IF(G75=E80,"","Note: Does not include Delinquent Taxes")</f>
        <v>Note: Does not include Delinquent Taxes</v>
      </c>
    </row>
    <row r="76" spans="2:10" ht="15.75">
      <c r="B76" s="119"/>
      <c r="C76" s="818" t="s">
        <v>625</v>
      </c>
      <c r="D76" s="819"/>
      <c r="E76" s="50">
        <v>0</v>
      </c>
      <c r="F76" s="753">
        <f>IF(E73/0.95-E73&lt;E76,"Exceeds 5%","")</f>
      </c>
      <c r="G76" s="621">
        <f>SUM(G73:G75)</f>
        <v>231700</v>
      </c>
      <c r="H76" s="618" t="str">
        <f>CONCATENATE("Total ",E1," Resources Available")</f>
        <v>Total 2013 Resources Available</v>
      </c>
      <c r="I76" s="614"/>
      <c r="J76" s="729"/>
    </row>
    <row r="77" spans="2:10" ht="15.75">
      <c r="B77" s="372" t="str">
        <f>CONCATENATE(C93,"     ",D93)</f>
        <v>     </v>
      </c>
      <c r="C77" s="820" t="s">
        <v>626</v>
      </c>
      <c r="D77" s="821"/>
      <c r="E77" s="193">
        <f>E73+E76</f>
        <v>231700</v>
      </c>
      <c r="G77" s="624"/>
      <c r="H77" s="622"/>
      <c r="I77" s="612"/>
      <c r="J77" s="729"/>
    </row>
    <row r="78" spans="2:10" ht="15.75">
      <c r="B78" s="372" t="str">
        <f>CONCATENATE(C94,"     ",D94)</f>
        <v>     </v>
      </c>
      <c r="C78" s="244"/>
      <c r="D78" s="147" t="s">
        <v>38</v>
      </c>
      <c r="E78" s="57">
        <f>IF(E77-E61&gt;0,E77-E61,0)</f>
        <v>188235</v>
      </c>
      <c r="G78" s="623">
        <f>ROUND(C73*0.05+C73,0)</f>
        <v>233772</v>
      </c>
      <c r="H78" s="622" t="str">
        <f>CONCATENATE("Less ",E1-2," Expenditures + 5%")</f>
        <v>Less 2011 Expenditures + 5%</v>
      </c>
      <c r="I78" s="614"/>
      <c r="J78" s="729"/>
    </row>
    <row r="79" spans="2:10" ht="15.75">
      <c r="B79" s="147"/>
      <c r="C79" s="358" t="s">
        <v>627</v>
      </c>
      <c r="D79" s="594">
        <f>inputOth!E47</f>
        <v>0.03</v>
      </c>
      <c r="E79" s="193">
        <f>ROUND(IF(D79&gt;0,(E78*D79),0),0)</f>
        <v>5647</v>
      </c>
      <c r="G79" s="625">
        <f>G76-G78</f>
        <v>-2072</v>
      </c>
      <c r="H79" s="626" t="str">
        <f>CONCATENATE("Projected ",E1+1," carryover (est.)")</f>
        <v>Projected 2014 carryover (est.)</v>
      </c>
      <c r="I79" s="620"/>
      <c r="J79" s="574"/>
    </row>
    <row r="80" spans="2:6" ht="16.5" thickBot="1">
      <c r="B80" s="22"/>
      <c r="C80" s="830" t="str">
        <f>CONCATENATE("Amount of  ",E1-1," Ad Valorem Tax")</f>
        <v>Amount of  2012 Ad Valorem Tax</v>
      </c>
      <c r="D80" s="831"/>
      <c r="E80" s="260">
        <f>E78+E79</f>
        <v>193882</v>
      </c>
      <c r="F80" s="577" t="str">
        <f>IF('Library Grant '!F33="","",IF('Library Grant '!F33="Qualify","Qualifies for State Library Grant","See 'Library Grant' tab"))</f>
        <v>Qualifies for State Library Grant</v>
      </c>
    </row>
    <row r="81" spans="2:10" ht="16.5" thickTop="1">
      <c r="B81" s="22"/>
      <c r="C81" s="830"/>
      <c r="D81" s="830"/>
      <c r="E81" s="22"/>
      <c r="G81" s="827" t="s">
        <v>863</v>
      </c>
      <c r="H81" s="828"/>
      <c r="I81" s="828"/>
      <c r="J81" s="829"/>
    </row>
    <row r="82" spans="2:10" ht="15.75">
      <c r="B82" s="22"/>
      <c r="C82" s="359"/>
      <c r="D82" s="147"/>
      <c r="E82" s="147"/>
      <c r="G82" s="735"/>
      <c r="H82" s="694"/>
      <c r="I82" s="723"/>
      <c r="J82" s="724"/>
    </row>
    <row r="83" spans="2:10" ht="15.75">
      <c r="B83" s="119" t="s">
        <v>40</v>
      </c>
      <c r="C83" s="253">
        <v>9</v>
      </c>
      <c r="D83" s="78"/>
      <c r="E83" s="22"/>
      <c r="G83" s="737">
        <f>summ!H18</f>
        <v>4.5</v>
      </c>
      <c r="H83" s="694" t="str">
        <f>CONCATENATE("",E1," Fund Mill Rate")</f>
        <v>2013 Fund Mill Rate</v>
      </c>
      <c r="I83" s="723"/>
      <c r="J83" s="724"/>
    </row>
    <row r="84" spans="2:10" ht="15.75">
      <c r="B84" s="357"/>
      <c r="G84" s="736">
        <f>summ!E18</f>
        <v>4.497</v>
      </c>
      <c r="H84" s="694" t="str">
        <f>CONCATENATE("",E1-1," Fund Mill Rate")</f>
        <v>2012 Fund Mill Rate</v>
      </c>
      <c r="I84" s="723"/>
      <c r="J84" s="724"/>
    </row>
    <row r="85" spans="3:10" ht="15.75">
      <c r="C85" s="83"/>
      <c r="G85" s="738">
        <f>summ!H43</f>
        <v>53.608999999999995</v>
      </c>
      <c r="H85" s="694" t="str">
        <f>CONCATENATE("Total ",E1," Mill Rate")</f>
        <v>Total 2013 Mill Rate</v>
      </c>
      <c r="I85" s="723"/>
      <c r="J85" s="724"/>
    </row>
    <row r="86" spans="2:10" ht="15.75">
      <c r="B86" s="83"/>
      <c r="G86" s="736">
        <f>summ!E43</f>
        <v>51.172</v>
      </c>
      <c r="H86" s="719" t="str">
        <f>CONCATENATE("Total ",E1-1," Mill Rate")</f>
        <v>Total 2012 Mill Rate</v>
      </c>
      <c r="I86" s="720"/>
      <c r="J86" s="721"/>
    </row>
    <row r="90" spans="3:4" ht="15.75" hidden="1">
      <c r="C90" s="23">
        <f>IF(C33&gt;C35,"See Tab A","")</f>
      </c>
      <c r="D90" s="23">
        <f>IF(D33&gt;D35,"See Tab C","")</f>
      </c>
    </row>
    <row r="91" spans="3:4" ht="15.75" hidden="1">
      <c r="C91" s="23">
        <f>IF(C34&lt;0,"See Tab B","")</f>
      </c>
      <c r="D91" s="23">
        <f>IF(D34&lt;0,"See Tab D","")</f>
      </c>
    </row>
    <row r="92" ht="15.75" hidden="1"/>
    <row r="93" spans="3:4" ht="15.75" hidden="1">
      <c r="C93" s="23">
        <f>IF(C73&gt;C75,"See Tab A","")</f>
      </c>
      <c r="D93" s="23">
        <f>IF(D73&gt;D75,"See Tab C","")</f>
      </c>
    </row>
    <row r="94" spans="3:4" ht="15.75" hidden="1">
      <c r="C94" s="23">
        <f>IF(C74&lt;0,"See Tab B","")</f>
      </c>
      <c r="D94" s="23">
        <f>IF(D74&lt;0,"See Tab D","")</f>
      </c>
    </row>
  </sheetData>
  <sheetProtection sheet="1"/>
  <mergeCells count="14">
    <mergeCell ref="G24:J24"/>
    <mergeCell ref="G64:J64"/>
    <mergeCell ref="C81:D81"/>
    <mergeCell ref="C80:D80"/>
    <mergeCell ref="C76:D76"/>
    <mergeCell ref="C77:D77"/>
    <mergeCell ref="C36:D36"/>
    <mergeCell ref="G81:J81"/>
    <mergeCell ref="C37:D37"/>
    <mergeCell ref="C40:D40"/>
    <mergeCell ref="C41:D41"/>
    <mergeCell ref="G31:J31"/>
    <mergeCell ref="G41:J41"/>
    <mergeCell ref="G71:J71"/>
  </mergeCells>
  <conditionalFormatting sqref="E71">
    <cfRule type="cellIs" priority="20" dxfId="114" operator="greaterThan" stopIfTrue="1">
      <formula>$E$73*0.1</formula>
    </cfRule>
  </conditionalFormatting>
  <conditionalFormatting sqref="E76">
    <cfRule type="cellIs" priority="19" dxfId="114" operator="greaterThan" stopIfTrue="1">
      <formula>$E$73/0.95-$E$73</formula>
    </cfRule>
  </conditionalFormatting>
  <conditionalFormatting sqref="E31">
    <cfRule type="cellIs" priority="18" dxfId="114" operator="greaterThan" stopIfTrue="1">
      <formula>$E$33*0.1</formula>
    </cfRule>
  </conditionalFormatting>
  <conditionalFormatting sqref="E36">
    <cfRule type="cellIs" priority="17" dxfId="114" operator="greaterThan" stopIfTrue="1">
      <formula>$E$33/0.95-$E$33</formula>
    </cfRule>
  </conditionalFormatting>
  <conditionalFormatting sqref="E18">
    <cfRule type="cellIs" priority="5" dxfId="114" operator="greaterThan" stopIfTrue="1">
      <formula>$E$20*0.1+E40</formula>
    </cfRule>
  </conditionalFormatting>
  <conditionalFormatting sqref="C58">
    <cfRule type="cellIs" priority="4" dxfId="114" operator="greaterThan" stopIfTrue="1">
      <formula>$C$60*0.1</formula>
    </cfRule>
  </conditionalFormatting>
  <conditionalFormatting sqref="D58">
    <cfRule type="cellIs" priority="3" dxfId="114" operator="greaterThan" stopIfTrue="1">
      <formula>$D$60*0.1</formula>
    </cfRule>
  </conditionalFormatting>
  <conditionalFormatting sqref="E58">
    <cfRule type="cellIs" priority="2" dxfId="114" operator="greaterThan" stopIfTrue="1">
      <formula>$E$60*0.1+E80</formula>
    </cfRule>
  </conditionalFormatting>
  <printOptions/>
  <pageMargins left="0.75" right="0.75" top="1" bottom="1" header="0.5" footer="0.5"/>
  <pageSetup blackAndWhite="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67">
      <selection activeCell="C83" sqref="C83"/>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89</v>
      </c>
      <c r="C3" s="169"/>
      <c r="D3" s="169"/>
      <c r="E3" s="257"/>
    </row>
    <row r="4" spans="2:5" ht="15.75">
      <c r="B4" s="29" t="s">
        <v>24</v>
      </c>
      <c r="C4" s="661" t="s">
        <v>802</v>
      </c>
      <c r="D4" s="662" t="s">
        <v>805</v>
      </c>
      <c r="E4" s="125" t="s">
        <v>806</v>
      </c>
    </row>
    <row r="5" spans="2:5" ht="15.75">
      <c r="B5" s="369" t="str">
        <f>inputPrYr!B21</f>
        <v>Employee Benefit</v>
      </c>
      <c r="C5" s="352" t="str">
        <f>CONCATENATE("Actual for ",E1-2,"")</f>
        <v>Actual for 2011</v>
      </c>
      <c r="D5" s="352" t="str">
        <f>CONCATENATE("Estimate for ",E1-1,"")</f>
        <v>Estimate for 2012</v>
      </c>
      <c r="E5" s="222" t="str">
        <f>CONCATENATE("Year for ",E1,"")</f>
        <v>Year for 2013</v>
      </c>
    </row>
    <row r="6" spans="2:5" ht="15.75">
      <c r="B6" s="223" t="s">
        <v>144</v>
      </c>
      <c r="C6" s="224"/>
      <c r="D6" s="351">
        <f>C34</f>
        <v>67610</v>
      </c>
      <c r="E6" s="193">
        <f>D34</f>
        <v>26124</v>
      </c>
    </row>
    <row r="7" spans="2:5" ht="15.75">
      <c r="B7" s="226" t="s">
        <v>146</v>
      </c>
      <c r="C7" s="139"/>
      <c r="D7" s="139"/>
      <c r="E7" s="68"/>
    </row>
    <row r="8" spans="2:5" ht="15.75">
      <c r="B8" s="131" t="s">
        <v>25</v>
      </c>
      <c r="C8" s="224">
        <v>555710</v>
      </c>
      <c r="D8" s="351">
        <f>IF(inputPrYr!H16&gt;0,inputPrYr!G21,inputPrYr!E21)</f>
        <v>526684</v>
      </c>
      <c r="E8" s="254" t="s">
        <v>13</v>
      </c>
    </row>
    <row r="9" spans="2:5" ht="15.75">
      <c r="B9" s="131" t="s">
        <v>26</v>
      </c>
      <c r="C9" s="224">
        <v>0</v>
      </c>
      <c r="D9" s="224">
        <v>6000</v>
      </c>
      <c r="E9" s="50">
        <v>6000</v>
      </c>
    </row>
    <row r="10" spans="2:5" ht="15.75">
      <c r="B10" s="131" t="s">
        <v>27</v>
      </c>
      <c r="C10" s="224">
        <v>69620</v>
      </c>
      <c r="D10" s="224">
        <v>78260</v>
      </c>
      <c r="E10" s="193">
        <f>mvalloc!D10</f>
        <v>71973</v>
      </c>
    </row>
    <row r="11" spans="2:5" ht="15.75">
      <c r="B11" s="131" t="s">
        <v>28</v>
      </c>
      <c r="C11" s="224">
        <v>1360</v>
      </c>
      <c r="D11" s="224">
        <v>1720</v>
      </c>
      <c r="E11" s="193">
        <f>mvalloc!E10</f>
        <v>1429</v>
      </c>
    </row>
    <row r="12" spans="2:5" ht="15.75">
      <c r="B12" s="139" t="s">
        <v>121</v>
      </c>
      <c r="C12" s="224">
        <v>90</v>
      </c>
      <c r="D12" s="224">
        <v>850</v>
      </c>
      <c r="E12" s="193">
        <f>mvalloc!F10</f>
        <v>1143</v>
      </c>
    </row>
    <row r="13" spans="2:5" ht="15.75">
      <c r="B13" s="50" t="s">
        <v>1034</v>
      </c>
      <c r="C13" s="224">
        <v>32230</v>
      </c>
      <c r="D13" s="224">
        <v>2000</v>
      </c>
      <c r="E13" s="50">
        <v>3500</v>
      </c>
    </row>
    <row r="14" spans="2:5" ht="15.75">
      <c r="B14" s="239"/>
      <c r="C14" s="224"/>
      <c r="D14" s="224"/>
      <c r="E14" s="50"/>
    </row>
    <row r="15" spans="2:5" ht="15.75">
      <c r="B15" s="239"/>
      <c r="C15" s="224"/>
      <c r="D15" s="224"/>
      <c r="E15" s="50"/>
    </row>
    <row r="16" spans="2:5" ht="15.75">
      <c r="B16" s="239"/>
      <c r="C16" s="224"/>
      <c r="D16" s="224"/>
      <c r="E16" s="50"/>
    </row>
    <row r="17" spans="2:5" ht="15.75">
      <c r="B17" s="231" t="s">
        <v>29</v>
      </c>
      <c r="C17" s="224">
        <v>0</v>
      </c>
      <c r="D17" s="224">
        <v>0</v>
      </c>
      <c r="E17" s="50">
        <v>0</v>
      </c>
    </row>
    <row r="18" spans="2:5" ht="15.75">
      <c r="B18" s="139" t="s">
        <v>267</v>
      </c>
      <c r="C18" s="224">
        <v>0</v>
      </c>
      <c r="D18" s="224">
        <v>0</v>
      </c>
      <c r="E18" s="50">
        <v>0</v>
      </c>
    </row>
    <row r="19" spans="2:5" ht="15.75">
      <c r="B19" s="223" t="s">
        <v>785</v>
      </c>
      <c r="C19" s="349">
        <f>IF(C20*0.1&lt;C18,"Exceed 10% Rule","")</f>
      </c>
      <c r="D19" s="349">
        <f>IF(D20*0.1&lt;D18,"Exceed 10% Rule","")</f>
      </c>
      <c r="E19" s="356">
        <f>IF(E20*0.1+E40&lt;E18,"Exceed 10% Rule","")</f>
      </c>
    </row>
    <row r="20" spans="2:5" ht="15.75">
      <c r="B20" s="233" t="s">
        <v>30</v>
      </c>
      <c r="C20" s="354">
        <f>SUM(C8:C18)</f>
        <v>659010</v>
      </c>
      <c r="D20" s="354">
        <f>SUM(D8:D18)</f>
        <v>615514</v>
      </c>
      <c r="E20" s="259">
        <f>SUM(E8:E18)</f>
        <v>84045</v>
      </c>
    </row>
    <row r="21" spans="2:5" ht="15.75">
      <c r="B21" s="233" t="s">
        <v>31</v>
      </c>
      <c r="C21" s="351">
        <f>C6+C20</f>
        <v>659010</v>
      </c>
      <c r="D21" s="351">
        <f>D6+D20</f>
        <v>683124</v>
      </c>
      <c r="E21" s="193">
        <f>E6+E20</f>
        <v>110169</v>
      </c>
    </row>
    <row r="22" spans="2:5" ht="15.75">
      <c r="B22" s="131" t="s">
        <v>33</v>
      </c>
      <c r="C22" s="240"/>
      <c r="D22" s="240"/>
      <c r="E22" s="48"/>
    </row>
    <row r="23" spans="2:5" ht="15.75">
      <c r="B23" s="231" t="s">
        <v>1028</v>
      </c>
      <c r="C23" s="224">
        <v>24400</v>
      </c>
      <c r="D23" s="224">
        <v>35000</v>
      </c>
      <c r="E23" s="50">
        <v>32000</v>
      </c>
    </row>
    <row r="24" spans="2:10" ht="15.75">
      <c r="B24" s="231" t="s">
        <v>1029</v>
      </c>
      <c r="C24" s="224">
        <v>91570</v>
      </c>
      <c r="D24" s="224">
        <v>79000</v>
      </c>
      <c r="E24" s="50">
        <v>86000</v>
      </c>
      <c r="G24" s="836" t="str">
        <f>CONCATENATE("Desired Carryover Into ",E1+1,"")</f>
        <v>Desired Carryover Into 2014</v>
      </c>
      <c r="H24" s="825"/>
      <c r="I24" s="825"/>
      <c r="J24" s="826"/>
    </row>
    <row r="25" spans="2:10" ht="15.75">
      <c r="B25" s="231" t="s">
        <v>1030</v>
      </c>
      <c r="C25" s="224">
        <v>91140</v>
      </c>
      <c r="D25" s="224">
        <v>76000</v>
      </c>
      <c r="E25" s="50">
        <v>89000</v>
      </c>
      <c r="G25" s="702"/>
      <c r="H25" s="689"/>
      <c r="I25" s="696"/>
      <c r="J25" s="703"/>
    </row>
    <row r="26" spans="2:10" ht="15.75">
      <c r="B26" s="231" t="s">
        <v>1031</v>
      </c>
      <c r="C26" s="224">
        <v>365660</v>
      </c>
      <c r="D26" s="224">
        <v>405000</v>
      </c>
      <c r="E26" s="50">
        <v>420000</v>
      </c>
      <c r="G26" s="701" t="s">
        <v>633</v>
      </c>
      <c r="H26" s="696"/>
      <c r="I26" s="696"/>
      <c r="J26" s="690">
        <v>0</v>
      </c>
    </row>
    <row r="27" spans="2:10" ht="15.75">
      <c r="B27" s="231" t="s">
        <v>1032</v>
      </c>
      <c r="C27" s="224">
        <v>0</v>
      </c>
      <c r="D27" s="224">
        <v>36000</v>
      </c>
      <c r="E27" s="50">
        <v>34000</v>
      </c>
      <c r="G27" s="702" t="s">
        <v>634</v>
      </c>
      <c r="H27" s="689"/>
      <c r="I27" s="689"/>
      <c r="J27" s="730">
        <f>IF(J26=0,"",ROUND((J26+E40-G39)/inputOth!E7*1000,3)-G44)</f>
      </c>
    </row>
    <row r="28" spans="2:10" ht="15.75">
      <c r="B28" s="231" t="s">
        <v>1033</v>
      </c>
      <c r="C28" s="224">
        <v>18630</v>
      </c>
      <c r="D28" s="224">
        <v>6000</v>
      </c>
      <c r="E28" s="50">
        <v>17000</v>
      </c>
      <c r="G28" s="727" t="str">
        <f>CONCATENATE("",E1," Tot Exp/Non-Appr Must Be:")</f>
        <v>2013 Tot Exp/Non-Appr Must Be:</v>
      </c>
      <c r="H28" s="725"/>
      <c r="I28" s="726"/>
      <c r="J28" s="722">
        <f>IF(J26&gt;0,IF(E37&lt;E21,IF(J26=G39,E37,((J26-G39)*(1-D39))+E21),E37+(J26-G39)),0)</f>
        <v>0</v>
      </c>
    </row>
    <row r="29" spans="2:10" ht="15.75">
      <c r="B29" s="239"/>
      <c r="C29" s="224"/>
      <c r="D29" s="224"/>
      <c r="E29" s="50"/>
      <c r="G29" s="592" t="s">
        <v>807</v>
      </c>
      <c r="H29" s="733"/>
      <c r="I29" s="733"/>
      <c r="J29" s="728">
        <f>IF(J26&gt;0,J28-E37,0)</f>
        <v>0</v>
      </c>
    </row>
    <row r="30" spans="2:10" ht="15.75">
      <c r="B30" s="240" t="s">
        <v>268</v>
      </c>
      <c r="C30" s="224">
        <v>0</v>
      </c>
      <c r="D30" s="224">
        <v>0</v>
      </c>
      <c r="E30" s="57">
        <f>nhood!E9</f>
      </c>
      <c r="J30" s="679"/>
    </row>
    <row r="31" spans="2:10" ht="15.75">
      <c r="B31" s="240" t="s">
        <v>267</v>
      </c>
      <c r="C31" s="224">
        <v>0</v>
      </c>
      <c r="D31" s="224">
        <v>20000</v>
      </c>
      <c r="E31" s="50">
        <v>8000</v>
      </c>
      <c r="G31" s="836" t="str">
        <f>CONCATENATE("Projected Carryover Into ",E1+1,"")</f>
        <v>Projected Carryover Into 2014</v>
      </c>
      <c r="H31" s="833"/>
      <c r="I31" s="833"/>
      <c r="J31" s="839"/>
    </row>
    <row r="32" spans="2:10" ht="15.75">
      <c r="B32" s="240" t="s">
        <v>786</v>
      </c>
      <c r="C32" s="349">
        <f>IF(C33*0.1&lt;C31,"Exceed 10% Rule","")</f>
      </c>
      <c r="D32" s="349">
        <f>IF(D33*0.1&lt;D31,"Exceed 10% Rule","")</f>
      </c>
      <c r="E32" s="356">
        <f>IF(E33*0.1&lt;E31,"Exceed 10% Rule","")</f>
      </c>
      <c r="G32" s="702"/>
      <c r="H32" s="696"/>
      <c r="I32" s="696"/>
      <c r="J32" s="739"/>
    </row>
    <row r="33" spans="2:10" ht="15.75">
      <c r="B33" s="233" t="s">
        <v>37</v>
      </c>
      <c r="C33" s="354">
        <f>SUM(C23:C31)</f>
        <v>591400</v>
      </c>
      <c r="D33" s="354">
        <f>SUM(D23:D31)</f>
        <v>657000</v>
      </c>
      <c r="E33" s="259">
        <f>SUM(E23:E31)</f>
        <v>686000</v>
      </c>
      <c r="G33" s="693">
        <f>D34</f>
        <v>26124</v>
      </c>
      <c r="H33" s="694" t="str">
        <f>CONCATENATE("",E1-1," Ending Cash Balance (est.)")</f>
        <v>2012 Ending Cash Balance (est.)</v>
      </c>
      <c r="I33" s="695"/>
      <c r="J33" s="739"/>
    </row>
    <row r="34" spans="2:10" ht="15.75">
      <c r="B34" s="131" t="s">
        <v>145</v>
      </c>
      <c r="C34" s="351">
        <f>C21-C33</f>
        <v>67610</v>
      </c>
      <c r="D34" s="351">
        <f>D21-D33</f>
        <v>26124</v>
      </c>
      <c r="E34" s="254" t="s">
        <v>13</v>
      </c>
      <c r="G34" s="693">
        <f>E20</f>
        <v>84045</v>
      </c>
      <c r="H34" s="696" t="str">
        <f>CONCATENATE("",E1," Non-AV Receipts (est.)")</f>
        <v>2013 Non-AV Receipts (est.)</v>
      </c>
      <c r="I34" s="695"/>
      <c r="J34" s="739"/>
    </row>
    <row r="35" spans="2:11" ht="15.75">
      <c r="B35" s="119" t="str">
        <f>CONCATENATE("",$E$1-2,"/",$E$1-1," Budget Authority Amount:")</f>
        <v>2011/2012 Budget Authority Amount:</v>
      </c>
      <c r="C35" s="183">
        <f>inputOth!B64</f>
        <v>638825</v>
      </c>
      <c r="D35" s="242">
        <f>inputPrYr!D21</f>
        <v>657000</v>
      </c>
      <c r="E35" s="254" t="s">
        <v>13</v>
      </c>
      <c r="F35" s="243"/>
      <c r="G35" s="697">
        <f>IF(E39&gt;0,E38,E40)</f>
        <v>575831</v>
      </c>
      <c r="H35" s="696" t="str">
        <f>CONCATENATE("",E1," Ad Valorem Tax (est.)")</f>
        <v>2013 Ad Valorem Tax (est.)</v>
      </c>
      <c r="I35" s="695"/>
      <c r="J35" s="741"/>
      <c r="K35" s="595" t="str">
        <f>IF(G35=E40,"","Note: Does not include Delinquent Taxes")</f>
        <v>Note: Does not include Delinquent Taxes</v>
      </c>
    </row>
    <row r="36" spans="2:10" ht="15.75">
      <c r="B36" s="119"/>
      <c r="C36" s="818" t="s">
        <v>625</v>
      </c>
      <c r="D36" s="819"/>
      <c r="E36" s="50">
        <v>0</v>
      </c>
      <c r="F36" s="753">
        <f>IF(E33/0.95-E33&lt;E36,"Exceeds 5%","")</f>
      </c>
      <c r="G36" s="693">
        <f>SUM(G33:G35)</f>
        <v>686000</v>
      </c>
      <c r="H36" s="696" t="str">
        <f>CONCATENATE("Total ",E1," Resources Available")</f>
        <v>Total 2013 Resources Available</v>
      </c>
      <c r="I36" s="695"/>
      <c r="J36" s="739"/>
    </row>
    <row r="37" spans="2:10" ht="15.75">
      <c r="B37" s="372" t="str">
        <f>CONCATENATE(C95,"     ",D95)</f>
        <v>     </v>
      </c>
      <c r="C37" s="820" t="s">
        <v>626</v>
      </c>
      <c r="D37" s="821"/>
      <c r="E37" s="193">
        <f>SUM(E33+E36)</f>
        <v>686000</v>
      </c>
      <c r="G37" s="698"/>
      <c r="H37" s="696"/>
      <c r="I37" s="696"/>
      <c r="J37" s="739"/>
    </row>
    <row r="38" spans="2:10" ht="15.75">
      <c r="B38" s="372" t="str">
        <f>CONCATENATE(C96,"     ",D96)</f>
        <v>     </v>
      </c>
      <c r="C38" s="358"/>
      <c r="D38" s="147" t="s">
        <v>38</v>
      </c>
      <c r="E38" s="193">
        <f>IF(E37-E21&gt;0,E37-E21,0)</f>
        <v>575831</v>
      </c>
      <c r="G38" s="697">
        <f>ROUND(C33*0.05+C33,0)</f>
        <v>620970</v>
      </c>
      <c r="H38" s="696" t="str">
        <f>CONCATENATE("Less ",E1-2," Expenditures + 5%")</f>
        <v>Less 2011 Expenditures + 5%</v>
      </c>
      <c r="I38" s="695"/>
      <c r="J38" s="739"/>
    </row>
    <row r="39" spans="2:10" ht="15.75">
      <c r="B39" s="372"/>
      <c r="C39" s="358" t="s">
        <v>627</v>
      </c>
      <c r="D39" s="594">
        <f>inputOth!$E$47</f>
        <v>0.03</v>
      </c>
      <c r="E39" s="193">
        <f>ROUND(IF(D39&gt;0,(E38*D39),0),0)</f>
        <v>17275</v>
      </c>
      <c r="G39" s="731">
        <f>G36-G38</f>
        <v>65030</v>
      </c>
      <c r="H39" s="732" t="str">
        <f>CONCATENATE("Projected ",E1+1," carryover (est.)")</f>
        <v>Projected 2014 carryover (est.)</v>
      </c>
      <c r="I39" s="699"/>
      <c r="J39" s="740"/>
    </row>
    <row r="40" spans="2:10" ht="16.5" thickBot="1">
      <c r="B40" s="22"/>
      <c r="C40" s="822" t="str">
        <f>CONCATENATE("Amount of  ",$E$1-1," Ad Valorem Tax")</f>
        <v>Amount of  2012 Ad Valorem Tax</v>
      </c>
      <c r="D40" s="823"/>
      <c r="E40" s="260">
        <f>SUM(E38:E39)</f>
        <v>593106</v>
      </c>
      <c r="G40" s="679"/>
      <c r="H40" s="679"/>
      <c r="I40" s="679"/>
      <c r="J40" s="679"/>
    </row>
    <row r="41" spans="2:10" ht="16.5" thickTop="1">
      <c r="B41" s="22"/>
      <c r="C41" s="830"/>
      <c r="D41" s="830"/>
      <c r="E41" s="22"/>
      <c r="G41" s="827" t="s">
        <v>863</v>
      </c>
      <c r="H41" s="828"/>
      <c r="I41" s="828"/>
      <c r="J41" s="829"/>
    </row>
    <row r="42" spans="2:10" ht="15.75">
      <c r="B42" s="22"/>
      <c r="C42" s="22"/>
      <c r="D42" s="22"/>
      <c r="E42" s="22"/>
      <c r="G42" s="735"/>
      <c r="H42" s="694"/>
      <c r="I42" s="723"/>
      <c r="J42" s="724"/>
    </row>
    <row r="43" spans="2:10" ht="15.75">
      <c r="B43" s="29"/>
      <c r="C43" s="258"/>
      <c r="D43" s="258"/>
      <c r="E43" s="258"/>
      <c r="G43" s="737">
        <f>summ!H19</f>
        <v>13.767</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f>summ!E19</f>
        <v>12.286</v>
      </c>
      <c r="H44" s="694" t="str">
        <f>CONCATENATE("",E1-1," Fund Mill Rate")</f>
        <v>2012 Fund Mill Rate</v>
      </c>
      <c r="I44" s="723"/>
      <c r="J44" s="724"/>
    </row>
    <row r="45" spans="2:10" ht="15.75">
      <c r="B45" s="368" t="str">
        <f>(inputPrYr!B22)</f>
        <v>Emergency Equipment</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223" t="s">
        <v>144</v>
      </c>
      <c r="C46" s="224">
        <v>29873</v>
      </c>
      <c r="D46" s="351">
        <f>C74</f>
        <v>23703</v>
      </c>
      <c r="E46" s="193">
        <f>D74</f>
        <v>0</v>
      </c>
      <c r="G46" s="736">
        <f>summ!E43</f>
        <v>51.172</v>
      </c>
      <c r="H46" s="719" t="str">
        <f>CONCATENATE("Total ",E1-1," Mill Rate")</f>
        <v>Total 2012 Mill Rate</v>
      </c>
      <c r="I46" s="720"/>
      <c r="J46" s="721"/>
    </row>
    <row r="47" spans="2:5" ht="15.75">
      <c r="B47" s="223" t="s">
        <v>146</v>
      </c>
      <c r="C47" s="139"/>
      <c r="D47" s="139"/>
      <c r="E47" s="68"/>
    </row>
    <row r="48" spans="2:5" ht="15.75">
      <c r="B48" s="131" t="s">
        <v>25</v>
      </c>
      <c r="C48" s="224">
        <v>43360</v>
      </c>
      <c r="D48" s="351">
        <f>IF(inputPrYr!H16&gt;0,inputPrYr!G22,inputPrYr!E22)</f>
        <v>41507</v>
      </c>
      <c r="E48" s="254" t="s">
        <v>13</v>
      </c>
    </row>
    <row r="49" spans="2:5" ht="15.75">
      <c r="B49" s="131" t="s">
        <v>26</v>
      </c>
      <c r="C49" s="224">
        <v>0</v>
      </c>
      <c r="D49" s="224">
        <v>500</v>
      </c>
      <c r="E49" s="50">
        <v>0</v>
      </c>
    </row>
    <row r="50" spans="2:5" ht="15.75">
      <c r="B50" s="131" t="s">
        <v>27</v>
      </c>
      <c r="C50" s="224">
        <v>5980</v>
      </c>
      <c r="D50" s="224">
        <v>6090</v>
      </c>
      <c r="E50" s="193">
        <f>mvalloc!D11</f>
        <v>5672</v>
      </c>
    </row>
    <row r="51" spans="2:5" ht="15.75">
      <c r="B51" s="131" t="s">
        <v>28</v>
      </c>
      <c r="C51" s="224">
        <v>120</v>
      </c>
      <c r="D51" s="224">
        <v>130</v>
      </c>
      <c r="E51" s="193">
        <f>mvalloc!E11</f>
        <v>113</v>
      </c>
    </row>
    <row r="52" spans="2:5" ht="15.75">
      <c r="B52" s="139" t="s">
        <v>121</v>
      </c>
      <c r="C52" s="224">
        <v>10</v>
      </c>
      <c r="D52" s="224">
        <v>70</v>
      </c>
      <c r="E52" s="193">
        <f>mvalloc!F11</f>
        <v>90</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29</v>
      </c>
      <c r="C57" s="224">
        <v>0</v>
      </c>
      <c r="D57" s="224">
        <v>0</v>
      </c>
      <c r="E57" s="50">
        <v>0</v>
      </c>
    </row>
    <row r="58" spans="2:5" ht="15.75">
      <c r="B58" s="139" t="s">
        <v>267</v>
      </c>
      <c r="C58" s="224">
        <v>0</v>
      </c>
      <c r="D58" s="224">
        <v>0</v>
      </c>
      <c r="E58" s="50">
        <v>0</v>
      </c>
    </row>
    <row r="59" spans="2:5" ht="15.75">
      <c r="B59" s="223" t="s">
        <v>785</v>
      </c>
      <c r="C59" s="349">
        <f>IF(C60*0.1&lt;C58,"Exceed 10% Rule","")</f>
      </c>
      <c r="D59" s="349">
        <f>IF(D60*0.1&lt;D58,"Exceed 10% Rule","")</f>
      </c>
      <c r="E59" s="356">
        <f>IF(E60*0.1+E80&lt;E58,"Exceed 10% Rule","")</f>
      </c>
    </row>
    <row r="60" spans="2:5" ht="15.75">
      <c r="B60" s="233" t="s">
        <v>30</v>
      </c>
      <c r="C60" s="354">
        <f>SUM(C48:C58)</f>
        <v>49470</v>
      </c>
      <c r="D60" s="354">
        <f>SUM(D48:D58)</f>
        <v>48297</v>
      </c>
      <c r="E60" s="259">
        <f>SUM(E48:E58)</f>
        <v>5875</v>
      </c>
    </row>
    <row r="61" spans="2:5" ht="15.75">
      <c r="B61" s="233" t="s">
        <v>31</v>
      </c>
      <c r="C61" s="354">
        <f>C46+C60</f>
        <v>79343</v>
      </c>
      <c r="D61" s="354">
        <f>D46+D60</f>
        <v>72000</v>
      </c>
      <c r="E61" s="259">
        <f>E46+E60</f>
        <v>5875</v>
      </c>
    </row>
    <row r="62" spans="2:5" ht="15.75">
      <c r="B62" s="131" t="s">
        <v>33</v>
      </c>
      <c r="C62" s="240"/>
      <c r="D62" s="240"/>
      <c r="E62" s="48"/>
    </row>
    <row r="63" spans="2:5" ht="15.75">
      <c r="B63" s="50" t="s">
        <v>1027</v>
      </c>
      <c r="C63" s="224">
        <v>55640</v>
      </c>
      <c r="D63" s="224">
        <v>72000</v>
      </c>
      <c r="E63" s="50">
        <v>47700</v>
      </c>
    </row>
    <row r="64" spans="2:10" ht="15.75">
      <c r="B64" s="239"/>
      <c r="C64" s="224"/>
      <c r="D64" s="224"/>
      <c r="E64" s="50"/>
      <c r="G64" s="836" t="str">
        <f>CONCATENATE("Desired Carryover Into ",E1+1,"")</f>
        <v>Desired Carryover Into 2014</v>
      </c>
      <c r="H64" s="825"/>
      <c r="I64" s="825"/>
      <c r="J64" s="826"/>
    </row>
    <row r="65" spans="2:10" ht="15.75">
      <c r="B65" s="239"/>
      <c r="C65" s="224"/>
      <c r="D65" s="224"/>
      <c r="E65" s="50"/>
      <c r="G65" s="702"/>
      <c r="H65" s="689"/>
      <c r="I65" s="696"/>
      <c r="J65" s="703"/>
    </row>
    <row r="66" spans="2:10" ht="15.75">
      <c r="B66" s="239"/>
      <c r="C66" s="224"/>
      <c r="D66" s="224"/>
      <c r="E66" s="50"/>
      <c r="G66" s="701" t="s">
        <v>633</v>
      </c>
      <c r="H66" s="696"/>
      <c r="I66" s="696"/>
      <c r="J66" s="690">
        <v>0</v>
      </c>
    </row>
    <row r="67" spans="2:10" ht="15.75">
      <c r="B67" s="239"/>
      <c r="C67" s="224"/>
      <c r="D67" s="224"/>
      <c r="E67" s="50"/>
      <c r="G67" s="702" t="s">
        <v>634</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807</v>
      </c>
      <c r="H69" s="733"/>
      <c r="I69" s="733"/>
      <c r="J69" s="728">
        <f>IF(J66&gt;0,J68-E77,0)</f>
        <v>0</v>
      </c>
    </row>
    <row r="70" spans="2:10" ht="15.75">
      <c r="B70" s="240" t="s">
        <v>268</v>
      </c>
      <c r="C70" s="224">
        <v>0</v>
      </c>
      <c r="D70" s="224">
        <v>0</v>
      </c>
      <c r="E70" s="57">
        <f>nhood!E10</f>
      </c>
      <c r="J70" s="679"/>
    </row>
    <row r="71" spans="2:10" ht="15.75">
      <c r="B71" s="240" t="s">
        <v>267</v>
      </c>
      <c r="C71" s="224">
        <v>0</v>
      </c>
      <c r="D71" s="224">
        <v>0</v>
      </c>
      <c r="E71" s="50">
        <v>0</v>
      </c>
      <c r="G71" s="836" t="str">
        <f>CONCATENATE("Projected Carryover Into ",E1+1,"")</f>
        <v>Projected Carryover Into 2014</v>
      </c>
      <c r="H71" s="840"/>
      <c r="I71" s="840"/>
      <c r="J71" s="839"/>
    </row>
    <row r="72" spans="2:10" ht="15.75">
      <c r="B72" s="240" t="s">
        <v>786</v>
      </c>
      <c r="C72" s="349">
        <f>IF(C73*0.1&lt;C71,"Exceed 10% Rule","")</f>
      </c>
      <c r="D72" s="349">
        <f>IF(D73*0.1&lt;D71,"Exceed 10% Rule","")</f>
      </c>
      <c r="E72" s="356">
        <f>IF(E73*0.1&lt;E71,"Exceed 10% Rule","")</f>
      </c>
      <c r="G72" s="691"/>
      <c r="H72" s="689"/>
      <c r="I72" s="689"/>
      <c r="J72" s="682"/>
    </row>
    <row r="73" spans="2:10" ht="15.75">
      <c r="B73" s="233" t="s">
        <v>37</v>
      </c>
      <c r="C73" s="354">
        <f>SUM(C63:C71)</f>
        <v>55640</v>
      </c>
      <c r="D73" s="354">
        <f>SUM(D63:D71)</f>
        <v>72000</v>
      </c>
      <c r="E73" s="259">
        <f>SUM(E63:E71)</f>
        <v>47700</v>
      </c>
      <c r="G73" s="693">
        <f>D74</f>
        <v>0</v>
      </c>
      <c r="H73" s="694" t="str">
        <f>CONCATENATE("",E1-1," Ending Cash Balance (est.)")</f>
        <v>2012 Ending Cash Balance (est.)</v>
      </c>
      <c r="I73" s="695"/>
      <c r="J73" s="682"/>
    </row>
    <row r="74" spans="2:10" ht="15.75">
      <c r="B74" s="131" t="s">
        <v>145</v>
      </c>
      <c r="C74" s="351">
        <f>C61-C73</f>
        <v>23703</v>
      </c>
      <c r="D74" s="351">
        <f>D61-D73</f>
        <v>0</v>
      </c>
      <c r="E74" s="254" t="s">
        <v>13</v>
      </c>
      <c r="G74" s="693">
        <f>E60</f>
        <v>5875</v>
      </c>
      <c r="H74" s="696" t="str">
        <f>CONCATENATE("",E1," Non-AV Receipts (est.)")</f>
        <v>2013 Non-AV Receipts (est.)</v>
      </c>
      <c r="I74" s="695"/>
      <c r="J74" s="682"/>
    </row>
    <row r="75" spans="2:11" ht="15.75">
      <c r="B75" s="119" t="str">
        <f>CONCATENATE("",$E$1-2,"/",$E$1-1," Budget Authority Amount:")</f>
        <v>2011/2012 Budget Authority Amount:</v>
      </c>
      <c r="C75" s="183">
        <f>inputOth!B65</f>
        <v>119400</v>
      </c>
      <c r="D75" s="242">
        <f>inputPrYr!D22</f>
        <v>72000</v>
      </c>
      <c r="E75" s="254" t="s">
        <v>13</v>
      </c>
      <c r="F75" s="243"/>
      <c r="G75" s="697">
        <f>IF(D79&gt;0,E78,E80)</f>
        <v>41825</v>
      </c>
      <c r="H75" s="696" t="str">
        <f>CONCATENATE("",E1," Ad Valorem Tax (est.)")</f>
        <v>2013 Ad Valorem Tax (est.)</v>
      </c>
      <c r="I75" s="695"/>
      <c r="J75" s="682"/>
      <c r="K75" s="595" t="str">
        <f>IF(G75=E80,"","Note: Does not include Delinquent Taxes")</f>
        <v>Note: Does not include Delinquent Taxes</v>
      </c>
    </row>
    <row r="76" spans="2:10" ht="15.75">
      <c r="B76" s="119"/>
      <c r="C76" s="818" t="s">
        <v>625</v>
      </c>
      <c r="D76" s="819"/>
      <c r="E76" s="50">
        <v>0</v>
      </c>
      <c r="F76" s="753">
        <f>IF(E73/0.95-E73&lt;E76,"Exceeds 5%","")</f>
      </c>
      <c r="G76" s="704">
        <f>SUM(G73:G75)</f>
        <v>47700</v>
      </c>
      <c r="H76" s="696" t="str">
        <f>CONCATENATE("Total ",E1," Resources Available")</f>
        <v>Total 2013 Resources Available</v>
      </c>
      <c r="I76" s="692"/>
      <c r="J76" s="682"/>
    </row>
    <row r="77" spans="2:10" ht="15.75">
      <c r="B77" s="372" t="str">
        <f>CONCATENATE(C97,"     ",D97)</f>
        <v>     </v>
      </c>
      <c r="C77" s="820" t="s">
        <v>626</v>
      </c>
      <c r="D77" s="821"/>
      <c r="E77" s="193">
        <f>E73+E76</f>
        <v>47700</v>
      </c>
      <c r="G77" s="707"/>
      <c r="H77" s="705"/>
      <c r="I77" s="689"/>
      <c r="J77" s="682"/>
    </row>
    <row r="78" spans="2:10" ht="15.75">
      <c r="B78" s="372" t="str">
        <f>CONCATENATE(C98,"     ",D98)</f>
        <v>     </v>
      </c>
      <c r="C78" s="244"/>
      <c r="D78" s="147" t="s">
        <v>38</v>
      </c>
      <c r="E78" s="193">
        <f>IF(E77-E61&gt;0,E77-E61,0)</f>
        <v>41825</v>
      </c>
      <c r="G78" s="706">
        <f>ROUND(C73*0.05+C73,0)</f>
        <v>58422</v>
      </c>
      <c r="H78" s="705" t="str">
        <f>CONCATENATE("Less ",E1-2," Expenditures + 5%")</f>
        <v>Less 2011 Expenditures + 5%</v>
      </c>
      <c r="I78" s="692"/>
      <c r="J78" s="682"/>
    </row>
    <row r="79" spans="2:10" ht="15.75">
      <c r="B79" s="119"/>
      <c r="C79" s="358" t="s">
        <v>627</v>
      </c>
      <c r="D79" s="594">
        <f>inputOth!E47</f>
        <v>0.03</v>
      </c>
      <c r="E79" s="193">
        <f>ROUND(IF(D79&gt;0,(E78*D79),0),0)</f>
        <v>1255</v>
      </c>
      <c r="G79" s="708">
        <f>G76-G78</f>
        <v>-10722</v>
      </c>
      <c r="H79" s="709" t="str">
        <f>CONCATENATE("Projected ",E1+1," carryover (est.)")</f>
        <v>Projected 2014 carryover (est.)</v>
      </c>
      <c r="I79" s="700"/>
      <c r="J79" s="740"/>
    </row>
    <row r="80" spans="2:9" ht="16.5" thickBot="1">
      <c r="B80" s="147"/>
      <c r="C80" s="822" t="str">
        <f>CONCATENATE("Amount of  ",$E$1-1," Ad Valorem Tax")</f>
        <v>Amount of  2012 Ad Valorem Tax</v>
      </c>
      <c r="D80" s="823"/>
      <c r="E80" s="260">
        <f>E78+E79</f>
        <v>43080</v>
      </c>
      <c r="G80" s="679"/>
      <c r="H80" s="679"/>
      <c r="I80" s="679"/>
    </row>
    <row r="81" spans="2:10" ht="16.5" thickTop="1">
      <c r="B81" s="147"/>
      <c r="C81" s="830"/>
      <c r="D81" s="830"/>
      <c r="E81" s="147"/>
      <c r="G81" s="827" t="s">
        <v>863</v>
      </c>
      <c r="H81" s="828"/>
      <c r="I81" s="828"/>
      <c r="J81" s="829"/>
    </row>
    <row r="82" spans="2:10" ht="15.75">
      <c r="B82" s="147"/>
      <c r="C82" s="516"/>
      <c r="D82" s="147"/>
      <c r="E82" s="147"/>
      <c r="G82" s="735"/>
      <c r="H82" s="694"/>
      <c r="I82" s="723"/>
      <c r="J82" s="724"/>
    </row>
    <row r="83" spans="2:10" ht="15.75">
      <c r="B83" s="119" t="s">
        <v>40</v>
      </c>
      <c r="C83" s="250">
        <v>10</v>
      </c>
      <c r="D83" s="22"/>
      <c r="E83" s="22"/>
      <c r="G83" s="737">
        <f>summ!H20</f>
        <v>1</v>
      </c>
      <c r="H83" s="694" t="str">
        <f>CONCATENATE("",E1," Fund Mill Rate")</f>
        <v>2013 Fund Mill Rate</v>
      </c>
      <c r="I83" s="723"/>
      <c r="J83" s="724"/>
    </row>
    <row r="84" spans="2:10" ht="15.75">
      <c r="B84" s="357"/>
      <c r="G84" s="736">
        <f>summ!E20</f>
        <v>0.968</v>
      </c>
      <c r="H84" s="694" t="str">
        <f>CONCATENATE("",E1-1," Fund Mill Rate")</f>
        <v>2012 Fund Mill Rate</v>
      </c>
      <c r="I84" s="723"/>
      <c r="J84" s="724"/>
    </row>
    <row r="85" spans="2:10" ht="15.75">
      <c r="B85" s="8"/>
      <c r="G85" s="738">
        <f>summ!H43</f>
        <v>53.608999999999995</v>
      </c>
      <c r="H85" s="694" t="str">
        <f>CONCATENATE("Total ",E1," Mill Rate")</f>
        <v>Total 2013 Mill Rate</v>
      </c>
      <c r="I85" s="723"/>
      <c r="J85" s="724"/>
    </row>
    <row r="86" spans="7:10" ht="15.75">
      <c r="G86" s="736">
        <f>summ!E43</f>
        <v>51.172</v>
      </c>
      <c r="H86" s="719" t="str">
        <f>CONCATENATE("Total ",E1-1," Mill Rate")</f>
        <v>Total 2012 Mill Rate</v>
      </c>
      <c r="I86" s="720"/>
      <c r="J86" s="721"/>
    </row>
    <row r="95" spans="3:4" ht="15.75" hidden="1">
      <c r="C95" s="373">
        <f>IF(C33&gt;C35,"See Tab A","")</f>
      </c>
      <c r="D95" s="373">
        <f>IF(D33&gt;D35,"See Tab C","")</f>
      </c>
    </row>
    <row r="96" spans="3:4" ht="15.75" hidden="1">
      <c r="C96" s="373">
        <f>IF(C34&lt;0,"See Tab B","")</f>
      </c>
      <c r="D96" s="373">
        <f>IF(D34&lt;0,"See Tab D","")</f>
      </c>
    </row>
    <row r="97" spans="3:4" ht="15.75" hidden="1">
      <c r="C97" s="373">
        <f>IF(C73&gt;C75,"See Tab A","")</f>
      </c>
      <c r="D97" s="373">
        <f>IF(D73&gt;D75,"See Tab C","")</f>
      </c>
    </row>
    <row r="98" spans="3:4" ht="15.75" hidden="1">
      <c r="C98" s="373">
        <f>IF(C74&lt;0,"See Tab B","")</f>
      </c>
      <c r="D98" s="373">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71">
    <cfRule type="cellIs" priority="4" dxfId="114" operator="greaterThan" stopIfTrue="1">
      <formula>$E$73*0.1</formula>
    </cfRule>
  </conditionalFormatting>
  <conditionalFormatting sqref="E76">
    <cfRule type="cellIs" priority="5" dxfId="114" operator="greaterThan" stopIfTrue="1">
      <formula>$E$73/0.95-$E$73</formula>
    </cfRule>
  </conditionalFormatting>
  <conditionalFormatting sqref="E31">
    <cfRule type="cellIs" priority="6" dxfId="114" operator="greaterThan" stopIfTrue="1">
      <formula>$E$33*0.1</formula>
    </cfRule>
  </conditionalFormatting>
  <conditionalFormatting sqref="E58">
    <cfRule type="cellIs" priority="21" dxfId="114" operator="greaterThan" stopIfTrue="1">
      <formula>$E$60*0.1+E80</formula>
    </cfRule>
  </conditionalFormatting>
  <conditionalFormatting sqref="E18">
    <cfRule type="cellIs" priority="22" dxfId="114" operator="greaterThan" stopIfTrue="1">
      <formula>$E$20*0.1+E40</formula>
    </cfRule>
  </conditionalFormatting>
  <conditionalFormatting sqref="E36">
    <cfRule type="cellIs" priority="1" dxfId="114" operator="greaterThan" stopIfTrue="1">
      <formula>$E$33/0.95-$E$33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7">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89</v>
      </c>
      <c r="C3" s="169"/>
      <c r="D3" s="169"/>
      <c r="E3" s="257"/>
    </row>
    <row r="4" spans="2:5" ht="15.75">
      <c r="B4" s="29" t="s">
        <v>24</v>
      </c>
      <c r="C4" s="661" t="s">
        <v>802</v>
      </c>
      <c r="D4" s="662" t="s">
        <v>805</v>
      </c>
      <c r="E4" s="125" t="s">
        <v>806</v>
      </c>
    </row>
    <row r="5" spans="2:5" ht="15.75">
      <c r="B5" s="369">
        <f>inputPrYr!B23</f>
        <v>0</v>
      </c>
      <c r="C5" s="352" t="str">
        <f>CONCATENATE("Actual for ",E1-2,"")</f>
        <v>Actual for 2011</v>
      </c>
      <c r="D5" s="352" t="str">
        <f>CONCATENATE("Estimate for ",E1-1,"")</f>
        <v>Estimate for 2012</v>
      </c>
      <c r="E5" s="222" t="str">
        <f>CONCATENATE("Year for ",E1,"")</f>
        <v>Year for 2013</v>
      </c>
    </row>
    <row r="6" spans="2:5" ht="15.75">
      <c r="B6" s="223" t="s">
        <v>144</v>
      </c>
      <c r="C6" s="224"/>
      <c r="D6" s="351">
        <f>C34</f>
        <v>0</v>
      </c>
      <c r="E6" s="193">
        <f>D34</f>
        <v>0</v>
      </c>
    </row>
    <row r="7" spans="2:5" ht="15.75">
      <c r="B7" s="226" t="s">
        <v>146</v>
      </c>
      <c r="C7" s="351"/>
      <c r="D7" s="351"/>
      <c r="E7" s="193"/>
    </row>
    <row r="8" spans="2:5" ht="15.75">
      <c r="B8" s="131" t="s">
        <v>25</v>
      </c>
      <c r="C8" s="227"/>
      <c r="D8" s="351">
        <f>IF(inputPrYr!H16&gt;0,inputPrYr!G23,inputPrYr!E23)</f>
        <v>0</v>
      </c>
      <c r="E8" s="254" t="s">
        <v>13</v>
      </c>
    </row>
    <row r="9" spans="2:5" ht="15.75">
      <c r="B9" s="131" t="s">
        <v>26</v>
      </c>
      <c r="C9" s="227"/>
      <c r="D9" s="227"/>
      <c r="E9" s="50"/>
    </row>
    <row r="10" spans="2:5" ht="15.75">
      <c r="B10" s="131" t="s">
        <v>27</v>
      </c>
      <c r="C10" s="227"/>
      <c r="D10" s="227"/>
      <c r="E10" s="193" t="str">
        <f>mvalloc!D12</f>
        <v>  </v>
      </c>
    </row>
    <row r="11" spans="2:5" ht="15.75">
      <c r="B11" s="131" t="s">
        <v>28</v>
      </c>
      <c r="C11" s="227"/>
      <c r="D11" s="227"/>
      <c r="E11" s="193" t="str">
        <f>mvalloc!E12</f>
        <v> </v>
      </c>
    </row>
    <row r="12" spans="2:5" ht="15.75">
      <c r="B12" s="139" t="s">
        <v>121</v>
      </c>
      <c r="C12" s="227"/>
      <c r="D12" s="227"/>
      <c r="E12" s="193" t="str">
        <f>mvalloc!F12</f>
        <v> </v>
      </c>
    </row>
    <row r="13" spans="2:5" ht="15.75">
      <c r="B13" s="50"/>
      <c r="C13" s="227"/>
      <c r="D13" s="227"/>
      <c r="E13" s="50"/>
    </row>
    <row r="14" spans="2:5" ht="15.75">
      <c r="B14" s="239"/>
      <c r="C14" s="227"/>
      <c r="D14" s="227"/>
      <c r="E14" s="50"/>
    </row>
    <row r="15" spans="2:5" ht="15.75">
      <c r="B15" s="239"/>
      <c r="C15" s="227"/>
      <c r="D15" s="227"/>
      <c r="E15" s="50"/>
    </row>
    <row r="16" spans="2:5" ht="15.75">
      <c r="B16" s="239"/>
      <c r="C16" s="227"/>
      <c r="D16" s="227"/>
      <c r="E16" s="50"/>
    </row>
    <row r="17" spans="2:5" ht="15.75">
      <c r="B17" s="231" t="s">
        <v>29</v>
      </c>
      <c r="C17" s="227"/>
      <c r="D17" s="227"/>
      <c r="E17" s="50"/>
    </row>
    <row r="18" spans="2:5" ht="15.75">
      <c r="B18" s="139" t="s">
        <v>267</v>
      </c>
      <c r="C18" s="227"/>
      <c r="D18" s="227"/>
      <c r="E18" s="50"/>
    </row>
    <row r="19" spans="2:5" ht="15.75">
      <c r="B19" s="223" t="s">
        <v>785</v>
      </c>
      <c r="C19" s="353">
        <f>IF(C20*0.1&lt;C18,"Exceed 10% Rule","")</f>
      </c>
      <c r="D19" s="353">
        <f>IF(D20*0.1&lt;D18,"Exceed 10% Rule","")</f>
      </c>
      <c r="E19" s="370">
        <f>IF(E20*0.1+E40&lt;E18,"Exceed 10% Rule","")</f>
      </c>
    </row>
    <row r="20" spans="2:5" ht="15.75">
      <c r="B20" s="233" t="s">
        <v>30</v>
      </c>
      <c r="C20" s="354">
        <f>SUM(C8:C18)</f>
        <v>0</v>
      </c>
      <c r="D20" s="354">
        <f>SUM(D8:D18)</f>
        <v>0</v>
      </c>
      <c r="E20" s="259">
        <f>SUM(E8:E18)</f>
        <v>0</v>
      </c>
    </row>
    <row r="21" spans="2:5" ht="15.75">
      <c r="B21" s="233" t="s">
        <v>31</v>
      </c>
      <c r="C21" s="354">
        <f>C6+C20</f>
        <v>0</v>
      </c>
      <c r="D21" s="354">
        <f>D6+D20</f>
        <v>0</v>
      </c>
      <c r="E21" s="259">
        <f>E6+E20</f>
        <v>0</v>
      </c>
    </row>
    <row r="22" spans="2:6" ht="15.75">
      <c r="B22" s="131" t="s">
        <v>33</v>
      </c>
      <c r="C22" s="240"/>
      <c r="D22" s="240"/>
      <c r="E22" s="48"/>
      <c r="F22" s="261"/>
    </row>
    <row r="23" spans="2:5" ht="15.75">
      <c r="B23" s="262"/>
      <c r="C23" s="227"/>
      <c r="D23" s="227"/>
      <c r="E23" s="49"/>
    </row>
    <row r="24" spans="2:10" ht="15.75">
      <c r="B24" s="239"/>
      <c r="C24" s="227"/>
      <c r="D24" s="227"/>
      <c r="E24" s="50"/>
      <c r="G24" s="836" t="str">
        <f>CONCATENATE("Desired Carryover Into ",E1+1,"")</f>
        <v>Desired Carryover Into 2014</v>
      </c>
      <c r="H24" s="825"/>
      <c r="I24" s="825"/>
      <c r="J24" s="826"/>
    </row>
    <row r="25" spans="2:10" ht="15.75">
      <c r="B25" s="239"/>
      <c r="C25" s="227"/>
      <c r="D25" s="227"/>
      <c r="E25" s="50"/>
      <c r="G25" s="702"/>
      <c r="H25" s="689"/>
      <c r="I25" s="696"/>
      <c r="J25" s="703"/>
    </row>
    <row r="26" spans="2:10" ht="15.75">
      <c r="B26" s="239"/>
      <c r="C26" s="227"/>
      <c r="D26" s="227"/>
      <c r="E26" s="50"/>
      <c r="G26" s="701" t="s">
        <v>633</v>
      </c>
      <c r="H26" s="696"/>
      <c r="I26" s="696"/>
      <c r="J26" s="690">
        <v>0</v>
      </c>
    </row>
    <row r="27" spans="2:10" ht="15.75">
      <c r="B27" s="239"/>
      <c r="C27" s="227"/>
      <c r="D27" s="227"/>
      <c r="E27" s="50"/>
      <c r="G27" s="702" t="s">
        <v>634</v>
      </c>
      <c r="H27" s="689"/>
      <c r="I27" s="689"/>
      <c r="J27" s="730">
        <f>IF(J26=0,"",ROUND((J26+E40-G39)/inputOth!E7*1000,3)-G44)</f>
      </c>
    </row>
    <row r="28" spans="2:10" ht="15.75">
      <c r="B28" s="239"/>
      <c r="C28" s="227"/>
      <c r="D28" s="227"/>
      <c r="E28" s="50"/>
      <c r="G28" s="727" t="str">
        <f>CONCATENATE("",E1," Tot Exp/Non-Appr Must Be:")</f>
        <v>2013 Tot Exp/Non-Appr Must Be:</v>
      </c>
      <c r="H28" s="725"/>
      <c r="I28" s="726"/>
      <c r="J28" s="722">
        <f>IF(J26&gt;0,IF(E37&lt;E21,IF(J26=G39,E37,((J26-G39)*(1-D39))+E21),E37+(J26-G39)),0)</f>
        <v>0</v>
      </c>
    </row>
    <row r="29" spans="2:10" ht="15.75">
      <c r="B29" s="239"/>
      <c r="C29" s="227"/>
      <c r="D29" s="227"/>
      <c r="E29" s="50"/>
      <c r="G29" s="592" t="s">
        <v>807</v>
      </c>
      <c r="H29" s="733"/>
      <c r="I29" s="733"/>
      <c r="J29" s="728">
        <f>IF(J26&gt;0,J28-E37,0)</f>
        <v>0</v>
      </c>
    </row>
    <row r="30" spans="2:10" ht="15.75">
      <c r="B30" s="240" t="s">
        <v>268</v>
      </c>
      <c r="C30" s="227"/>
      <c r="D30" s="227"/>
      <c r="E30" s="57">
        <f>nhood!E11</f>
      </c>
      <c r="J30" s="679"/>
    </row>
    <row r="31" spans="2:10" ht="15.75">
      <c r="B31" s="240" t="s">
        <v>267</v>
      </c>
      <c r="C31" s="227"/>
      <c r="D31" s="227"/>
      <c r="E31" s="50"/>
      <c r="G31" s="836" t="str">
        <f>CONCATENATE("Projected Carryover Into ",E1+1,"")</f>
        <v>Projected Carryover Into 2014</v>
      </c>
      <c r="H31" s="833"/>
      <c r="I31" s="833"/>
      <c r="J31" s="839"/>
    </row>
    <row r="32" spans="2:10" ht="15.75">
      <c r="B32" s="240" t="s">
        <v>786</v>
      </c>
      <c r="C32" s="353">
        <f>IF(C33*0.1&lt;C31,"Exceed 10% Rule","")</f>
      </c>
      <c r="D32" s="353">
        <f>IF(D33*0.1&lt;D31,"Exceed 10% Rule","")</f>
      </c>
      <c r="E32" s="370">
        <f>IF(E33*0.1&lt;E31,"Exceed 10% Rule","")</f>
      </c>
      <c r="G32" s="702"/>
      <c r="H32" s="696"/>
      <c r="I32" s="696"/>
      <c r="J32" s="742"/>
    </row>
    <row r="33" spans="2:10" ht="15.75">
      <c r="B33" s="233" t="s">
        <v>37</v>
      </c>
      <c r="C33" s="354">
        <f>SUM(C23:C31)</f>
        <v>0</v>
      </c>
      <c r="D33" s="354">
        <f>SUM(D23:D31)</f>
        <v>0</v>
      </c>
      <c r="E33" s="259">
        <f>SUM(E23:E31)</f>
        <v>0</v>
      </c>
      <c r="G33" s="693">
        <f>D34</f>
        <v>0</v>
      </c>
      <c r="H33" s="694" t="str">
        <f>CONCATENATE("",E1-1," Ending Cash Balance (est.)")</f>
        <v>2012 Ending Cash Balance (est.)</v>
      </c>
      <c r="I33" s="695"/>
      <c r="J33" s="742"/>
    </row>
    <row r="34" spans="2:10" ht="15.75">
      <c r="B34" s="131" t="s">
        <v>145</v>
      </c>
      <c r="C34" s="351">
        <f>C21-C33</f>
        <v>0</v>
      </c>
      <c r="D34" s="351">
        <f>D21-D33</f>
        <v>0</v>
      </c>
      <c r="E34" s="254" t="s">
        <v>13</v>
      </c>
      <c r="G34" s="693">
        <f>E20</f>
        <v>0</v>
      </c>
      <c r="H34" s="696" t="str">
        <f>CONCATENATE("",E1," Non-AV Receipts (est.)")</f>
        <v>2013 Non-AV Receipts (est.)</v>
      </c>
      <c r="I34" s="695"/>
      <c r="J34" s="742"/>
    </row>
    <row r="35" spans="2:10" ht="15.75">
      <c r="B35" s="119" t="str">
        <f>CONCATENATE("",$E$1-2,"/",$E$1-1," Budget Authority Amount:")</f>
        <v>2011/2012 Budget Authority Amount:</v>
      </c>
      <c r="C35" s="183">
        <f>inputOth!B66</f>
        <v>0</v>
      </c>
      <c r="D35" s="242">
        <f>inputPrYr!D23</f>
        <v>0</v>
      </c>
      <c r="E35" s="254" t="s">
        <v>13</v>
      </c>
      <c r="F35" s="243"/>
      <c r="G35" s="697">
        <f>IF(E39&gt;0,E38,E40)</f>
        <v>0</v>
      </c>
      <c r="H35" s="696" t="str">
        <f>CONCATENATE("",E1," Ad Valorem Tax (est.)")</f>
        <v>2013 Ad Valorem Tax (est.)</v>
      </c>
      <c r="I35" s="695"/>
      <c r="J35" s="742"/>
    </row>
    <row r="36" spans="2:10" ht="15.75">
      <c r="B36" s="119"/>
      <c r="C36" s="818" t="s">
        <v>625</v>
      </c>
      <c r="D36" s="819"/>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20" t="s">
        <v>626</v>
      </c>
      <c r="D37" s="821"/>
      <c r="E37" s="193">
        <f>E33+E36</f>
        <v>0</v>
      </c>
      <c r="G37" s="698"/>
      <c r="H37" s="696"/>
      <c r="I37" s="696"/>
      <c r="J37" s="742"/>
    </row>
    <row r="38" spans="2:10" ht="15.75">
      <c r="B38" s="372" t="str">
        <f>CONCATENATE(C94,"     ",D94)</f>
        <v>     </v>
      </c>
      <c r="C38" s="244"/>
      <c r="D38" s="147" t="s">
        <v>38</v>
      </c>
      <c r="E38" s="193">
        <f>IF(E37-E21&gt;0,E37-E21,0)</f>
        <v>0</v>
      </c>
      <c r="G38" s="697">
        <f>ROUND(C33*0.05+C33,0)</f>
        <v>0</v>
      </c>
      <c r="H38" s="696" t="str">
        <f>CONCATENATE("Less ",E1-2," Expenditures + 5%")</f>
        <v>Less 2011 Expenditures + 5%</v>
      </c>
      <c r="I38" s="695"/>
      <c r="J38" s="742"/>
    </row>
    <row r="39" spans="2:10" ht="15.75">
      <c r="B39" s="147"/>
      <c r="C39" s="358" t="s">
        <v>627</v>
      </c>
      <c r="D39" s="594">
        <f>inputOth!$E$47</f>
        <v>0.03</v>
      </c>
      <c r="E39" s="193">
        <f>ROUND(IF(D39&gt;0,(E38*D39),0),0)</f>
        <v>0</v>
      </c>
      <c r="G39" s="731">
        <f>G36-G38</f>
        <v>0</v>
      </c>
      <c r="H39" s="732" t="str">
        <f>CONCATENATE("Projected ",E1+1," carryover (est.)")</f>
        <v>Projected 2014 carryover (est.)</v>
      </c>
      <c r="I39" s="699"/>
      <c r="J39" s="740"/>
    </row>
    <row r="40" spans="2:10" ht="16.5" thickBot="1">
      <c r="B40" s="22"/>
      <c r="C40" s="822" t="str">
        <f>CONCATENATE("Amount of  ",$E$1-1," Ad Valorem Tax")</f>
        <v>Amount of  2012 Ad Valorem Tax</v>
      </c>
      <c r="D40" s="823"/>
      <c r="E40" s="260">
        <f>E38+E39</f>
        <v>0</v>
      </c>
      <c r="G40" s="679"/>
      <c r="H40" s="679"/>
      <c r="I40" s="679"/>
      <c r="J40" s="679"/>
    </row>
    <row r="41" spans="2:10" ht="16.5" thickTop="1">
      <c r="B41" s="22"/>
      <c r="C41" s="830"/>
      <c r="D41" s="830"/>
      <c r="E41" s="22"/>
      <c r="G41" s="827" t="s">
        <v>863</v>
      </c>
      <c r="H41" s="828"/>
      <c r="I41" s="828"/>
      <c r="J41" s="829"/>
    </row>
    <row r="42" spans="2:10" ht="15.75">
      <c r="B42" s="22"/>
      <c r="C42" s="22"/>
      <c r="D42" s="22"/>
      <c r="E42" s="22"/>
      <c r="G42" s="735"/>
      <c r="H42" s="694"/>
      <c r="I42" s="723"/>
      <c r="J42" s="724"/>
    </row>
    <row r="43" spans="2:10" ht="15.75">
      <c r="B43" s="29"/>
      <c r="C43" s="258"/>
      <c r="D43" s="258"/>
      <c r="E43" s="258"/>
      <c r="G43" s="737" t="str">
        <f>summ!H21</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summ!E21</f>
        <v>  </v>
      </c>
      <c r="H44" s="694" t="str">
        <f>CONCATENATE("",E1-1," Fund Mill Rate")</f>
        <v>2012 Fund Mill Rate</v>
      </c>
      <c r="I44" s="723"/>
      <c r="J44" s="724"/>
    </row>
    <row r="45" spans="2:10" ht="15.75">
      <c r="B45" s="368">
        <f>inputPrYr!B24</f>
        <v>0</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223" t="s">
        <v>144</v>
      </c>
      <c r="C46" s="224"/>
      <c r="D46" s="351">
        <f>C74</f>
        <v>0</v>
      </c>
      <c r="E46" s="193">
        <f>D74</f>
        <v>0</v>
      </c>
      <c r="G46" s="736">
        <f>summ!E43</f>
        <v>51.172</v>
      </c>
      <c r="H46" s="719" t="str">
        <f>CONCATENATE("Total ",E1-1," Mill Rate")</f>
        <v>Total 2012 Mill Rate</v>
      </c>
      <c r="I46" s="720"/>
      <c r="J46" s="721"/>
    </row>
    <row r="47" spans="2:5" ht="15.75">
      <c r="B47" s="223" t="s">
        <v>146</v>
      </c>
      <c r="C47" s="139"/>
      <c r="D47" s="139"/>
      <c r="E47" s="68"/>
    </row>
    <row r="48" spans="2:5" ht="15.75">
      <c r="B48" s="131" t="s">
        <v>25</v>
      </c>
      <c r="C48" s="224"/>
      <c r="D48" s="351">
        <f>IF(inputPrYr!H16&gt;0,inputPrYr!G24,inputPrYr!E24)</f>
        <v>0</v>
      </c>
      <c r="E48" s="254" t="s">
        <v>13</v>
      </c>
    </row>
    <row r="49" spans="2:5" ht="15.75">
      <c r="B49" s="131" t="s">
        <v>26</v>
      </c>
      <c r="C49" s="224"/>
      <c r="D49" s="224"/>
      <c r="E49" s="50"/>
    </row>
    <row r="50" spans="2:5" ht="15.75">
      <c r="B50" s="131" t="s">
        <v>27</v>
      </c>
      <c r="C50" s="224"/>
      <c r="D50" s="224"/>
      <c r="E50" s="193" t="str">
        <f>mvalloc!D13</f>
        <v>  </v>
      </c>
    </row>
    <row r="51" spans="2:5" ht="15.75">
      <c r="B51" s="131" t="s">
        <v>28</v>
      </c>
      <c r="C51" s="224"/>
      <c r="D51" s="224"/>
      <c r="E51" s="193" t="str">
        <f>mvalloc!E13</f>
        <v> </v>
      </c>
    </row>
    <row r="52" spans="2:5" ht="15.75">
      <c r="B52" s="139" t="s">
        <v>121</v>
      </c>
      <c r="C52" s="224"/>
      <c r="D52" s="224"/>
      <c r="E52" s="193" t="str">
        <f>mvalloc!F13</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29</v>
      </c>
      <c r="C57" s="224"/>
      <c r="D57" s="224"/>
      <c r="E57" s="50"/>
    </row>
    <row r="58" spans="2:5" ht="15.75">
      <c r="B58" s="139" t="s">
        <v>267</v>
      </c>
      <c r="C58" s="224"/>
      <c r="D58" s="224"/>
      <c r="E58" s="50"/>
    </row>
    <row r="59" spans="2:5" ht="15.75">
      <c r="B59" s="223" t="s">
        <v>785</v>
      </c>
      <c r="C59" s="353">
        <f>IF(C60*0.1&lt;C58,"Exceed 10% Rule","")</f>
      </c>
      <c r="D59" s="353">
        <f>IF(D60*0.1&lt;D58,"Exceed 10% Rule","")</f>
      </c>
      <c r="E59" s="370">
        <f>IF(E60*0.1+E80&lt;E58,"Exceed 10% Rule","")</f>
      </c>
    </row>
    <row r="60" spans="2:5" ht="15.75">
      <c r="B60" s="233" t="s">
        <v>30</v>
      </c>
      <c r="C60" s="354">
        <f>SUM(C48:C58)</f>
        <v>0</v>
      </c>
      <c r="D60" s="354">
        <f>SUM(D48:D58)</f>
        <v>0</v>
      </c>
      <c r="E60" s="259">
        <f>SUM(E49:E58)</f>
        <v>0</v>
      </c>
    </row>
    <row r="61" spans="2:5" ht="15.75">
      <c r="B61" s="233" t="s">
        <v>31</v>
      </c>
      <c r="C61" s="354">
        <f>C46+C60</f>
        <v>0</v>
      </c>
      <c r="D61" s="354">
        <f>D46+D60</f>
        <v>0</v>
      </c>
      <c r="E61" s="259">
        <f>E46+E60</f>
        <v>0</v>
      </c>
    </row>
    <row r="62" spans="2:5" ht="15.75">
      <c r="B62" s="131" t="s">
        <v>33</v>
      </c>
      <c r="C62" s="240"/>
      <c r="D62" s="240"/>
      <c r="E62" s="48"/>
    </row>
    <row r="63" spans="2:5" ht="15.75">
      <c r="B63" s="239"/>
      <c r="C63" s="224"/>
      <c r="D63" s="224"/>
      <c r="E63" s="50"/>
    </row>
    <row r="64" spans="2:10" ht="15.75">
      <c r="B64" s="239"/>
      <c r="C64" s="224"/>
      <c r="D64" s="224"/>
      <c r="E64" s="50"/>
      <c r="G64" s="836" t="str">
        <f>CONCATENATE("Desired Carryover Into ",E1+1,"")</f>
        <v>Desired Carryover Into 2014</v>
      </c>
      <c r="H64" s="825"/>
      <c r="I64" s="825"/>
      <c r="J64" s="826"/>
    </row>
    <row r="65" spans="2:10" ht="15.75">
      <c r="B65" s="239"/>
      <c r="C65" s="224"/>
      <c r="D65" s="224"/>
      <c r="E65" s="50"/>
      <c r="G65" s="702"/>
      <c r="H65" s="689"/>
      <c r="I65" s="696"/>
      <c r="J65" s="703"/>
    </row>
    <row r="66" spans="2:10" ht="15.75">
      <c r="B66" s="239"/>
      <c r="C66" s="224"/>
      <c r="D66" s="224"/>
      <c r="E66" s="50"/>
      <c r="G66" s="701" t="s">
        <v>633</v>
      </c>
      <c r="H66" s="696"/>
      <c r="I66" s="696"/>
      <c r="J66" s="690">
        <v>0</v>
      </c>
    </row>
    <row r="67" spans="2:10" ht="15.75">
      <c r="B67" s="239"/>
      <c r="C67" s="224"/>
      <c r="D67" s="224"/>
      <c r="E67" s="50"/>
      <c r="G67" s="702" t="s">
        <v>634</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807</v>
      </c>
      <c r="H69" s="733"/>
      <c r="I69" s="733"/>
      <c r="J69" s="728">
        <f>IF(J66&gt;0,J68-E77,0)</f>
        <v>0</v>
      </c>
    </row>
    <row r="70" spans="2:10" ht="15.75">
      <c r="B70" s="240" t="s">
        <v>268</v>
      </c>
      <c r="C70" s="224"/>
      <c r="D70" s="224"/>
      <c r="E70" s="57">
        <f>nhood!E12</f>
      </c>
      <c r="J70" s="679"/>
    </row>
    <row r="71" spans="2:10" ht="15.75">
      <c r="B71" s="240" t="s">
        <v>267</v>
      </c>
      <c r="C71" s="224"/>
      <c r="D71" s="224"/>
      <c r="E71" s="50"/>
      <c r="G71" s="836" t="str">
        <f>CONCATENATE("Projected Carryover Into ",E1+1,"")</f>
        <v>Projected Carryover Into 2014</v>
      </c>
      <c r="H71" s="840"/>
      <c r="I71" s="840"/>
      <c r="J71" s="839"/>
    </row>
    <row r="72" spans="2:10" ht="15.75">
      <c r="B72" s="240" t="s">
        <v>786</v>
      </c>
      <c r="C72" s="353">
        <f>IF(C73*0.1&lt;C71,"Exceed 10% Rule","")</f>
      </c>
      <c r="D72" s="353">
        <f>IF(D73*0.1&lt;D71,"Exceed 10% Rule","")</f>
      </c>
      <c r="E72" s="370">
        <f>IF(E73*0.1&lt;E71,"Exceed 10% Rule","")</f>
      </c>
      <c r="G72" s="691"/>
      <c r="H72" s="689"/>
      <c r="I72" s="689"/>
      <c r="J72" s="742"/>
    </row>
    <row r="73" spans="2:10" ht="15.75">
      <c r="B73" s="233" t="s">
        <v>37</v>
      </c>
      <c r="C73" s="354">
        <f>SUM(C63:C71)</f>
        <v>0</v>
      </c>
      <c r="D73" s="354">
        <f>SUM(D63:D71)</f>
        <v>0</v>
      </c>
      <c r="E73" s="259">
        <f>SUM(E63:E71)</f>
        <v>0</v>
      </c>
      <c r="G73" s="693">
        <f>D74</f>
        <v>0</v>
      </c>
      <c r="H73" s="694" t="str">
        <f>CONCATENATE("",E1-1," Ending Cash Balance (est.)")</f>
        <v>2012 Ending Cash Balance (est.)</v>
      </c>
      <c r="I73" s="695"/>
      <c r="J73" s="742"/>
    </row>
    <row r="74" spans="2:10" ht="15.75">
      <c r="B74" s="131" t="s">
        <v>145</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inputOth!B67</f>
        <v>0</v>
      </c>
      <c r="D75" s="242">
        <f>inputPrYr!D24</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8" t="s">
        <v>625</v>
      </c>
      <c r="D76" s="819"/>
      <c r="E76" s="50"/>
      <c r="F76" s="753">
        <f>IF(E73/0.95-E73&lt;E76,"Exceeds 5%","")</f>
      </c>
      <c r="G76" s="704">
        <f>SUM(G73:G75)</f>
        <v>0</v>
      </c>
      <c r="H76" s="696" t="str">
        <f>CONCATENATE("Total ",E1," Resources Available")</f>
        <v>Total 2013 Resources Available</v>
      </c>
      <c r="I76" s="692"/>
      <c r="J76" s="742"/>
    </row>
    <row r="77" spans="2:10" ht="15.75">
      <c r="B77" s="372" t="str">
        <f>CONCATENATE(C95,"     ",D95)</f>
        <v>     </v>
      </c>
      <c r="C77" s="820" t="s">
        <v>626</v>
      </c>
      <c r="D77" s="821"/>
      <c r="E77" s="193">
        <f>E73+E76</f>
        <v>0</v>
      </c>
      <c r="G77" s="707"/>
      <c r="H77" s="705"/>
      <c r="I77" s="689"/>
      <c r="J77" s="742"/>
    </row>
    <row r="78" spans="2:10" ht="15.75">
      <c r="B78" s="372" t="str">
        <f>CONCATENATE(C96,"     ",D96)</f>
        <v>     </v>
      </c>
      <c r="C78" s="244"/>
      <c r="D78" s="147" t="s">
        <v>38</v>
      </c>
      <c r="E78" s="193">
        <f>IF(E77-E61&gt;0,E77-E61,0)</f>
        <v>0</v>
      </c>
      <c r="G78" s="706">
        <f>ROUND(C73*0.05+C73,0)</f>
        <v>0</v>
      </c>
      <c r="H78" s="705" t="str">
        <f>CONCATENATE("Less ",E1-2," Expenditures + 5%")</f>
        <v>Less 2011 Expenditures + 5%</v>
      </c>
      <c r="I78" s="692"/>
      <c r="J78" s="742"/>
    </row>
    <row r="79" spans="2:10" ht="15.75">
      <c r="B79" s="147"/>
      <c r="C79" s="358" t="s">
        <v>627</v>
      </c>
      <c r="D79" s="594">
        <f>inputOth!$E$47</f>
        <v>0.03</v>
      </c>
      <c r="E79" s="193">
        <f>ROUND(IF(D79&gt;0,(E78*D79),0),0)</f>
        <v>0</v>
      </c>
      <c r="G79" s="708">
        <f>G76-G78</f>
        <v>0</v>
      </c>
      <c r="H79" s="709" t="str">
        <f>CONCATENATE("Projected ",E1+1," carryover (est.)")</f>
        <v>Projected 2014 carryover (est.)</v>
      </c>
      <c r="I79" s="700"/>
      <c r="J79" s="740"/>
    </row>
    <row r="80" spans="2:9" ht="16.5" thickBot="1">
      <c r="B80" s="22"/>
      <c r="C80" s="822" t="str">
        <f>CONCATENATE("Amount of  ",$E$1-1," Ad Valorem Tax")</f>
        <v>Amount of  2012 Ad Valorem Tax</v>
      </c>
      <c r="D80" s="823"/>
      <c r="E80" s="260">
        <f>E78+E79</f>
        <v>0</v>
      </c>
      <c r="G80" s="679"/>
      <c r="H80" s="679"/>
      <c r="I80" s="679"/>
    </row>
    <row r="81" spans="2:10" ht="16.5" thickTop="1">
      <c r="B81" s="22"/>
      <c r="C81" s="830"/>
      <c r="D81" s="830"/>
      <c r="E81" s="22"/>
      <c r="G81" s="827" t="s">
        <v>863</v>
      </c>
      <c r="H81" s="828"/>
      <c r="I81" s="828"/>
      <c r="J81" s="829"/>
    </row>
    <row r="82" spans="2:10" ht="15.75">
      <c r="B82" s="22"/>
      <c r="C82" s="22"/>
      <c r="D82" s="22"/>
      <c r="E82" s="22"/>
      <c r="G82" s="735"/>
      <c r="H82" s="694"/>
      <c r="I82" s="723"/>
      <c r="J82" s="724"/>
    </row>
    <row r="83" spans="2:10" ht="15.75">
      <c r="B83" s="119" t="s">
        <v>40</v>
      </c>
      <c r="C83" s="250"/>
      <c r="D83" s="22"/>
      <c r="E83" s="22"/>
      <c r="G83" s="737" t="str">
        <f>summ!H22</f>
        <v>  </v>
      </c>
      <c r="H83" s="694" t="str">
        <f>CONCATENATE("",E1," Fund Mill Rate")</f>
        <v>2013 Fund Mill Rate</v>
      </c>
      <c r="I83" s="723"/>
      <c r="J83" s="724"/>
    </row>
    <row r="84" spans="7:10" ht="15.75">
      <c r="G84" s="736" t="str">
        <f>summ!E22</f>
        <v>  </v>
      </c>
      <c r="H84" s="694" t="str">
        <f>CONCATENATE("",E1-1," Fund Mill Rate")</f>
        <v>2012 Fund Mill Rate</v>
      </c>
      <c r="I84" s="723"/>
      <c r="J84" s="724"/>
    </row>
    <row r="85" spans="7:10" ht="15.75">
      <c r="G85" s="738">
        <f>summ!H43</f>
        <v>53.608999999999995</v>
      </c>
      <c r="H85" s="694" t="str">
        <f>CONCATENATE("Total ",E1," Mill Rate")</f>
        <v>Total 2013 Mill Rate</v>
      </c>
      <c r="I85" s="723"/>
      <c r="J85" s="724"/>
    </row>
    <row r="86" spans="7:10" ht="15.75">
      <c r="G86" s="736">
        <f>summ!E43</f>
        <v>51.172</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M34" sqref="M34"/>
    </sheetView>
  </sheetViews>
  <sheetFormatPr defaultColWidth="8.796875" defaultRowHeight="15"/>
  <cols>
    <col min="1" max="1" width="2.3984375" style="23" customWidth="1"/>
    <col min="2" max="2" width="31.09765625" style="23" customWidth="1"/>
    <col min="3" max="4" width="15.796875" style="23" customWidth="1"/>
    <col min="5" max="5" width="16.0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89</v>
      </c>
      <c r="C3" s="169"/>
      <c r="D3" s="169"/>
      <c r="E3" s="257"/>
    </row>
    <row r="4" spans="2:5" ht="15.75">
      <c r="B4" s="29" t="s">
        <v>24</v>
      </c>
      <c r="C4" s="661" t="s">
        <v>802</v>
      </c>
      <c r="D4" s="662" t="s">
        <v>805</v>
      </c>
      <c r="E4" s="125" t="s">
        <v>806</v>
      </c>
    </row>
    <row r="5" spans="2:5" ht="15.75">
      <c r="B5" s="368">
        <f>inputPrYr!B25</f>
        <v>0</v>
      </c>
      <c r="C5" s="352" t="str">
        <f>CONCATENATE("Actual for ",E1-2,"")</f>
        <v>Actual for 2011</v>
      </c>
      <c r="D5" s="352" t="str">
        <f>CONCATENATE("Estimate for ",E1-1,"")</f>
        <v>Estimate for 2012</v>
      </c>
      <c r="E5" s="222" t="str">
        <f>CONCATENATE("Year for ",E1,"")</f>
        <v>Year for 2013</v>
      </c>
    </row>
    <row r="6" spans="2:5" ht="15.75">
      <c r="B6" s="223" t="s">
        <v>144</v>
      </c>
      <c r="C6" s="224"/>
      <c r="D6" s="351">
        <f>C34</f>
        <v>0</v>
      </c>
      <c r="E6" s="193">
        <f>D34</f>
        <v>0</v>
      </c>
    </row>
    <row r="7" spans="2:5" ht="15.75">
      <c r="B7" s="223" t="s">
        <v>146</v>
      </c>
      <c r="C7" s="139"/>
      <c r="D7" s="139"/>
      <c r="E7" s="68"/>
    </row>
    <row r="8" spans="2:5" ht="15.75">
      <c r="B8" s="131" t="s">
        <v>25</v>
      </c>
      <c r="C8" s="224"/>
      <c r="D8" s="351">
        <f>IF(inputPrYr!H16&gt;0,inputPrYr!G25,inputPrYr!E25)</f>
        <v>0</v>
      </c>
      <c r="E8" s="254" t="s">
        <v>13</v>
      </c>
    </row>
    <row r="9" spans="2:5" ht="15.75">
      <c r="B9" s="131" t="s">
        <v>26</v>
      </c>
      <c r="C9" s="224"/>
      <c r="D9" s="224"/>
      <c r="E9" s="50"/>
    </row>
    <row r="10" spans="2:5" ht="15.75">
      <c r="B10" s="131" t="s">
        <v>27</v>
      </c>
      <c r="C10" s="224"/>
      <c r="D10" s="224"/>
      <c r="E10" s="193" t="str">
        <f>mvalloc!D14</f>
        <v>  </v>
      </c>
    </row>
    <row r="11" spans="2:5" ht="15.75">
      <c r="B11" s="131" t="s">
        <v>28</v>
      </c>
      <c r="C11" s="224"/>
      <c r="D11" s="224"/>
      <c r="E11" s="193" t="str">
        <f>mvalloc!E14</f>
        <v> </v>
      </c>
    </row>
    <row r="12" spans="2:5" ht="15.75">
      <c r="B12" s="139" t="s">
        <v>121</v>
      </c>
      <c r="C12" s="224"/>
      <c r="D12" s="224"/>
      <c r="E12" s="193" t="str">
        <f>mvalloc!F14</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29</v>
      </c>
      <c r="C17" s="224"/>
      <c r="D17" s="224"/>
      <c r="E17" s="50"/>
    </row>
    <row r="18" spans="2:5" ht="15.75">
      <c r="B18" s="139" t="s">
        <v>267</v>
      </c>
      <c r="C18" s="224"/>
      <c r="D18" s="224"/>
      <c r="E18" s="50"/>
    </row>
    <row r="19" spans="2:5" ht="15.75">
      <c r="B19" s="223" t="s">
        <v>785</v>
      </c>
      <c r="C19" s="353">
        <f>IF(C20*0.1&lt;C18,"Exceed 10% Rule","")</f>
      </c>
      <c r="D19" s="353">
        <f>IF(D20*0.1&lt;D18,"Exceed 10% Rule","")</f>
      </c>
      <c r="E19" s="370">
        <f>IF(E20*0.1+E40&lt;E18,"Exceed 10% Rule","")</f>
      </c>
    </row>
    <row r="20" spans="2:5" ht="15.75">
      <c r="B20" s="233" t="s">
        <v>30</v>
      </c>
      <c r="C20" s="354">
        <f>SUM(C8:C18)</f>
        <v>0</v>
      </c>
      <c r="D20" s="354">
        <f>SUM(D8:D18)</f>
        <v>0</v>
      </c>
      <c r="E20" s="259">
        <f>SUM(E8:E18)</f>
        <v>0</v>
      </c>
    </row>
    <row r="21" spans="2:5" ht="15.75">
      <c r="B21" s="233" t="s">
        <v>31</v>
      </c>
      <c r="C21" s="354">
        <f>C6+C20</f>
        <v>0</v>
      </c>
      <c r="D21" s="354">
        <f>D6+D20</f>
        <v>0</v>
      </c>
      <c r="E21" s="259">
        <f>E6+E20</f>
        <v>0</v>
      </c>
    </row>
    <row r="22" spans="2:5" ht="15.75">
      <c r="B22" s="131" t="s">
        <v>33</v>
      </c>
      <c r="C22" s="240"/>
      <c r="D22" s="240"/>
      <c r="E22" s="48"/>
    </row>
    <row r="23" spans="2:5" ht="15.75">
      <c r="B23" s="239"/>
      <c r="C23" s="224"/>
      <c r="D23" s="224"/>
      <c r="E23" s="50"/>
    </row>
    <row r="24" spans="2:10" ht="15.75">
      <c r="B24" s="239"/>
      <c r="C24" s="224"/>
      <c r="D24" s="224"/>
      <c r="E24" s="50"/>
      <c r="G24" s="836" t="str">
        <f>CONCATENATE("Desired Carryover Into ",E1+1,"")</f>
        <v>Desired Carryover Into 2014</v>
      </c>
      <c r="H24" s="825"/>
      <c r="I24" s="825"/>
      <c r="J24" s="826"/>
    </row>
    <row r="25" spans="2:10" ht="15.75">
      <c r="B25" s="239"/>
      <c r="C25" s="224"/>
      <c r="D25" s="224"/>
      <c r="E25" s="50"/>
      <c r="G25" s="702"/>
      <c r="H25" s="689"/>
      <c r="I25" s="696"/>
      <c r="J25" s="703"/>
    </row>
    <row r="26" spans="2:10" ht="15.75">
      <c r="B26" s="239"/>
      <c r="C26" s="224"/>
      <c r="D26" s="224"/>
      <c r="E26" s="50"/>
      <c r="G26" s="701" t="s">
        <v>633</v>
      </c>
      <c r="H26" s="696"/>
      <c r="I26" s="696"/>
      <c r="J26" s="690">
        <v>0</v>
      </c>
    </row>
    <row r="27" spans="2:10" ht="15.75">
      <c r="B27" s="239"/>
      <c r="C27" s="224"/>
      <c r="D27" s="224"/>
      <c r="E27" s="50"/>
      <c r="G27" s="702" t="s">
        <v>634</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IF(J26&gt;0,IF(E37&lt;E21,IF(J26=G39,E37,((J26-G39)*(1-D39))+E21),E37+(J26-G39)),0)</f>
        <v>0</v>
      </c>
    </row>
    <row r="29" spans="2:10" ht="15.75">
      <c r="B29" s="239"/>
      <c r="C29" s="224"/>
      <c r="D29" s="224"/>
      <c r="E29" s="50"/>
      <c r="G29" s="592" t="s">
        <v>807</v>
      </c>
      <c r="H29" s="733"/>
      <c r="I29" s="733"/>
      <c r="J29" s="728">
        <f>IF(J26&gt;0,J28-E37,0)</f>
        <v>0</v>
      </c>
    </row>
    <row r="30" spans="2:10" ht="15.75">
      <c r="B30" s="240" t="s">
        <v>268</v>
      </c>
      <c r="C30" s="224"/>
      <c r="D30" s="224"/>
      <c r="E30" s="57">
        <f>nhood!E13</f>
      </c>
      <c r="J30" s="679"/>
    </row>
    <row r="31" spans="2:10" ht="15.75">
      <c r="B31" s="240" t="s">
        <v>267</v>
      </c>
      <c r="C31" s="224"/>
      <c r="D31" s="224"/>
      <c r="E31" s="50"/>
      <c r="G31" s="836" t="str">
        <f>CONCATENATE("Projected Carryover Into ",E1+1,"")</f>
        <v>Projected Carryover Into 2014</v>
      </c>
      <c r="H31" s="833"/>
      <c r="I31" s="833"/>
      <c r="J31" s="839"/>
    </row>
    <row r="32" spans="2:10" ht="15.75">
      <c r="B32" s="240" t="s">
        <v>786</v>
      </c>
      <c r="C32" s="353">
        <f>IF(C33*0.1&lt;C31,"Exceed 10% Rule","")</f>
      </c>
      <c r="D32" s="353">
        <f>IF(D33*0.1&lt;D31,"Exceed 10% Rule","")</f>
      </c>
      <c r="E32" s="370">
        <f>IF(E33*0.1&lt;E31,"Exceed 10% Rule","")</f>
      </c>
      <c r="G32" s="702"/>
      <c r="H32" s="696"/>
      <c r="I32" s="696"/>
      <c r="J32" s="742"/>
    </row>
    <row r="33" spans="2:10" ht="15.75">
      <c r="B33" s="233" t="s">
        <v>37</v>
      </c>
      <c r="C33" s="354">
        <f>SUM(C23:C31)</f>
        <v>0</v>
      </c>
      <c r="D33" s="354">
        <f>SUM(D23:D31)</f>
        <v>0</v>
      </c>
      <c r="E33" s="259">
        <f>SUM(E23:E31)</f>
        <v>0</v>
      </c>
      <c r="G33" s="693">
        <f>D34</f>
        <v>0</v>
      </c>
      <c r="H33" s="694" t="str">
        <f>CONCATENATE("",E1-1," Ending Cash Balance (est.)")</f>
        <v>2012 Ending Cash Balance (est.)</v>
      </c>
      <c r="I33" s="695"/>
      <c r="J33" s="742"/>
    </row>
    <row r="34" spans="2:10" ht="15.75">
      <c r="B34" s="131" t="s">
        <v>145</v>
      </c>
      <c r="C34" s="351">
        <f>C21-C33</f>
        <v>0</v>
      </c>
      <c r="D34" s="351">
        <f>D21-D33</f>
        <v>0</v>
      </c>
      <c r="E34" s="254" t="s">
        <v>13</v>
      </c>
      <c r="G34" s="693">
        <f>E20</f>
        <v>0</v>
      </c>
      <c r="H34" s="696" t="str">
        <f>CONCATENATE("",E1," Non-AV Receipts (est.)")</f>
        <v>2013 Non-AV Receipts (est.)</v>
      </c>
      <c r="I34" s="695"/>
      <c r="J34" s="742"/>
    </row>
    <row r="35" spans="2:11" ht="15.75">
      <c r="B35" s="119" t="str">
        <f>CONCATENATE("",$E$1-2,"/",$E$1-1," Budget Authority Amount:")</f>
        <v>2011/2012 Budget Authority Amount:</v>
      </c>
      <c r="C35" s="183">
        <f>inputOth!B68</f>
        <v>0</v>
      </c>
      <c r="D35" s="242">
        <f>inputPrYr!D25</f>
        <v>0</v>
      </c>
      <c r="E35" s="254" t="s">
        <v>13</v>
      </c>
      <c r="F35" s="243"/>
      <c r="G35" s="697">
        <f>IF(D39&gt;0,E38,E40)</f>
        <v>0</v>
      </c>
      <c r="H35" s="696" t="str">
        <f>CONCATENATE("",E1," Ad Valorem Tax (est.)")</f>
        <v>2013 Ad Valorem Tax (est.)</v>
      </c>
      <c r="I35" s="695"/>
      <c r="J35" s="742"/>
      <c r="K35" s="595">
        <f>IF(G35=E40,"","Note: Does not include Delinquent Taxes")</f>
      </c>
    </row>
    <row r="36" spans="2:10" ht="15.75">
      <c r="B36" s="119"/>
      <c r="C36" s="818" t="s">
        <v>625</v>
      </c>
      <c r="D36" s="819"/>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20" t="s">
        <v>626</v>
      </c>
      <c r="D37" s="821"/>
      <c r="E37" s="193">
        <f>E33+E36</f>
        <v>0</v>
      </c>
      <c r="G37" s="698"/>
      <c r="H37" s="696"/>
      <c r="I37" s="696"/>
      <c r="J37" s="742"/>
    </row>
    <row r="38" spans="2:10" ht="15.75">
      <c r="B38" s="372" t="str">
        <f>CONCATENATE(C94,"     ",D94)</f>
        <v>     </v>
      </c>
      <c r="C38" s="244"/>
      <c r="D38" s="147" t="s">
        <v>38</v>
      </c>
      <c r="E38" s="193">
        <f>IF(E37-E21&gt;0,E37-E21,0)</f>
        <v>0</v>
      </c>
      <c r="G38" s="697">
        <f>ROUND(C33*0.05+C33,0)</f>
        <v>0</v>
      </c>
      <c r="H38" s="696" t="str">
        <f>CONCATENATE("Less ",E1-2," Expenditures + 5%")</f>
        <v>Less 2011 Expenditures + 5%</v>
      </c>
      <c r="I38" s="695"/>
      <c r="J38" s="742"/>
    </row>
    <row r="39" spans="2:10" ht="15.75">
      <c r="B39" s="147"/>
      <c r="C39" s="358" t="s">
        <v>627</v>
      </c>
      <c r="D39" s="594">
        <f>inputOth!$E$47</f>
        <v>0.03</v>
      </c>
      <c r="E39" s="193">
        <f>ROUND(IF(D39&gt;0,(E38*D39),0),0)</f>
        <v>0</v>
      </c>
      <c r="G39" s="731">
        <f>G36-G38</f>
        <v>0</v>
      </c>
      <c r="H39" s="732" t="str">
        <f>CONCATENATE("Projected ",E1+1," carryover (est.)")</f>
        <v>Projected 2014 carryover (est.)</v>
      </c>
      <c r="I39" s="699"/>
      <c r="J39" s="740"/>
    </row>
    <row r="40" spans="2:10" ht="16.5" thickBot="1">
      <c r="B40" s="22"/>
      <c r="C40" s="822" t="str">
        <f>CONCATENATE("Amount of  ",$E$1-1," Ad Valorem Tax")</f>
        <v>Amount of  2012 Ad Valorem Tax</v>
      </c>
      <c r="D40" s="823"/>
      <c r="E40" s="260">
        <f>E38+E39</f>
        <v>0</v>
      </c>
      <c r="G40" s="679"/>
      <c r="H40" s="679"/>
      <c r="I40" s="679"/>
      <c r="J40" s="679"/>
    </row>
    <row r="41" spans="2:10" ht="16.5" thickTop="1">
      <c r="B41" s="22"/>
      <c r="C41" s="830"/>
      <c r="D41" s="830"/>
      <c r="E41" s="22"/>
      <c r="G41" s="827" t="s">
        <v>863</v>
      </c>
      <c r="H41" s="828"/>
      <c r="I41" s="828"/>
      <c r="J41" s="829"/>
    </row>
    <row r="42" spans="2:10" ht="15.75">
      <c r="B42" s="22"/>
      <c r="C42" s="22"/>
      <c r="D42" s="22"/>
      <c r="E42" s="22"/>
      <c r="G42" s="735"/>
      <c r="H42" s="694"/>
      <c r="I42" s="723"/>
      <c r="J42" s="724"/>
    </row>
    <row r="43" spans="2:10" ht="15.75">
      <c r="B43" s="29"/>
      <c r="C43" s="258"/>
      <c r="D43" s="258"/>
      <c r="E43" s="258"/>
      <c r="G43" s="737" t="str">
        <f>summ!H23</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summ!E23</f>
        <v>  </v>
      </c>
      <c r="H44" s="694" t="str">
        <f>CONCATENATE("",E1-1," Fund Mill Rate")</f>
        <v>2012 Fund Mill Rate</v>
      </c>
      <c r="I44" s="723"/>
      <c r="J44" s="724"/>
    </row>
    <row r="45" spans="2:10" ht="15.75">
      <c r="B45" s="369">
        <f>inputPrYr!B26</f>
        <v>0</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223" t="s">
        <v>144</v>
      </c>
      <c r="C46" s="224"/>
      <c r="D46" s="351">
        <f>C74</f>
        <v>0</v>
      </c>
      <c r="E46" s="193">
        <f>D74</f>
        <v>0</v>
      </c>
      <c r="G46" s="736">
        <f>summ!E43</f>
        <v>51.172</v>
      </c>
      <c r="H46" s="719" t="str">
        <f>CONCATENATE("Total ",E1-1," Mill Rate")</f>
        <v>Total 2012 Mill Rate</v>
      </c>
      <c r="I46" s="720"/>
      <c r="J46" s="721"/>
    </row>
    <row r="47" spans="2:5" ht="15.75">
      <c r="B47" s="226" t="s">
        <v>146</v>
      </c>
      <c r="C47" s="139"/>
      <c r="D47" s="139"/>
      <c r="E47" s="68"/>
    </row>
    <row r="48" spans="2:5" ht="15.75">
      <c r="B48" s="131" t="s">
        <v>25</v>
      </c>
      <c r="C48" s="224"/>
      <c r="D48" s="351">
        <f>IF(inputPrYr!H16&gt;0,inputPrYr!G26,inputPrYr!E26)</f>
        <v>0</v>
      </c>
      <c r="E48" s="254" t="s">
        <v>13</v>
      </c>
    </row>
    <row r="49" spans="2:5" ht="15.75">
      <c r="B49" s="131" t="s">
        <v>26</v>
      </c>
      <c r="C49" s="224"/>
      <c r="D49" s="224"/>
      <c r="E49" s="50"/>
    </row>
    <row r="50" spans="2:5" ht="15.75">
      <c r="B50" s="131" t="s">
        <v>27</v>
      </c>
      <c r="C50" s="224"/>
      <c r="D50" s="224"/>
      <c r="E50" s="193" t="str">
        <f>mvalloc!D15</f>
        <v>  </v>
      </c>
    </row>
    <row r="51" spans="2:5" ht="15.75">
      <c r="B51" s="131" t="s">
        <v>28</v>
      </c>
      <c r="C51" s="224"/>
      <c r="D51" s="224"/>
      <c r="E51" s="193" t="str">
        <f>mvalloc!E15</f>
        <v> </v>
      </c>
    </row>
    <row r="52" spans="2:5" ht="15.75">
      <c r="B52" s="139" t="s">
        <v>121</v>
      </c>
      <c r="C52" s="224"/>
      <c r="D52" s="224"/>
      <c r="E52" s="193" t="str">
        <f>mvalloc!F15</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29</v>
      </c>
      <c r="C57" s="224"/>
      <c r="D57" s="224"/>
      <c r="E57" s="50"/>
    </row>
    <row r="58" spans="2:5" ht="15.75">
      <c r="B58" s="139" t="s">
        <v>267</v>
      </c>
      <c r="C58" s="224"/>
      <c r="D58" s="224"/>
      <c r="E58" s="50"/>
    </row>
    <row r="59" spans="2:5" ht="15.75">
      <c r="B59" s="223" t="s">
        <v>785</v>
      </c>
      <c r="C59" s="353">
        <f>IF(C60*0.1&lt;C58,"Exceed 10% Rule","")</f>
      </c>
      <c r="D59" s="353">
        <f>IF(D60*0.1&lt;D58,"Exceed 10% Rule","")</f>
      </c>
      <c r="E59" s="370">
        <f>IF(E60*0.1+E80&lt;E58,"Exceed 10% Rule","")</f>
      </c>
    </row>
    <row r="60" spans="2:5" ht="15.75">
      <c r="B60" s="233" t="s">
        <v>30</v>
      </c>
      <c r="C60" s="354">
        <f>SUM(C48:C58)</f>
        <v>0</v>
      </c>
      <c r="D60" s="354">
        <f>SUM(D48:D58)</f>
        <v>0</v>
      </c>
      <c r="E60" s="259">
        <f>SUM(E48:E58)</f>
        <v>0</v>
      </c>
    </row>
    <row r="61" spans="2:5" ht="15.75">
      <c r="B61" s="233" t="s">
        <v>31</v>
      </c>
      <c r="C61" s="354">
        <f>C46+C60</f>
        <v>0</v>
      </c>
      <c r="D61" s="354">
        <f>D46+D60</f>
        <v>0</v>
      </c>
      <c r="E61" s="259">
        <f>E46+E60</f>
        <v>0</v>
      </c>
    </row>
    <row r="62" spans="2:5" ht="15.75">
      <c r="B62" s="131" t="s">
        <v>33</v>
      </c>
      <c r="C62" s="240"/>
      <c r="D62" s="240"/>
      <c r="E62" s="48"/>
    </row>
    <row r="63" spans="2:5" ht="15.75">
      <c r="B63" s="239"/>
      <c r="C63" s="224"/>
      <c r="D63" s="224"/>
      <c r="E63" s="50"/>
    </row>
    <row r="64" spans="2:10" ht="15.75">
      <c r="B64" s="239"/>
      <c r="C64" s="224"/>
      <c r="D64" s="224"/>
      <c r="E64" s="50"/>
      <c r="G64" s="836" t="str">
        <f>CONCATENATE("Desired Carryover Into ",E1+1,"")</f>
        <v>Desired Carryover Into 2014</v>
      </c>
      <c r="H64" s="825"/>
      <c r="I64" s="825"/>
      <c r="J64" s="826"/>
    </row>
    <row r="65" spans="2:10" ht="15.75">
      <c r="B65" s="239"/>
      <c r="C65" s="224"/>
      <c r="D65" s="224"/>
      <c r="E65" s="50"/>
      <c r="G65" s="702"/>
      <c r="H65" s="689"/>
      <c r="I65" s="696"/>
      <c r="J65" s="703"/>
    </row>
    <row r="66" spans="2:10" ht="15.75">
      <c r="B66" s="239"/>
      <c r="C66" s="224"/>
      <c r="D66" s="224"/>
      <c r="E66" s="50"/>
      <c r="G66" s="701" t="s">
        <v>633</v>
      </c>
      <c r="H66" s="696"/>
      <c r="I66" s="696"/>
      <c r="J66" s="690">
        <v>0</v>
      </c>
    </row>
    <row r="67" spans="2:10" ht="15.75">
      <c r="B67" s="239"/>
      <c r="C67" s="224"/>
      <c r="D67" s="224"/>
      <c r="E67" s="50"/>
      <c r="G67" s="702" t="s">
        <v>634</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807</v>
      </c>
      <c r="H69" s="733"/>
      <c r="I69" s="733"/>
      <c r="J69" s="728">
        <f>IF(J66&gt;0,J68-E77,0)</f>
        <v>0</v>
      </c>
    </row>
    <row r="70" spans="2:10" ht="15.75">
      <c r="B70" s="240" t="s">
        <v>268</v>
      </c>
      <c r="C70" s="224"/>
      <c r="D70" s="224"/>
      <c r="E70" s="57">
        <f>nhood!E14</f>
      </c>
      <c r="J70" s="679"/>
    </row>
    <row r="71" spans="2:10" ht="15.75">
      <c r="B71" s="240" t="s">
        <v>267</v>
      </c>
      <c r="C71" s="224"/>
      <c r="D71" s="224"/>
      <c r="E71" s="50"/>
      <c r="G71" s="836" t="str">
        <f>CONCATENATE("Projected Carryover Into ",E1+1,"")</f>
        <v>Projected Carryover Into 2014</v>
      </c>
      <c r="H71" s="840"/>
      <c r="I71" s="840"/>
      <c r="J71" s="839"/>
    </row>
    <row r="72" spans="2:10" ht="15.75">
      <c r="B72" s="240" t="s">
        <v>786</v>
      </c>
      <c r="C72" s="353">
        <f>IF(C73*0.1&lt;C71,"Exceed 10% Rule","")</f>
      </c>
      <c r="D72" s="353">
        <f>IF(D73*0.1&lt;D71,"Exceed 10% Rule","")</f>
      </c>
      <c r="E72" s="370">
        <f>IF(E73*0.1&lt;E71,"Exceed 10% Rule","")</f>
      </c>
      <c r="G72" s="691"/>
      <c r="H72" s="689"/>
      <c r="I72" s="689"/>
      <c r="J72" s="742"/>
    </row>
    <row r="73" spans="2:10" ht="15.75">
      <c r="B73" s="233" t="s">
        <v>37</v>
      </c>
      <c r="C73" s="354">
        <f>SUM(C63:C71)</f>
        <v>0</v>
      </c>
      <c r="D73" s="354">
        <f>SUM(D63:D71)</f>
        <v>0</v>
      </c>
      <c r="E73" s="259">
        <f>SUM(E63:E71)</f>
        <v>0</v>
      </c>
      <c r="G73" s="693">
        <f>D74</f>
        <v>0</v>
      </c>
      <c r="H73" s="694" t="str">
        <f>CONCATENATE("",E1-1," Ending Cash Balance (est.)")</f>
        <v>2012 Ending Cash Balance (est.)</v>
      </c>
      <c r="I73" s="695"/>
      <c r="J73" s="742"/>
    </row>
    <row r="74" spans="2:10" ht="15.75">
      <c r="B74" s="131" t="s">
        <v>145</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inputOth!B69</f>
        <v>0</v>
      </c>
      <c r="D75" s="242">
        <f>inputPrYr!D26</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8" t="s">
        <v>625</v>
      </c>
      <c r="D76" s="819"/>
      <c r="E76" s="50"/>
      <c r="F76" s="753">
        <f>IF(E73/0.95-E73&lt;E76,"Exceeds 5%","")</f>
      </c>
      <c r="G76" s="704">
        <f>SUM(G73:G75)</f>
        <v>0</v>
      </c>
      <c r="H76" s="696" t="str">
        <f>CONCATENATE("Total ",E1," Resources Available")</f>
        <v>Total 2013 Resources Available</v>
      </c>
      <c r="I76" s="692"/>
      <c r="J76" s="742"/>
    </row>
    <row r="77" spans="2:10" ht="15.75">
      <c r="B77" s="372" t="str">
        <f>CONCATENATE(C95,"     ",D95)</f>
        <v>     </v>
      </c>
      <c r="C77" s="820" t="s">
        <v>626</v>
      </c>
      <c r="D77" s="821"/>
      <c r="E77" s="193">
        <f>E73+E76</f>
        <v>0</v>
      </c>
      <c r="G77" s="707"/>
      <c r="H77" s="705"/>
      <c r="I77" s="689"/>
      <c r="J77" s="742"/>
    </row>
    <row r="78" spans="2:10" ht="15.75">
      <c r="B78" s="372" t="str">
        <f>CONCATENATE(C96,"     ",D96)</f>
        <v>     </v>
      </c>
      <c r="C78" s="244"/>
      <c r="D78" s="147" t="s">
        <v>38</v>
      </c>
      <c r="E78" s="193">
        <f>IF(E77-E61&gt;0,E77-E61,0)</f>
        <v>0</v>
      </c>
      <c r="G78" s="706">
        <f>ROUND(C73*0.05+C73,0)</f>
        <v>0</v>
      </c>
      <c r="H78" s="705" t="str">
        <f>CONCATENATE("Less ",E1-2," Expenditures + 5%")</f>
        <v>Less 2011 Expenditures + 5%</v>
      </c>
      <c r="I78" s="692"/>
      <c r="J78" s="742"/>
    </row>
    <row r="79" spans="2:10" ht="15.75">
      <c r="B79" s="147"/>
      <c r="C79" s="358" t="s">
        <v>627</v>
      </c>
      <c r="D79" s="594">
        <f>inputOth!$E$47</f>
        <v>0.03</v>
      </c>
      <c r="E79" s="193">
        <f>ROUND(IF(D79&gt;0,(E78*D79),0),0)</f>
        <v>0</v>
      </c>
      <c r="G79" s="708">
        <f>G76-G78</f>
        <v>0</v>
      </c>
      <c r="H79" s="709" t="str">
        <f>CONCATENATE("Projected ",E1+1," carryover (est.)")</f>
        <v>Projected 2014 carryover (est.)</v>
      </c>
      <c r="I79" s="700"/>
      <c r="J79" s="740"/>
    </row>
    <row r="80" spans="2:9" ht="16.5" thickBot="1">
      <c r="B80" s="22"/>
      <c r="C80" s="822" t="str">
        <f>CONCATENATE("Amount of  ",$E$1-1," Ad Valorem Tax")</f>
        <v>Amount of  2012 Ad Valorem Tax</v>
      </c>
      <c r="D80" s="823"/>
      <c r="E80" s="260">
        <f>E78+E79</f>
        <v>0</v>
      </c>
      <c r="G80" s="679"/>
      <c r="H80" s="679"/>
      <c r="I80" s="679"/>
    </row>
    <row r="81" spans="2:10" ht="16.5" thickTop="1">
      <c r="B81" s="22"/>
      <c r="C81" s="830"/>
      <c r="D81" s="830"/>
      <c r="E81" s="22"/>
      <c r="G81" s="827" t="s">
        <v>863</v>
      </c>
      <c r="H81" s="828"/>
      <c r="I81" s="828"/>
      <c r="J81" s="829"/>
    </row>
    <row r="82" spans="2:10" ht="15.75">
      <c r="B82" s="22"/>
      <c r="C82" s="22"/>
      <c r="D82" s="22"/>
      <c r="E82" s="22"/>
      <c r="G82" s="735"/>
      <c r="H82" s="694"/>
      <c r="I82" s="723"/>
      <c r="J82" s="724"/>
    </row>
    <row r="83" spans="2:10" ht="15.75">
      <c r="B83" s="119" t="s">
        <v>40</v>
      </c>
      <c r="C83" s="250"/>
      <c r="D83" s="22"/>
      <c r="E83" s="22"/>
      <c r="G83" s="737" t="str">
        <f>summ!H24</f>
        <v>  </v>
      </c>
      <c r="H83" s="694" t="str">
        <f>CONCATENATE("",E1," Fund Mill Rate")</f>
        <v>2013 Fund Mill Rate</v>
      </c>
      <c r="I83" s="723"/>
      <c r="J83" s="724"/>
    </row>
    <row r="84" spans="7:10" ht="15.75">
      <c r="G84" s="736" t="str">
        <f>summ!E24</f>
        <v>  </v>
      </c>
      <c r="H84" s="694" t="str">
        <f>CONCATENATE("",E1-1," Fund Mill Rate")</f>
        <v>2012 Fund Mill Rate</v>
      </c>
      <c r="I84" s="723"/>
      <c r="J84" s="724"/>
    </row>
    <row r="85" spans="7:10" ht="15.75">
      <c r="G85" s="738">
        <f>summ!H43</f>
        <v>53.608999999999995</v>
      </c>
      <c r="H85" s="694" t="str">
        <f>CONCATENATE("Total ",E1," Mill Rate")</f>
        <v>Total 2013 Mill Rate</v>
      </c>
      <c r="I85" s="723"/>
      <c r="J85" s="724"/>
    </row>
    <row r="86" spans="7:10" ht="15.75">
      <c r="G86" s="736">
        <f>summ!E43</f>
        <v>51.172</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0">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5976562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89</v>
      </c>
      <c r="C3" s="169"/>
      <c r="D3" s="169"/>
      <c r="E3" s="257"/>
    </row>
    <row r="4" spans="2:5" ht="15.75">
      <c r="B4" s="29" t="s">
        <v>24</v>
      </c>
      <c r="C4" s="661" t="s">
        <v>802</v>
      </c>
      <c r="D4" s="662" t="s">
        <v>805</v>
      </c>
      <c r="E4" s="125" t="s">
        <v>806</v>
      </c>
    </row>
    <row r="5" spans="2:5" ht="15.75">
      <c r="B5" s="368">
        <f>inputPrYr!B27</f>
        <v>0</v>
      </c>
      <c r="C5" s="352" t="str">
        <f>CONCATENATE("Actual for ",E1-2,"")</f>
        <v>Actual for 2011</v>
      </c>
      <c r="D5" s="352" t="str">
        <f>CONCATENATE("Estimate for ",E1-1,"")</f>
        <v>Estimate for 2012</v>
      </c>
      <c r="E5" s="222" t="str">
        <f>CONCATENATE("Year for ",E1,"")</f>
        <v>Year for 2013</v>
      </c>
    </row>
    <row r="6" spans="2:5" ht="15.75">
      <c r="B6" s="223" t="s">
        <v>144</v>
      </c>
      <c r="C6" s="224"/>
      <c r="D6" s="351">
        <f>C34</f>
        <v>0</v>
      </c>
      <c r="E6" s="193">
        <f>D34</f>
        <v>0</v>
      </c>
    </row>
    <row r="7" spans="2:5" ht="15.75">
      <c r="B7" s="223" t="s">
        <v>146</v>
      </c>
      <c r="C7" s="139"/>
      <c r="D7" s="139"/>
      <c r="E7" s="68"/>
    </row>
    <row r="8" spans="2:5" ht="15.75">
      <c r="B8" s="131" t="s">
        <v>25</v>
      </c>
      <c r="C8" s="224"/>
      <c r="D8" s="351">
        <f>IF(inputPrYr!H16&gt;0,inputPrYr!G27,inputPrYr!E27)</f>
        <v>0</v>
      </c>
      <c r="E8" s="254" t="s">
        <v>13</v>
      </c>
    </row>
    <row r="9" spans="2:5" ht="15.75">
      <c r="B9" s="131" t="s">
        <v>26</v>
      </c>
      <c r="C9" s="224"/>
      <c r="D9" s="224"/>
      <c r="E9" s="50"/>
    </row>
    <row r="10" spans="2:5" ht="15.75">
      <c r="B10" s="131" t="s">
        <v>27</v>
      </c>
      <c r="C10" s="224"/>
      <c r="D10" s="224"/>
      <c r="E10" s="193" t="str">
        <f>mvalloc!D16</f>
        <v>  </v>
      </c>
    </row>
    <row r="11" spans="2:5" ht="15.75">
      <c r="B11" s="131" t="s">
        <v>28</v>
      </c>
      <c r="C11" s="224"/>
      <c r="D11" s="224"/>
      <c r="E11" s="193" t="str">
        <f>mvalloc!E16</f>
        <v> </v>
      </c>
    </row>
    <row r="12" spans="2:5" ht="15.75">
      <c r="B12" s="139" t="s">
        <v>121</v>
      </c>
      <c r="C12" s="224"/>
      <c r="D12" s="224"/>
      <c r="E12" s="193" t="str">
        <f>mvalloc!F16</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29</v>
      </c>
      <c r="C17" s="224"/>
      <c r="D17" s="224"/>
      <c r="E17" s="50"/>
    </row>
    <row r="18" spans="2:5" ht="15.75">
      <c r="B18" s="139" t="s">
        <v>267</v>
      </c>
      <c r="C18" s="224"/>
      <c r="D18" s="224"/>
      <c r="E18" s="50"/>
    </row>
    <row r="19" spans="2:5" ht="15.75">
      <c r="B19" s="223" t="s">
        <v>785</v>
      </c>
      <c r="C19" s="353">
        <f>IF(C20*0.1&lt;C18,"Exceed 10% Rule","")</f>
      </c>
      <c r="D19" s="353">
        <f>IF(D20*0.1&lt;D18,"Exceed 10% Rule","")</f>
      </c>
      <c r="E19" s="370">
        <f>IF(E20*0.1+E40&lt;E18,"Exceed 10% Rule","")</f>
      </c>
    </row>
    <row r="20" spans="2:5" ht="15.75">
      <c r="B20" s="233" t="s">
        <v>30</v>
      </c>
      <c r="C20" s="354">
        <f>SUM(C8:C18)</f>
        <v>0</v>
      </c>
      <c r="D20" s="354">
        <f>SUM(D8:D18)</f>
        <v>0</v>
      </c>
      <c r="E20" s="259">
        <f>SUM(E8:E18)</f>
        <v>0</v>
      </c>
    </row>
    <row r="21" spans="2:5" ht="15.75">
      <c r="B21" s="233" t="s">
        <v>31</v>
      </c>
      <c r="C21" s="354">
        <f>C6+C20</f>
        <v>0</v>
      </c>
      <c r="D21" s="354">
        <f>D6+D20</f>
        <v>0</v>
      </c>
      <c r="E21" s="259">
        <f>E6+E20</f>
        <v>0</v>
      </c>
    </row>
    <row r="22" spans="2:5" ht="15.75">
      <c r="B22" s="131" t="s">
        <v>33</v>
      </c>
      <c r="C22" s="240"/>
      <c r="D22" s="240"/>
      <c r="E22" s="48"/>
    </row>
    <row r="23" spans="2:5" ht="15.75">
      <c r="B23" s="239"/>
      <c r="C23" s="224"/>
      <c r="D23" s="224"/>
      <c r="E23" s="50"/>
    </row>
    <row r="24" spans="2:10" ht="15.75">
      <c r="B24" s="239"/>
      <c r="C24" s="224"/>
      <c r="D24" s="224"/>
      <c r="E24" s="50"/>
      <c r="G24" s="836" t="str">
        <f>CONCATENATE("Desired Carryover Into ",E1+1,"")</f>
        <v>Desired Carryover Into 2014</v>
      </c>
      <c r="H24" s="825"/>
      <c r="I24" s="825"/>
      <c r="J24" s="826"/>
    </row>
    <row r="25" spans="2:10" ht="15.75">
      <c r="B25" s="239"/>
      <c r="C25" s="224"/>
      <c r="D25" s="224"/>
      <c r="E25" s="50"/>
      <c r="G25" s="702"/>
      <c r="H25" s="689"/>
      <c r="I25" s="696"/>
      <c r="J25" s="703"/>
    </row>
    <row r="26" spans="2:10" ht="15.75">
      <c r="B26" s="239"/>
      <c r="C26" s="224"/>
      <c r="D26" s="224"/>
      <c r="E26" s="50"/>
      <c r="G26" s="701" t="s">
        <v>633</v>
      </c>
      <c r="H26" s="696"/>
      <c r="I26" s="696"/>
      <c r="J26" s="690">
        <v>0</v>
      </c>
    </row>
    <row r="27" spans="2:10" ht="15.75">
      <c r="B27" s="239"/>
      <c r="C27" s="224"/>
      <c r="D27" s="224"/>
      <c r="E27" s="50"/>
      <c r="G27" s="702" t="s">
        <v>634</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IF(J26&gt;0,IF(E37&lt;E21,IF(J26=G39,E37,((J26-G39)*(1-D39))+E21),E37+(J26-G39)),0)</f>
        <v>0</v>
      </c>
    </row>
    <row r="29" spans="2:10" ht="15.75">
      <c r="B29" s="239"/>
      <c r="C29" s="224"/>
      <c r="D29" s="224"/>
      <c r="E29" s="50"/>
      <c r="G29" s="592" t="s">
        <v>807</v>
      </c>
      <c r="H29" s="733"/>
      <c r="I29" s="733"/>
      <c r="J29" s="728">
        <f>IF(J26&gt;0,J28-E37,0)</f>
        <v>0</v>
      </c>
    </row>
    <row r="30" spans="2:10" ht="15.75">
      <c r="B30" s="240" t="s">
        <v>268</v>
      </c>
      <c r="C30" s="224"/>
      <c r="D30" s="224"/>
      <c r="E30" s="57">
        <f>nhood!E15</f>
      </c>
      <c r="J30" s="679"/>
    </row>
    <row r="31" spans="2:10" ht="15.75">
      <c r="B31" s="240" t="s">
        <v>267</v>
      </c>
      <c r="C31" s="224"/>
      <c r="D31" s="224"/>
      <c r="E31" s="50"/>
      <c r="G31" s="836" t="str">
        <f>CONCATENATE("Projected Carryover Into ",E1+1,"")</f>
        <v>Projected Carryover Into 2014</v>
      </c>
      <c r="H31" s="833"/>
      <c r="I31" s="833"/>
      <c r="J31" s="839"/>
    </row>
    <row r="32" spans="2:10" ht="15.75">
      <c r="B32" s="240" t="s">
        <v>786</v>
      </c>
      <c r="C32" s="353">
        <f>IF(C33*0.1&lt;C31,"Exceed 10% Rule","")</f>
      </c>
      <c r="D32" s="353">
        <f>IF(D33*0.1&lt;D31,"Exceed 10% Rule","")</f>
      </c>
      <c r="E32" s="370">
        <f>IF(E33*0.1&lt;E31,"Exceed 10% Rule","")</f>
      </c>
      <c r="G32" s="702"/>
      <c r="H32" s="696"/>
      <c r="I32" s="696"/>
      <c r="J32" s="742"/>
    </row>
    <row r="33" spans="2:10" ht="15.75">
      <c r="B33" s="233" t="s">
        <v>37</v>
      </c>
      <c r="C33" s="354">
        <f>SUM(C23:C31)</f>
        <v>0</v>
      </c>
      <c r="D33" s="354">
        <f>SUM(D23:D31)</f>
        <v>0</v>
      </c>
      <c r="E33" s="259">
        <f>SUM(E23:E31)</f>
        <v>0</v>
      </c>
      <c r="G33" s="693">
        <f>D34</f>
        <v>0</v>
      </c>
      <c r="H33" s="694" t="str">
        <f>CONCATENATE("",E1-1," Ending Cash Balance (est.)")</f>
        <v>2012 Ending Cash Balance (est.)</v>
      </c>
      <c r="I33" s="695"/>
      <c r="J33" s="742"/>
    </row>
    <row r="34" spans="2:10" ht="15.75">
      <c r="B34" s="131" t="s">
        <v>145</v>
      </c>
      <c r="C34" s="351">
        <f>C21-C33</f>
        <v>0</v>
      </c>
      <c r="D34" s="351">
        <f>D21-D33</f>
        <v>0</v>
      </c>
      <c r="E34" s="254" t="s">
        <v>13</v>
      </c>
      <c r="G34" s="693">
        <f>E20</f>
        <v>0</v>
      </c>
      <c r="H34" s="696" t="str">
        <f>CONCATENATE("",E1," Non-AV Receipts (est.)")</f>
        <v>2013 Non-AV Receipts (est.)</v>
      </c>
      <c r="I34" s="695"/>
      <c r="J34" s="742"/>
    </row>
    <row r="35" spans="2:11" ht="15.75">
      <c r="B35" s="119" t="str">
        <f>CONCATENATE("",$E$1-2,"/",$E$1-1," Budget Authority Amount:")</f>
        <v>2011/2012 Budget Authority Amount:</v>
      </c>
      <c r="C35" s="183">
        <f>inputOth!B70</f>
        <v>0</v>
      </c>
      <c r="D35" s="242">
        <f>inputPrYr!D27</f>
        <v>0</v>
      </c>
      <c r="E35" s="254" t="s">
        <v>13</v>
      </c>
      <c r="F35" s="243"/>
      <c r="G35" s="697">
        <f>IF(D39&gt;0,E38,E40)</f>
        <v>0</v>
      </c>
      <c r="H35" s="696" t="str">
        <f>CONCATENATE("",E1," Ad Valorem Tax (est.)")</f>
        <v>2013 Ad Valorem Tax (est.)</v>
      </c>
      <c r="I35" s="695"/>
      <c r="J35" s="742"/>
      <c r="K35" s="595">
        <f>IF(G35=E40,"","Note: Does not include Delinquent Taxes")</f>
      </c>
    </row>
    <row r="36" spans="2:10" ht="15.75">
      <c r="B36" s="119"/>
      <c r="C36" s="818" t="s">
        <v>625</v>
      </c>
      <c r="D36" s="819"/>
      <c r="E36" s="50"/>
      <c r="F36" s="753">
        <f>IF(E33/0.95-E33&lt;E36,"Exceeds 5%","")</f>
      </c>
      <c r="G36" s="693">
        <f>SUM(G33:G35)</f>
        <v>0</v>
      </c>
      <c r="H36" s="696" t="str">
        <f>CONCATENATE("Total ",E1," Resources Available")</f>
        <v>Total 2013 Resources Available</v>
      </c>
      <c r="I36" s="695"/>
      <c r="J36" s="742"/>
    </row>
    <row r="37" spans="2:10" ht="15.75">
      <c r="B37" s="372" t="str">
        <f>CONCATENATE(C93,"     ",D93)</f>
        <v>     </v>
      </c>
      <c r="C37" s="820" t="s">
        <v>626</v>
      </c>
      <c r="D37" s="821"/>
      <c r="E37" s="193">
        <f>E33+E36</f>
        <v>0</v>
      </c>
      <c r="G37" s="698"/>
      <c r="H37" s="696"/>
      <c r="I37" s="696"/>
      <c r="J37" s="742"/>
    </row>
    <row r="38" spans="2:10" ht="15.75">
      <c r="B38" s="372" t="str">
        <f>CONCATENATE(C94,"     ",D94)</f>
        <v>     </v>
      </c>
      <c r="C38" s="244"/>
      <c r="D38" s="147" t="s">
        <v>38</v>
      </c>
      <c r="E38" s="193">
        <f>IF(E37-E21&gt;0,E37-E21,0)</f>
        <v>0</v>
      </c>
      <c r="G38" s="697">
        <f>ROUND(C33*0.05+C33,0)</f>
        <v>0</v>
      </c>
      <c r="H38" s="696" t="str">
        <f>CONCATENATE("Less ",E1-2," Expenditures + 5%")</f>
        <v>Less 2011 Expenditures + 5%</v>
      </c>
      <c r="I38" s="695"/>
      <c r="J38" s="742"/>
    </row>
    <row r="39" spans="2:10" ht="15.75">
      <c r="B39" s="147"/>
      <c r="C39" s="358" t="s">
        <v>627</v>
      </c>
      <c r="D39" s="594">
        <f>inputOth!$E$47</f>
        <v>0.03</v>
      </c>
      <c r="E39" s="193">
        <f>ROUND(IF(D39&gt;0,(E38*D39),0),0)</f>
        <v>0</v>
      </c>
      <c r="G39" s="731">
        <f>G36-G38</f>
        <v>0</v>
      </c>
      <c r="H39" s="732" t="str">
        <f>CONCATENATE("Projected ",E1+1," carryover (est.)")</f>
        <v>Projected 2014 carryover (est.)</v>
      </c>
      <c r="I39" s="699"/>
      <c r="J39" s="740"/>
    </row>
    <row r="40" spans="2:10" ht="16.5" thickBot="1">
      <c r="B40" s="22"/>
      <c r="C40" s="822" t="str">
        <f>CONCATENATE("Amount of  ",$E$1-1," Ad Valorem Tax")</f>
        <v>Amount of  2012 Ad Valorem Tax</v>
      </c>
      <c r="D40" s="823"/>
      <c r="E40" s="260">
        <f>E38+E39</f>
        <v>0</v>
      </c>
      <c r="G40" s="679"/>
      <c r="H40" s="679"/>
      <c r="I40" s="679"/>
      <c r="J40" s="679"/>
    </row>
    <row r="41" spans="2:10" ht="16.5" thickTop="1">
      <c r="B41" s="22"/>
      <c r="C41" s="830"/>
      <c r="D41" s="830"/>
      <c r="E41" s="22"/>
      <c r="G41" s="827" t="s">
        <v>863</v>
      </c>
      <c r="H41" s="828"/>
      <c r="I41" s="828"/>
      <c r="J41" s="829"/>
    </row>
    <row r="42" spans="2:10" ht="15.75">
      <c r="B42" s="22"/>
      <c r="C42" s="22"/>
      <c r="D42" s="22"/>
      <c r="E42" s="22"/>
      <c r="G42" s="735"/>
      <c r="H42" s="694"/>
      <c r="I42" s="723"/>
      <c r="J42" s="724"/>
    </row>
    <row r="43" spans="2:10" ht="15.75">
      <c r="B43" s="29"/>
      <c r="C43" s="123"/>
      <c r="D43" s="123"/>
      <c r="E43" s="123"/>
      <c r="G43" s="737" t="str">
        <f>summ!H25</f>
        <v>  </v>
      </c>
      <c r="H43" s="694" t="str">
        <f>CONCATENATE("",E1," Fund Mill Rate")</f>
        <v>2013 Fund Mill Rate</v>
      </c>
      <c r="I43" s="723"/>
      <c r="J43" s="724"/>
    </row>
    <row r="44" spans="2:10" ht="15.75">
      <c r="B44" s="29" t="s">
        <v>24</v>
      </c>
      <c r="C44" s="661" t="str">
        <f aca="true" t="shared" si="0" ref="C44:E45">C4</f>
        <v>Prior Year </v>
      </c>
      <c r="D44" s="662" t="str">
        <f t="shared" si="0"/>
        <v>Current Year </v>
      </c>
      <c r="E44" s="125" t="str">
        <f t="shared" si="0"/>
        <v>Proposed Budget </v>
      </c>
      <c r="G44" s="736" t="str">
        <f>summ!E25</f>
        <v>  </v>
      </c>
      <c r="H44" s="694" t="str">
        <f>CONCATENATE("",E1-1," Fund Mill Rate")</f>
        <v>2012 Fund Mill Rate</v>
      </c>
      <c r="I44" s="723"/>
      <c r="J44" s="724"/>
    </row>
    <row r="45" spans="2:10" ht="15.75">
      <c r="B45" s="369">
        <f>inputPrYr!B28</f>
        <v>0</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223" t="s">
        <v>144</v>
      </c>
      <c r="C46" s="224"/>
      <c r="D46" s="351">
        <f>C74</f>
        <v>0</v>
      </c>
      <c r="E46" s="193">
        <f>D74</f>
        <v>0</v>
      </c>
      <c r="G46" s="736">
        <f>summ!E43</f>
        <v>51.172</v>
      </c>
      <c r="H46" s="719" t="str">
        <f>CONCATENATE("Total ",E1-1," Mill Rate")</f>
        <v>Total 2012 Mill Rate</v>
      </c>
      <c r="I46" s="720"/>
      <c r="J46" s="721"/>
    </row>
    <row r="47" spans="2:5" ht="15.75">
      <c r="B47" s="226" t="s">
        <v>146</v>
      </c>
      <c r="C47" s="139"/>
      <c r="D47" s="139"/>
      <c r="E47" s="68"/>
    </row>
    <row r="48" spans="2:5" ht="15.75">
      <c r="B48" s="131" t="s">
        <v>25</v>
      </c>
      <c r="C48" s="224"/>
      <c r="D48" s="351">
        <f>IF(inputPrYr!H16&gt;0,inputPrYr!G28,inputPrYr!E28)</f>
        <v>0</v>
      </c>
      <c r="E48" s="254" t="s">
        <v>13</v>
      </c>
    </row>
    <row r="49" spans="2:5" ht="15.75">
      <c r="B49" s="131" t="s">
        <v>26</v>
      </c>
      <c r="C49" s="224"/>
      <c r="D49" s="224"/>
      <c r="E49" s="50"/>
    </row>
    <row r="50" spans="2:5" ht="15.75">
      <c r="B50" s="131" t="s">
        <v>27</v>
      </c>
      <c r="C50" s="224"/>
      <c r="D50" s="224"/>
      <c r="E50" s="193" t="str">
        <f>mvalloc!D17</f>
        <v>  </v>
      </c>
    </row>
    <row r="51" spans="2:5" ht="15.75">
      <c r="B51" s="131" t="s">
        <v>28</v>
      </c>
      <c r="C51" s="224"/>
      <c r="D51" s="224"/>
      <c r="E51" s="193" t="str">
        <f>mvalloc!E17</f>
        <v> </v>
      </c>
    </row>
    <row r="52" spans="2:5" ht="15.75">
      <c r="B52" s="139" t="s">
        <v>121</v>
      </c>
      <c r="C52" s="224"/>
      <c r="D52" s="224"/>
      <c r="E52" s="193" t="str">
        <f>mvalloc!F17</f>
        <v> </v>
      </c>
    </row>
    <row r="53" spans="2:5" ht="15.75">
      <c r="B53" s="50"/>
      <c r="C53" s="224"/>
      <c r="D53" s="224"/>
      <c r="E53" s="50"/>
    </row>
    <row r="54" spans="2:5" ht="15.75">
      <c r="B54" s="239"/>
      <c r="C54" s="224"/>
      <c r="D54" s="224"/>
      <c r="E54" s="50"/>
    </row>
    <row r="55" spans="2:5" ht="15.75">
      <c r="B55" s="263"/>
      <c r="C55" s="224"/>
      <c r="D55" s="224"/>
      <c r="E55" s="50"/>
    </row>
    <row r="56" spans="2:5" ht="15.75">
      <c r="B56" s="263"/>
      <c r="C56" s="224"/>
      <c r="D56" s="224"/>
      <c r="E56" s="50"/>
    </row>
    <row r="57" spans="2:5" ht="15.75">
      <c r="B57" s="231" t="s">
        <v>29</v>
      </c>
      <c r="C57" s="224"/>
      <c r="D57" s="224"/>
      <c r="E57" s="50"/>
    </row>
    <row r="58" spans="2:5" ht="15.75">
      <c r="B58" s="139" t="s">
        <v>267</v>
      </c>
      <c r="C58" s="224"/>
      <c r="D58" s="224"/>
      <c r="E58" s="50"/>
    </row>
    <row r="59" spans="2:5" ht="15.75">
      <c r="B59" s="223" t="s">
        <v>785</v>
      </c>
      <c r="C59" s="353">
        <f>IF(C60*0.1&lt;C58,"Exceed 10% Rule","")</f>
      </c>
      <c r="D59" s="353">
        <f>IF(D60*0.1&lt;D58,"Exceed 10% Rule","")</f>
      </c>
      <c r="E59" s="370">
        <f>IF(E60*0.1+E80&lt;E58,"Exceed 10% Rule","")</f>
      </c>
    </row>
    <row r="60" spans="2:5" ht="15.75">
      <c r="B60" s="233" t="s">
        <v>30</v>
      </c>
      <c r="C60" s="354">
        <f>SUM(C48:C58)</f>
        <v>0</v>
      </c>
      <c r="D60" s="354">
        <f>SUM(D48:D58)</f>
        <v>0</v>
      </c>
      <c r="E60" s="259">
        <f>SUM(E48:E58)</f>
        <v>0</v>
      </c>
    </row>
    <row r="61" spans="2:5" ht="15.75">
      <c r="B61" s="233" t="s">
        <v>31</v>
      </c>
      <c r="C61" s="354">
        <f>C46+C60</f>
        <v>0</v>
      </c>
      <c r="D61" s="354">
        <f>D46+D60</f>
        <v>0</v>
      </c>
      <c r="E61" s="259">
        <f>E46+E60</f>
        <v>0</v>
      </c>
    </row>
    <row r="62" spans="2:5" ht="15.75">
      <c r="B62" s="131" t="s">
        <v>33</v>
      </c>
      <c r="C62" s="240"/>
      <c r="D62" s="240"/>
      <c r="E62" s="48"/>
    </row>
    <row r="63" spans="2:5" ht="15.75">
      <c r="B63" s="239"/>
      <c r="C63" s="224"/>
      <c r="D63" s="224"/>
      <c r="E63" s="50"/>
    </row>
    <row r="64" spans="2:10" ht="15.75">
      <c r="B64" s="239"/>
      <c r="C64" s="224"/>
      <c r="D64" s="224"/>
      <c r="E64" s="50"/>
      <c r="G64" s="836" t="str">
        <f>CONCATENATE("Desired Carryover Into ",E1+1,"")</f>
        <v>Desired Carryover Into 2014</v>
      </c>
      <c r="H64" s="825"/>
      <c r="I64" s="825"/>
      <c r="J64" s="826"/>
    </row>
    <row r="65" spans="2:10" ht="15.75">
      <c r="B65" s="239"/>
      <c r="C65" s="224"/>
      <c r="D65" s="224"/>
      <c r="E65" s="50"/>
      <c r="G65" s="702"/>
      <c r="H65" s="689"/>
      <c r="I65" s="696"/>
      <c r="J65" s="703"/>
    </row>
    <row r="66" spans="2:10" ht="15.75">
      <c r="B66" s="239"/>
      <c r="C66" s="224"/>
      <c r="D66" s="224"/>
      <c r="E66" s="50"/>
      <c r="G66" s="701" t="s">
        <v>633</v>
      </c>
      <c r="H66" s="696"/>
      <c r="I66" s="696"/>
      <c r="J66" s="690">
        <v>0</v>
      </c>
    </row>
    <row r="67" spans="2:10" ht="15.75">
      <c r="B67" s="239"/>
      <c r="C67" s="224"/>
      <c r="D67" s="224"/>
      <c r="E67" s="50"/>
      <c r="G67" s="702" t="s">
        <v>634</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807</v>
      </c>
      <c r="H69" s="733"/>
      <c r="I69" s="733"/>
      <c r="J69" s="728">
        <f>IF(J66&gt;0,J68-E77,0)</f>
        <v>0</v>
      </c>
    </row>
    <row r="70" spans="2:10" ht="15.75">
      <c r="B70" s="240" t="s">
        <v>268</v>
      </c>
      <c r="C70" s="224"/>
      <c r="D70" s="224"/>
      <c r="E70" s="57">
        <f>nhood!E16</f>
      </c>
      <c r="J70" s="679"/>
    </row>
    <row r="71" spans="2:10" ht="15.75">
      <c r="B71" s="240" t="s">
        <v>267</v>
      </c>
      <c r="C71" s="224"/>
      <c r="D71" s="224"/>
      <c r="E71" s="50"/>
      <c r="G71" s="836" t="str">
        <f>CONCATENATE("Projected Carryover Into ",E1+1,"")</f>
        <v>Projected Carryover Into 2014</v>
      </c>
      <c r="H71" s="840"/>
      <c r="I71" s="840"/>
      <c r="J71" s="839"/>
    </row>
    <row r="72" spans="2:10" ht="15.75">
      <c r="B72" s="240" t="s">
        <v>786</v>
      </c>
      <c r="C72" s="353">
        <f>IF(C73*0.1&lt;C71,"Exceed 10% Rule","")</f>
      </c>
      <c r="D72" s="353">
        <f>IF(D73*0.1&lt;D71,"Exceed 10% Rule","")</f>
      </c>
      <c r="E72" s="370">
        <f>IF(E73*0.1&lt;E71,"Exceed 10% Rule","")</f>
      </c>
      <c r="G72" s="691"/>
      <c r="H72" s="689"/>
      <c r="I72" s="689"/>
      <c r="J72" s="742"/>
    </row>
    <row r="73" spans="2:10" ht="15.75">
      <c r="B73" s="233" t="s">
        <v>37</v>
      </c>
      <c r="C73" s="354">
        <f>SUM(C63:C71)</f>
        <v>0</v>
      </c>
      <c r="D73" s="354">
        <f>SUM(D63:D71)</f>
        <v>0</v>
      </c>
      <c r="E73" s="259">
        <f>SUM(E63:E71)</f>
        <v>0</v>
      </c>
      <c r="G73" s="693">
        <f>D74</f>
        <v>0</v>
      </c>
      <c r="H73" s="694" t="str">
        <f>CONCATENATE("",E1-1," Ending Cash Balance (est.)")</f>
        <v>2012 Ending Cash Balance (est.)</v>
      </c>
      <c r="I73" s="695"/>
      <c r="J73" s="742"/>
    </row>
    <row r="74" spans="2:10" ht="15.75">
      <c r="B74" s="131" t="s">
        <v>145</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inputOth!B71</f>
        <v>0</v>
      </c>
      <c r="D75" s="242">
        <f>inputPrYr!D28</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8" t="s">
        <v>625</v>
      </c>
      <c r="D76" s="819"/>
      <c r="E76" s="49"/>
      <c r="F76" s="753">
        <f>IF(E73/0.95-E73&lt;E76,"Exceeds 5%","")</f>
      </c>
      <c r="G76" s="704">
        <f>SUM(G73:G75)</f>
        <v>0</v>
      </c>
      <c r="H76" s="696" t="str">
        <f>CONCATENATE("Total ",E1," Resources Available")</f>
        <v>Total 2013 Resources Available</v>
      </c>
      <c r="I76" s="692"/>
      <c r="J76" s="742"/>
    </row>
    <row r="77" spans="2:10" ht="15.75">
      <c r="B77" s="372" t="str">
        <f>CONCATENATE(C95,"     ",D95)</f>
        <v>     </v>
      </c>
      <c r="C77" s="820" t="s">
        <v>626</v>
      </c>
      <c r="D77" s="821"/>
      <c r="E77" s="193">
        <f>E73+E76</f>
        <v>0</v>
      </c>
      <c r="G77" s="707"/>
      <c r="H77" s="705"/>
      <c r="I77" s="689"/>
      <c r="J77" s="742"/>
    </row>
    <row r="78" spans="2:10" ht="15.75">
      <c r="B78" s="372" t="str">
        <f>CONCATENATE(C96,"     ",D96)</f>
        <v>     </v>
      </c>
      <c r="C78" s="244"/>
      <c r="D78" s="147" t="s">
        <v>38</v>
      </c>
      <c r="E78" s="193">
        <f>IF(E77-E61&gt;0,E77-E61,0)</f>
        <v>0</v>
      </c>
      <c r="G78" s="706">
        <f>ROUND(C73*0.05+C73,0)</f>
        <v>0</v>
      </c>
      <c r="H78" s="705" t="str">
        <f>CONCATENATE("Less ",E1-2," Expenditures + 5%")</f>
        <v>Less 2011 Expenditures + 5%</v>
      </c>
      <c r="I78" s="692"/>
      <c r="J78" s="742"/>
    </row>
    <row r="79" spans="2:10" ht="15.75">
      <c r="B79" s="147"/>
      <c r="C79" s="358" t="s">
        <v>627</v>
      </c>
      <c r="D79" s="594">
        <f>inputOth!$E$47</f>
        <v>0.03</v>
      </c>
      <c r="E79" s="193">
        <f>ROUND(IF(D79&gt;0,(E78*D79),0),0)</f>
        <v>0</v>
      </c>
      <c r="G79" s="708">
        <f>G76-G78</f>
        <v>0</v>
      </c>
      <c r="H79" s="709" t="str">
        <f>CONCATENATE("Projected ",E1+1," carryover (est.)")</f>
        <v>Projected 2014 carryover (est.)</v>
      </c>
      <c r="I79" s="700"/>
      <c r="J79" s="740"/>
    </row>
    <row r="80" spans="2:9" ht="16.5" thickBot="1">
      <c r="B80" s="22"/>
      <c r="C80" s="822" t="str">
        <f>CONCATENATE("Amount of  ",$E$1-1," Ad Valorem Tax")</f>
        <v>Amount of  2012 Ad Valorem Tax</v>
      </c>
      <c r="D80" s="823"/>
      <c r="E80" s="260">
        <f>E78+E79</f>
        <v>0</v>
      </c>
      <c r="G80" s="679"/>
      <c r="H80" s="679"/>
      <c r="I80" s="679"/>
    </row>
    <row r="81" spans="2:10" ht="16.5" thickTop="1">
      <c r="B81" s="22"/>
      <c r="C81" s="830"/>
      <c r="D81" s="830"/>
      <c r="E81" s="22"/>
      <c r="G81" s="827" t="s">
        <v>863</v>
      </c>
      <c r="H81" s="828"/>
      <c r="I81" s="828"/>
      <c r="J81" s="829"/>
    </row>
    <row r="82" spans="2:10" ht="15.75">
      <c r="B82" s="22"/>
      <c r="C82" s="22"/>
      <c r="D82" s="22"/>
      <c r="E82" s="22"/>
      <c r="G82" s="735"/>
      <c r="H82" s="694"/>
      <c r="I82" s="723"/>
      <c r="J82" s="724"/>
    </row>
    <row r="83" spans="2:10" ht="15.75">
      <c r="B83" s="119" t="s">
        <v>40</v>
      </c>
      <c r="C83" s="250"/>
      <c r="D83" s="22"/>
      <c r="E83" s="22"/>
      <c r="G83" s="737" t="str">
        <f>summ!H26</f>
        <v>  </v>
      </c>
      <c r="H83" s="694" t="str">
        <f>CONCATENATE("",E1," Fund Mill Rate")</f>
        <v>2013 Fund Mill Rate</v>
      </c>
      <c r="I83" s="723"/>
      <c r="J83" s="724"/>
    </row>
    <row r="84" spans="7:10" ht="15.75">
      <c r="G84" s="736" t="str">
        <f>summ!E26</f>
        <v>  </v>
      </c>
      <c r="H84" s="694" t="str">
        <f>CONCATENATE("",E1-1," Fund Mill Rate")</f>
        <v>2012 Fund Mill Rate</v>
      </c>
      <c r="I84" s="723"/>
      <c r="J84" s="724"/>
    </row>
    <row r="85" spans="7:10" ht="15.75">
      <c r="G85" s="738">
        <f>summ!H43</f>
        <v>53.608999999999995</v>
      </c>
      <c r="H85" s="694" t="str">
        <f>CONCATENATE("Total ",E1," Mill Rate")</f>
        <v>Total 2013 Mill Rate</v>
      </c>
      <c r="I85" s="723"/>
      <c r="J85" s="724"/>
    </row>
    <row r="86" spans="7:10" ht="15.75">
      <c r="G86" s="736">
        <f>summ!E43</f>
        <v>51.172</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80:D80"/>
    <mergeCell ref="C40:D40"/>
  </mergeCells>
  <conditionalFormatting sqref="E31">
    <cfRule type="cellIs" priority="5" dxfId="114" operator="greaterThan" stopIfTrue="1">
      <formula>$E$33*0.1</formula>
    </cfRule>
  </conditionalFormatting>
  <conditionalFormatting sqref="E36">
    <cfRule type="cellIs" priority="6" dxfId="114" operator="greaterThan" stopIfTrue="1">
      <formula>$E$33/0.95-$E$33</formula>
    </cfRule>
  </conditionalFormatting>
  <conditionalFormatting sqref="E71">
    <cfRule type="cellIs" priority="7" dxfId="114" operator="greaterThan" stopIfTrue="1">
      <formula>$E$73*0.1</formula>
    </cfRule>
  </conditionalFormatting>
  <conditionalFormatting sqref="E76">
    <cfRule type="cellIs" priority="8" dxfId="114" operator="greaterThan" stopIfTrue="1">
      <formula>$E$73/0.95-$E$73</formula>
    </cfRule>
  </conditionalFormatting>
  <conditionalFormatting sqref="E58">
    <cfRule type="cellIs" priority="22" dxfId="114" operator="greaterThan" stopIfTrue="1">
      <formula>$E$60*0.1+E80</formula>
    </cfRule>
  </conditionalFormatting>
  <conditionalFormatting sqref="E18">
    <cfRule type="cellIs" priority="23" dxfId="114" operator="greaterThan" stopIfTrue="1">
      <formula>$E$20*0.1+E40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90" zoomScaleNormal="90" zoomScalePageLayoutView="0" workbookViewId="0" topLeftCell="A37">
      <selection activeCell="D54" sqref="D54"/>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209</v>
      </c>
      <c r="B1" s="22"/>
      <c r="C1" s="22"/>
      <c r="D1" s="22"/>
      <c r="E1" s="22"/>
    </row>
    <row r="2" spans="1:5" ht="15.75">
      <c r="A2" s="24" t="s">
        <v>247</v>
      </c>
      <c r="B2" s="22"/>
      <c r="C2" s="22"/>
      <c r="D2" s="25" t="s">
        <v>969</v>
      </c>
      <c r="E2" s="26"/>
    </row>
    <row r="3" spans="1:5" ht="15.75">
      <c r="A3" s="24" t="s">
        <v>248</v>
      </c>
      <c r="B3" s="22"/>
      <c r="C3" s="22"/>
      <c r="D3" s="27" t="s">
        <v>970</v>
      </c>
      <c r="E3" s="28"/>
    </row>
    <row r="4" spans="1:5" ht="15.75">
      <c r="A4" s="29"/>
      <c r="B4" s="22"/>
      <c r="C4" s="22"/>
      <c r="D4" s="30"/>
      <c r="E4" s="22"/>
    </row>
    <row r="5" spans="1:5" ht="15.75">
      <c r="A5" s="24" t="s">
        <v>170</v>
      </c>
      <c r="B5" s="22"/>
      <c r="C5" s="31">
        <v>2013</v>
      </c>
      <c r="D5" s="30"/>
      <c r="E5" s="22"/>
    </row>
    <row r="6" spans="1:5" ht="15.75">
      <c r="A6" s="22"/>
      <c r="B6" s="22"/>
      <c r="C6" s="22"/>
      <c r="D6" s="22"/>
      <c r="E6" s="22"/>
    </row>
    <row r="7" spans="1:5" ht="15.75">
      <c r="A7" s="32" t="s">
        <v>344</v>
      </c>
      <c r="B7" s="33"/>
      <c r="C7" s="33"/>
      <c r="D7" s="33"/>
      <c r="E7" s="33"/>
    </row>
    <row r="8" spans="1:8" ht="15.75" customHeight="1">
      <c r="A8" s="32" t="s">
        <v>343</v>
      </c>
      <c r="B8" s="33"/>
      <c r="C8" s="33"/>
      <c r="D8" s="33"/>
      <c r="E8" s="33"/>
      <c r="F8" s="553"/>
      <c r="G8" s="775" t="s">
        <v>878</v>
      </c>
      <c r="H8" s="776"/>
    </row>
    <row r="9" spans="1:8" ht="15.75">
      <c r="A9" s="34"/>
      <c r="B9" s="33"/>
      <c r="C9" s="33"/>
      <c r="D9" s="33"/>
      <c r="E9" s="33"/>
      <c r="F9" s="553"/>
      <c r="G9" s="777"/>
      <c r="H9" s="776"/>
    </row>
    <row r="10" spans="1:8" ht="15.75">
      <c r="A10" s="773" t="s">
        <v>241</v>
      </c>
      <c r="B10" s="774"/>
      <c r="C10" s="774"/>
      <c r="D10" s="774"/>
      <c r="E10" s="774"/>
      <c r="F10" s="553"/>
      <c r="G10" s="777"/>
      <c r="H10" s="776"/>
    </row>
    <row r="11" spans="1:8" ht="15.75">
      <c r="A11" s="35"/>
      <c r="B11" s="35"/>
      <c r="C11" s="35"/>
      <c r="D11" s="35"/>
      <c r="E11" s="35"/>
      <c r="F11" s="553"/>
      <c r="G11" s="777"/>
      <c r="H11" s="776"/>
    </row>
    <row r="12" spans="1:8" ht="15.75">
      <c r="A12" s="36" t="s">
        <v>242</v>
      </c>
      <c r="B12" s="37"/>
      <c r="C12" s="22"/>
      <c r="D12" s="22"/>
      <c r="E12" s="22"/>
      <c r="F12" s="553"/>
      <c r="G12" s="777"/>
      <c r="H12" s="776"/>
    </row>
    <row r="13" spans="1:8" ht="15.75">
      <c r="A13" s="38" t="str">
        <f>CONCATENATE("the ",C5-1," Budget, Certificate Page:")</f>
        <v>the 2012 Budget, Certificate Page:</v>
      </c>
      <c r="B13" s="39"/>
      <c r="C13" s="40"/>
      <c r="D13" s="22"/>
      <c r="E13" s="22"/>
      <c r="F13" s="553"/>
      <c r="G13" s="777"/>
      <c r="H13" s="776"/>
    </row>
    <row r="14" spans="1:8" ht="15.75">
      <c r="A14" s="38" t="s">
        <v>346</v>
      </c>
      <c r="B14" s="39"/>
      <c r="C14" s="40"/>
      <c r="D14" s="22"/>
      <c r="E14" s="22"/>
      <c r="F14" s="553"/>
      <c r="G14" s="553"/>
      <c r="H14" s="22"/>
    </row>
    <row r="15" spans="1:8" ht="15.75">
      <c r="A15" s="41"/>
      <c r="B15" s="22"/>
      <c r="C15" s="22"/>
      <c r="D15" s="42">
        <f>C5-1</f>
        <v>2012</v>
      </c>
      <c r="E15" s="43">
        <f>$C$5-2</f>
        <v>2011</v>
      </c>
      <c r="G15" s="566" t="s">
        <v>798</v>
      </c>
      <c r="H15" s="137" t="s">
        <v>39</v>
      </c>
    </row>
    <row r="16" spans="1:8" ht="15.75">
      <c r="A16" s="29" t="s">
        <v>328</v>
      </c>
      <c r="B16" s="22"/>
      <c r="C16" s="44" t="s">
        <v>329</v>
      </c>
      <c r="D16" s="45" t="s">
        <v>345</v>
      </c>
      <c r="E16" s="46" t="s">
        <v>325</v>
      </c>
      <c r="G16" s="567" t="str">
        <f>CONCATENATE("",E15," Ad Valorem Tax")</f>
        <v>2011 Ad Valorem Tax</v>
      </c>
      <c r="H16" s="752">
        <v>0.03</v>
      </c>
    </row>
    <row r="17" spans="1:7" ht="15.75">
      <c r="A17" s="22"/>
      <c r="B17" s="47" t="s">
        <v>330</v>
      </c>
      <c r="C17" s="137" t="s">
        <v>147</v>
      </c>
      <c r="D17" s="49">
        <v>2297500</v>
      </c>
      <c r="E17" s="50">
        <v>719017</v>
      </c>
      <c r="G17" s="565">
        <f>IF(H16&gt;0,ROUND(E17-(E17*H$16),0),0)</f>
        <v>697446</v>
      </c>
    </row>
    <row r="18" spans="1:7" ht="15.75">
      <c r="A18" s="22"/>
      <c r="B18" s="47" t="s">
        <v>299</v>
      </c>
      <c r="C18" s="137" t="s">
        <v>171</v>
      </c>
      <c r="D18" s="49">
        <v>1831600</v>
      </c>
      <c r="E18" s="50">
        <v>757979</v>
      </c>
      <c r="G18" s="565">
        <f>IF(H16&gt;0,ROUND(E18-(E18*H16),0),0)</f>
        <v>735240</v>
      </c>
    </row>
    <row r="19" spans="1:7" ht="15.75">
      <c r="A19" s="22"/>
      <c r="B19" s="47" t="s">
        <v>797</v>
      </c>
      <c r="C19" s="137" t="s">
        <v>796</v>
      </c>
      <c r="D19" s="49">
        <v>229300</v>
      </c>
      <c r="E19" s="50">
        <v>198733</v>
      </c>
      <c r="G19" s="565">
        <f>IF(H$16&gt;0,ROUND(E19-(E19*H$16),0),0)</f>
        <v>192771</v>
      </c>
    </row>
    <row r="20" spans="1:5" ht="15.75">
      <c r="A20" s="29" t="s">
        <v>240</v>
      </c>
      <c r="B20" s="22"/>
      <c r="C20" s="22"/>
      <c r="D20" s="51"/>
      <c r="E20" s="52"/>
    </row>
    <row r="21" spans="1:7" ht="15.75">
      <c r="A21" s="22"/>
      <c r="B21" s="680" t="s">
        <v>971</v>
      </c>
      <c r="C21" s="386" t="s">
        <v>972</v>
      </c>
      <c r="D21" s="50">
        <v>657000</v>
      </c>
      <c r="E21" s="50">
        <v>542973</v>
      </c>
      <c r="G21" s="565">
        <f>IF(H$16&gt;0,ROUND(E21-(E21*H$16),0),0)</f>
        <v>526684</v>
      </c>
    </row>
    <row r="22" spans="1:7" ht="15.75">
      <c r="A22" s="22"/>
      <c r="B22" s="53" t="s">
        <v>973</v>
      </c>
      <c r="C22" s="387" t="s">
        <v>974</v>
      </c>
      <c r="D22" s="50">
        <v>72000</v>
      </c>
      <c r="E22" s="50">
        <v>42791</v>
      </c>
      <c r="G22" s="565">
        <f>IF(H$16&gt;0,ROUND(E22-(E22*H$16),0),0)</f>
        <v>41507</v>
      </c>
    </row>
    <row r="23" spans="1:7" ht="15.75">
      <c r="A23" s="22"/>
      <c r="B23" s="53"/>
      <c r="C23" s="387"/>
      <c r="D23" s="50"/>
      <c r="E23" s="50"/>
      <c r="G23" s="565"/>
    </row>
    <row r="24" spans="1:7" ht="15.75">
      <c r="A24" s="22"/>
      <c r="B24" s="53"/>
      <c r="C24" s="387"/>
      <c r="D24" s="50"/>
      <c r="E24" s="50"/>
      <c r="G24" s="565"/>
    </row>
    <row r="25" spans="1:7" ht="15.75">
      <c r="A25" s="22"/>
      <c r="B25" s="53"/>
      <c r="C25" s="387"/>
      <c r="D25" s="50"/>
      <c r="E25" s="50"/>
      <c r="G25" s="565"/>
    </row>
    <row r="26" spans="1:7" ht="15.75">
      <c r="A26" s="22"/>
      <c r="B26" s="53"/>
      <c r="C26" s="387"/>
      <c r="D26" s="50"/>
      <c r="E26" s="50"/>
      <c r="G26" s="565"/>
    </row>
    <row r="27" spans="1:7" ht="15.75">
      <c r="A27" s="22"/>
      <c r="B27" s="53"/>
      <c r="C27" s="387"/>
      <c r="D27" s="50"/>
      <c r="E27" s="50"/>
      <c r="G27" s="565"/>
    </row>
    <row r="28" spans="1:7" ht="15.75">
      <c r="A28" s="22"/>
      <c r="B28" s="53"/>
      <c r="C28" s="387"/>
      <c r="D28" s="50"/>
      <c r="E28" s="50"/>
      <c r="G28" s="565"/>
    </row>
    <row r="29" spans="1:7" ht="15.75">
      <c r="A29" s="22"/>
      <c r="B29" s="53"/>
      <c r="C29" s="387"/>
      <c r="D29" s="50"/>
      <c r="E29" s="50"/>
      <c r="G29" s="565"/>
    </row>
    <row r="30" spans="1:7" ht="15.75">
      <c r="A30" s="22"/>
      <c r="B30" s="53"/>
      <c r="C30" s="387"/>
      <c r="D30" s="50"/>
      <c r="E30" s="50"/>
      <c r="G30" s="565"/>
    </row>
    <row r="31" spans="1:5" ht="15.75">
      <c r="A31" s="54" t="str">
        <f>CONCATENATE("Total Tax Levy Funds for ",C5-1," Budgeted Year")</f>
        <v>Total Tax Levy Funds for 2012 Budgeted Year</v>
      </c>
      <c r="B31" s="55"/>
      <c r="C31" s="55"/>
      <c r="D31" s="56"/>
      <c r="E31" s="57">
        <f>SUM(E17:E30)</f>
        <v>2261493</v>
      </c>
    </row>
    <row r="32" spans="1:5" ht="15.75">
      <c r="A32" s="29"/>
      <c r="B32" s="22"/>
      <c r="C32" s="22"/>
      <c r="D32" s="58"/>
      <c r="E32" s="52"/>
    </row>
    <row r="33" spans="1:5" ht="15.75">
      <c r="A33" s="29" t="s">
        <v>172</v>
      </c>
      <c r="B33" s="22"/>
      <c r="C33" s="22"/>
      <c r="D33" s="22"/>
      <c r="E33" s="22"/>
    </row>
    <row r="34" spans="1:5" ht="15.75">
      <c r="A34" s="22"/>
      <c r="B34" s="59" t="s">
        <v>123</v>
      </c>
      <c r="C34" s="60"/>
      <c r="D34" s="49">
        <v>826400</v>
      </c>
      <c r="E34" s="60"/>
    </row>
    <row r="35" spans="1:5" ht="15.75">
      <c r="A35" s="22"/>
      <c r="B35" s="681" t="s">
        <v>975</v>
      </c>
      <c r="C35" s="60"/>
      <c r="D35" s="49">
        <v>55000</v>
      </c>
      <c r="E35" s="60"/>
    </row>
    <row r="36" spans="1:5" ht="15.75">
      <c r="A36" s="22"/>
      <c r="B36" s="681" t="s">
        <v>976</v>
      </c>
      <c r="C36" s="60"/>
      <c r="D36" s="49">
        <v>2000</v>
      </c>
      <c r="E36" s="60"/>
    </row>
    <row r="37" spans="1:5" ht="15.75">
      <c r="A37" s="22"/>
      <c r="B37" s="681" t="s">
        <v>977</v>
      </c>
      <c r="C37" s="60"/>
      <c r="D37" s="49">
        <v>5000</v>
      </c>
      <c r="E37" s="60"/>
    </row>
    <row r="38" spans="1:5" ht="15.75">
      <c r="A38" s="22"/>
      <c r="B38" s="681" t="s">
        <v>978</v>
      </c>
      <c r="C38" s="60"/>
      <c r="D38" s="49">
        <v>1000</v>
      </c>
      <c r="E38" s="60"/>
    </row>
    <row r="39" spans="1:5" ht="15.75">
      <c r="A39" s="22"/>
      <c r="B39" s="681" t="s">
        <v>979</v>
      </c>
      <c r="C39" s="60"/>
      <c r="D39" s="49">
        <v>1000</v>
      </c>
      <c r="E39" s="60"/>
    </row>
    <row r="40" spans="1:5" ht="15.75">
      <c r="A40" s="61"/>
      <c r="B40" s="680" t="s">
        <v>980</v>
      </c>
      <c r="C40" s="62"/>
      <c r="D40" s="49">
        <v>1000</v>
      </c>
      <c r="E40" s="63"/>
    </row>
    <row r="41" spans="1:5" ht="15.75">
      <c r="A41" s="61"/>
      <c r="B41" s="680"/>
      <c r="C41" s="60"/>
      <c r="D41" s="49"/>
      <c r="E41" s="63"/>
    </row>
    <row r="42" spans="1:5" ht="15.75">
      <c r="A42" s="61"/>
      <c r="B42" s="63"/>
      <c r="C42" s="60"/>
      <c r="D42" s="63"/>
      <c r="E42" s="63"/>
    </row>
    <row r="43" spans="1:5" ht="15.75">
      <c r="A43" s="61" t="s">
        <v>215</v>
      </c>
      <c r="B43" s="60"/>
      <c r="C43" s="60"/>
      <c r="D43" s="60"/>
      <c r="E43" s="63"/>
    </row>
    <row r="44" spans="1:5" ht="15.75">
      <c r="A44" s="64">
        <v>1</v>
      </c>
      <c r="B44" s="680" t="s">
        <v>981</v>
      </c>
      <c r="C44" s="60"/>
      <c r="D44" s="49">
        <v>1245430</v>
      </c>
      <c r="E44" s="63"/>
    </row>
    <row r="45" spans="1:5" ht="15.75">
      <c r="A45" s="64">
        <v>2</v>
      </c>
      <c r="B45" s="680" t="s">
        <v>984</v>
      </c>
      <c r="C45" s="60"/>
      <c r="D45" s="49">
        <v>1039600</v>
      </c>
      <c r="E45" s="63"/>
    </row>
    <row r="46" spans="1:5" ht="15.75">
      <c r="A46" s="64">
        <v>3</v>
      </c>
      <c r="B46" s="680" t="s">
        <v>982</v>
      </c>
      <c r="C46" s="60"/>
      <c r="D46" s="49">
        <v>47500</v>
      </c>
      <c r="E46" s="63"/>
    </row>
    <row r="47" spans="1:5" ht="15.75">
      <c r="A47" s="64">
        <v>4</v>
      </c>
      <c r="B47" s="680" t="s">
        <v>983</v>
      </c>
      <c r="C47" s="60"/>
      <c r="D47" s="49">
        <v>299900</v>
      </c>
      <c r="E47" s="63"/>
    </row>
    <row r="48" spans="1:5" ht="15.75">
      <c r="A48" s="54" t="str">
        <f>CONCATENATE("Total Expenditures for ",C5-1," Budgeted Year")</f>
        <v>Total Expenditures for 2012 Budgeted Year</v>
      </c>
      <c r="B48" s="55"/>
      <c r="C48" s="55"/>
      <c r="D48" s="57">
        <f>SUM(D17:D19,D21:D30,D34:D41,D44:D47)</f>
        <v>8611230</v>
      </c>
      <c r="E48" s="22"/>
    </row>
    <row r="49" spans="1:5" ht="15.75">
      <c r="A49" s="61"/>
      <c r="B49" s="60"/>
      <c r="C49" s="60"/>
      <c r="D49" s="22"/>
      <c r="E49" s="22"/>
    </row>
    <row r="50" spans="1:5" ht="15.75">
      <c r="A50" s="61" t="s">
        <v>216</v>
      </c>
      <c r="B50" s="60"/>
      <c r="C50" s="60"/>
      <c r="D50" s="60"/>
      <c r="E50" s="22"/>
    </row>
    <row r="51" spans="1:5" ht="15.75">
      <c r="A51" s="64">
        <v>1</v>
      </c>
      <c r="B51" s="763" t="s">
        <v>1077</v>
      </c>
      <c r="C51" s="60"/>
      <c r="D51" s="60"/>
      <c r="E51" s="22"/>
    </row>
    <row r="52" spans="1:5" ht="15.75">
      <c r="A52" s="64">
        <v>2</v>
      </c>
      <c r="B52" s="763" t="s">
        <v>1076</v>
      </c>
      <c r="C52" s="60"/>
      <c r="D52" s="60"/>
      <c r="E52" s="22"/>
    </row>
    <row r="53" spans="1:5" ht="15.75">
      <c r="A53" s="64">
        <v>3</v>
      </c>
      <c r="B53" s="680" t="s">
        <v>1078</v>
      </c>
      <c r="C53" s="60"/>
      <c r="D53" s="60"/>
      <c r="E53" s="22"/>
    </row>
    <row r="54" spans="1:5" ht="15.75">
      <c r="A54" s="64">
        <v>4</v>
      </c>
      <c r="B54" s="680"/>
      <c r="C54" s="60"/>
      <c r="D54" s="60"/>
      <c r="E54" s="22"/>
    </row>
    <row r="55" spans="1:5" ht="15.75">
      <c r="A55" s="64">
        <v>5</v>
      </c>
      <c r="B55" s="680"/>
      <c r="C55" s="60"/>
      <c r="D55" s="60"/>
      <c r="E55" s="22"/>
    </row>
    <row r="56" spans="1:5" ht="15.75">
      <c r="A56" s="61" t="s">
        <v>188</v>
      </c>
      <c r="B56" s="60"/>
      <c r="C56" s="60"/>
      <c r="D56" s="60"/>
      <c r="E56" s="22"/>
    </row>
    <row r="57" spans="1:5" ht="15.75">
      <c r="A57" s="64">
        <v>1</v>
      </c>
      <c r="B57" s="680"/>
      <c r="C57" s="60"/>
      <c r="D57" s="60"/>
      <c r="E57" s="22"/>
    </row>
    <row r="58" spans="1:5" ht="15.75">
      <c r="A58" s="64">
        <v>2</v>
      </c>
      <c r="B58" s="680"/>
      <c r="C58" s="60"/>
      <c r="D58" s="60"/>
      <c r="E58" s="22"/>
    </row>
    <row r="59" spans="1:5" ht="15.75">
      <c r="A59" s="64">
        <v>3</v>
      </c>
      <c r="B59" s="680"/>
      <c r="C59" s="60"/>
      <c r="D59" s="60"/>
      <c r="E59" s="22"/>
    </row>
    <row r="60" spans="1:5" ht="15.75">
      <c r="A60" s="64">
        <v>4</v>
      </c>
      <c r="B60" s="680"/>
      <c r="C60" s="60"/>
      <c r="D60" s="60"/>
      <c r="E60" s="22"/>
    </row>
    <row r="61" spans="1:5" ht="18" customHeight="1">
      <c r="A61" s="64">
        <v>5</v>
      </c>
      <c r="B61" s="680"/>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18.142</v>
      </c>
      <c r="E64" s="22"/>
    </row>
    <row r="65" spans="1:5" ht="15.75">
      <c r="A65" s="22"/>
      <c r="B65" s="68" t="str">
        <f>B18</f>
        <v>Debt Service</v>
      </c>
      <c r="C65" s="69"/>
      <c r="D65" s="70">
        <v>11.983</v>
      </c>
      <c r="E65" s="22"/>
    </row>
    <row r="66" spans="1:5" ht="15.75">
      <c r="A66" s="22"/>
      <c r="B66" s="68" t="str">
        <f>B19</f>
        <v>Library</v>
      </c>
      <c r="C66" s="48"/>
      <c r="D66" s="70">
        <v>4.494</v>
      </c>
      <c r="E66" s="22"/>
    </row>
    <row r="67" spans="1:5" ht="15.75">
      <c r="A67" s="22"/>
      <c r="B67" s="68" t="str">
        <f>B21</f>
        <v>Employee Benefit</v>
      </c>
      <c r="C67" s="48"/>
      <c r="D67" s="70">
        <v>12.831</v>
      </c>
      <c r="E67" s="22"/>
    </row>
    <row r="68" spans="1:5" ht="15.75">
      <c r="A68" s="22"/>
      <c r="B68" s="68" t="str">
        <f>B22</f>
        <v>Emergency Equipment</v>
      </c>
      <c r="C68" s="48"/>
      <c r="D68" s="70">
        <v>0.998</v>
      </c>
      <c r="E68" s="22"/>
    </row>
    <row r="69" spans="1:5" ht="15.75">
      <c r="A69" s="22"/>
      <c r="B69" s="68"/>
      <c r="C69" s="48"/>
      <c r="D69" s="70"/>
      <c r="E69" s="22"/>
    </row>
    <row r="70" spans="1:5" ht="15.75">
      <c r="A70" s="22"/>
      <c r="B70" s="68"/>
      <c r="C70" s="48"/>
      <c r="D70" s="70"/>
      <c r="E70" s="22"/>
    </row>
    <row r="71" spans="1:5" ht="15.75">
      <c r="A71" s="22"/>
      <c r="B71" s="68"/>
      <c r="C71" s="48"/>
      <c r="D71" s="70"/>
      <c r="E71" s="22"/>
    </row>
    <row r="72" spans="1:5" ht="15.75">
      <c r="A72" s="22"/>
      <c r="B72" s="68"/>
      <c r="C72" s="48"/>
      <c r="D72" s="70"/>
      <c r="E72" s="22"/>
    </row>
    <row r="73" spans="1:5" ht="15.75">
      <c r="A73" s="22"/>
      <c r="B73" s="68"/>
      <c r="C73" s="48"/>
      <c r="D73" s="70"/>
      <c r="E73" s="22"/>
    </row>
    <row r="74" spans="1:5" ht="15.75">
      <c r="A74" s="22"/>
      <c r="B74" s="68"/>
      <c r="C74" s="48"/>
      <c r="D74" s="70"/>
      <c r="E74" s="22"/>
    </row>
    <row r="75" spans="1:5" ht="15.75">
      <c r="A75" s="22"/>
      <c r="B75" s="68"/>
      <c r="C75" s="48"/>
      <c r="D75" s="70"/>
      <c r="E75" s="22"/>
    </row>
    <row r="76" spans="1:5" ht="15.75">
      <c r="A76" s="22"/>
      <c r="B76" s="68"/>
      <c r="C76" s="48"/>
      <c r="D76" s="70"/>
      <c r="E76" s="22"/>
    </row>
    <row r="77" spans="1:5" ht="15.75">
      <c r="A77" s="29" t="s">
        <v>331</v>
      </c>
      <c r="B77" s="22"/>
      <c r="C77" s="22"/>
      <c r="D77" s="71">
        <f>SUM(D64:D76)</f>
        <v>48.448</v>
      </c>
      <c r="E77" s="22"/>
    </row>
    <row r="78" spans="1:5" ht="15.75">
      <c r="A78" s="22"/>
      <c r="B78" s="22"/>
      <c r="C78" s="22"/>
      <c r="D78" s="22"/>
      <c r="E78" s="22"/>
    </row>
    <row r="79" spans="1:5" ht="15.75">
      <c r="A79" s="72" t="str">
        <f>CONCATENATE("Total Tax Levied (",C5-2," budget column)")</f>
        <v>Total Tax Levied (2011 budget column)</v>
      </c>
      <c r="B79" s="73"/>
      <c r="C79" s="55"/>
      <c r="D79" s="74"/>
      <c r="E79" s="50">
        <v>2121666</v>
      </c>
    </row>
    <row r="80" spans="1:5" ht="15.75">
      <c r="A80" s="72" t="str">
        <f>CONCATENATE("Assessed Valuation  (",C5-2," budget column)")</f>
        <v>Assessed Valuation  (2011 budget column)</v>
      </c>
      <c r="B80" s="75"/>
      <c r="C80" s="76"/>
      <c r="D80" s="77"/>
      <c r="E80" s="50">
        <v>43792585</v>
      </c>
    </row>
    <row r="81" spans="1:5" ht="15.75">
      <c r="A81" s="22"/>
      <c r="B81" s="22"/>
      <c r="C81" s="22"/>
      <c r="D81" s="40"/>
      <c r="E81" s="51"/>
    </row>
    <row r="82" spans="1:5" ht="15.75">
      <c r="A82" s="37" t="s">
        <v>258</v>
      </c>
      <c r="B82" s="37"/>
      <c r="C82" s="78"/>
      <c r="D82" s="79">
        <f>C5-3</f>
        <v>2010</v>
      </c>
      <c r="E82" s="80">
        <f>C5-2</f>
        <v>2011</v>
      </c>
    </row>
    <row r="83" spans="1:5" ht="15.75">
      <c r="A83" s="73" t="s">
        <v>173</v>
      </c>
      <c r="B83" s="73"/>
      <c r="C83" s="81"/>
      <c r="D83" s="49">
        <v>12095000</v>
      </c>
      <c r="E83" s="49">
        <v>11570000</v>
      </c>
    </row>
    <row r="84" spans="1:5" ht="15.75">
      <c r="A84" s="75" t="s">
        <v>174</v>
      </c>
      <c r="B84" s="75"/>
      <c r="C84" s="82"/>
      <c r="D84" s="49">
        <v>0</v>
      </c>
      <c r="E84" s="49">
        <v>0</v>
      </c>
    </row>
    <row r="85" spans="1:5" ht="15.75">
      <c r="A85" s="75" t="s">
        <v>175</v>
      </c>
      <c r="B85" s="75"/>
      <c r="C85" s="82"/>
      <c r="D85" s="49">
        <v>6110687</v>
      </c>
      <c r="E85" s="49">
        <v>5492797</v>
      </c>
    </row>
    <row r="86" spans="1:5" ht="15.75">
      <c r="A86" s="75" t="s">
        <v>176</v>
      </c>
      <c r="B86" s="75"/>
      <c r="C86" s="82"/>
      <c r="D86" s="49">
        <v>68134</v>
      </c>
      <c r="E86" s="49">
        <v>47418</v>
      </c>
    </row>
    <row r="93" spans="1:5" s="83" customFormat="1" ht="15.75">
      <c r="A93" s="23"/>
      <c r="B93" s="23"/>
      <c r="C93" s="23"/>
      <c r="D93" s="23"/>
      <c r="E93" s="23"/>
    </row>
  </sheetData>
  <sheetProtection sheet="1"/>
  <mergeCells count="2">
    <mergeCell ref="A10:E10"/>
    <mergeCell ref="G8:H13"/>
  </mergeCells>
  <printOptions/>
  <pageMargins left="0.5" right="0.5" top="1" bottom="0.5" header="0.5" footer="0.25"/>
  <pageSetup blackAndWhite="1" fitToHeight="2" fitToWidth="1" horizontalDpi="120" verticalDpi="120" orientation="portrait" scale="83" r:id="rId1"/>
</worksheet>
</file>

<file path=xl/worksheets/sheet20.xml><?xml version="1.0" encoding="utf-8"?>
<worksheet xmlns="http://schemas.openxmlformats.org/spreadsheetml/2006/main" xmlns:r="http://schemas.openxmlformats.org/officeDocument/2006/relationships">
  <sheetPr>
    <pageSetUpPr fitToPage="1"/>
  </sheetPr>
  <dimension ref="B1:L96"/>
  <sheetViews>
    <sheetView zoomScalePageLayoutView="0" workbookViewId="0" topLeftCell="A13">
      <selection activeCell="D49" sqref="D49"/>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6" width="8.8984375" style="23" customWidth="1"/>
    <col min="7" max="7" width="10.19921875" style="23" customWidth="1"/>
    <col min="8" max="8" width="8.8984375" style="23" customWidth="1"/>
    <col min="9" max="9" width="5" style="23" customWidth="1"/>
    <col min="10" max="10" width="10" style="23" customWidth="1"/>
    <col min="11"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89</v>
      </c>
      <c r="C3" s="169"/>
      <c r="D3" s="169"/>
      <c r="E3" s="257"/>
    </row>
    <row r="4" spans="2:5" ht="15.75">
      <c r="B4" s="29" t="s">
        <v>24</v>
      </c>
      <c r="C4" s="661" t="s">
        <v>802</v>
      </c>
      <c r="D4" s="662" t="s">
        <v>803</v>
      </c>
      <c r="E4" s="125" t="s">
        <v>804</v>
      </c>
    </row>
    <row r="5" spans="2:5" ht="15.75">
      <c r="B5" s="369">
        <f>inputPrYr!B29</f>
        <v>0</v>
      </c>
      <c r="C5" s="352" t="str">
        <f>CONCATENATE("Actual for ",E1-2,"")</f>
        <v>Actual for 2011</v>
      </c>
      <c r="D5" s="352" t="str">
        <f>CONCATENATE("Estimate for ",E1-1,"")</f>
        <v>Estimate for 2012</v>
      </c>
      <c r="E5" s="222" t="str">
        <f>CONCATENATE("Year for ",E1,"")</f>
        <v>Year for 2013</v>
      </c>
    </row>
    <row r="6" spans="2:5" ht="15.75">
      <c r="B6" s="223" t="s">
        <v>144</v>
      </c>
      <c r="C6" s="224"/>
      <c r="D6" s="351">
        <f>C34</f>
        <v>0</v>
      </c>
      <c r="E6" s="193">
        <f>D34</f>
        <v>0</v>
      </c>
    </row>
    <row r="7" spans="2:5" ht="15.75">
      <c r="B7" s="226" t="s">
        <v>146</v>
      </c>
      <c r="C7" s="139"/>
      <c r="D7" s="139"/>
      <c r="E7" s="68"/>
    </row>
    <row r="8" spans="2:5" ht="15.75">
      <c r="B8" s="131" t="s">
        <v>25</v>
      </c>
      <c r="C8" s="224"/>
      <c r="D8" s="351">
        <f>IF(inputPrYr!H16&gt;0,inputPrYr!G29,inputPrYr!E29)</f>
        <v>0</v>
      </c>
      <c r="E8" s="254" t="s">
        <v>13</v>
      </c>
    </row>
    <row r="9" spans="2:5" ht="15.75">
      <c r="B9" s="131" t="s">
        <v>26</v>
      </c>
      <c r="C9" s="224"/>
      <c r="D9" s="224"/>
      <c r="E9" s="50"/>
    </row>
    <row r="10" spans="2:5" ht="15.75">
      <c r="B10" s="131" t="s">
        <v>27</v>
      </c>
      <c r="C10" s="224"/>
      <c r="D10" s="224"/>
      <c r="E10" s="193" t="str">
        <f>mvalloc!D18</f>
        <v>  </v>
      </c>
    </row>
    <row r="11" spans="2:5" ht="15.75">
      <c r="B11" s="131" t="s">
        <v>28</v>
      </c>
      <c r="C11" s="224"/>
      <c r="D11" s="224"/>
      <c r="E11" s="193" t="str">
        <f>mvalloc!E18</f>
        <v> </v>
      </c>
    </row>
    <row r="12" spans="2:5" ht="15.75">
      <c r="B12" s="139" t="s">
        <v>121</v>
      </c>
      <c r="C12" s="224"/>
      <c r="D12" s="224"/>
      <c r="E12" s="193" t="str">
        <f>mvalloc!F18</f>
        <v> </v>
      </c>
    </row>
    <row r="13" spans="2:5" ht="15.75">
      <c r="B13" s="50"/>
      <c r="C13" s="224"/>
      <c r="D13" s="224"/>
      <c r="E13" s="50"/>
    </row>
    <row r="14" spans="2:5" ht="15.75">
      <c r="B14" s="239"/>
      <c r="C14" s="224"/>
      <c r="D14" s="224"/>
      <c r="E14" s="50"/>
    </row>
    <row r="15" spans="2:5" ht="15.75">
      <c r="B15" s="239"/>
      <c r="C15" s="224"/>
      <c r="D15" s="224"/>
      <c r="E15" s="50"/>
    </row>
    <row r="16" spans="2:5" ht="15.75">
      <c r="B16" s="239"/>
      <c r="C16" s="224"/>
      <c r="D16" s="224"/>
      <c r="E16" s="50"/>
    </row>
    <row r="17" spans="2:5" ht="15.75">
      <c r="B17" s="231" t="s">
        <v>29</v>
      </c>
      <c r="C17" s="224"/>
      <c r="D17" s="224"/>
      <c r="E17" s="50"/>
    </row>
    <row r="18" spans="2:5" ht="15.75">
      <c r="B18" s="139" t="s">
        <v>267</v>
      </c>
      <c r="C18" s="224"/>
      <c r="D18" s="224"/>
      <c r="E18" s="50"/>
    </row>
    <row r="19" spans="2:5" ht="15.75">
      <c r="B19" s="223" t="s">
        <v>785</v>
      </c>
      <c r="C19" s="353">
        <f>IF(C20*0.1&lt;C18,"Exceed 10% Rule","")</f>
      </c>
      <c r="D19" s="353">
        <f>IF(D20*0.1&lt;D18,"Exceed 10% Rule","")</f>
      </c>
      <c r="E19" s="370">
        <f>IF(E20*0.1+E40&lt;E18,"Exceed 10% Rule","")</f>
      </c>
    </row>
    <row r="20" spans="2:5" ht="15.75">
      <c r="B20" s="233" t="s">
        <v>30</v>
      </c>
      <c r="C20" s="354">
        <f>SUM(C8:C18)</f>
        <v>0</v>
      </c>
      <c r="D20" s="354">
        <f>SUM(D8:D18)</f>
        <v>0</v>
      </c>
      <c r="E20" s="259">
        <f>SUM(E8:E18)</f>
        <v>0</v>
      </c>
    </row>
    <row r="21" spans="2:5" ht="15.75">
      <c r="B21" s="233" t="s">
        <v>31</v>
      </c>
      <c r="C21" s="354">
        <f>C6+C20</f>
        <v>0</v>
      </c>
      <c r="D21" s="354">
        <f>D6+D20</f>
        <v>0</v>
      </c>
      <c r="E21" s="259">
        <f>E6+E20</f>
        <v>0</v>
      </c>
    </row>
    <row r="22" spans="2:5" ht="15.75">
      <c r="B22" s="131" t="s">
        <v>33</v>
      </c>
      <c r="C22" s="240"/>
      <c r="D22" s="240"/>
      <c r="E22" s="48"/>
    </row>
    <row r="23" spans="2:5" ht="15.75">
      <c r="B23" s="239"/>
      <c r="C23" s="224"/>
      <c r="D23" s="224"/>
      <c r="E23" s="50"/>
    </row>
    <row r="24" spans="2:10" ht="15.75">
      <c r="B24" s="239"/>
      <c r="C24" s="224"/>
      <c r="D24" s="224"/>
      <c r="E24" s="50"/>
      <c r="G24" s="836" t="str">
        <f>CONCATENATE("Desired Carryover Into ",E1+1,"")</f>
        <v>Desired Carryover Into 2014</v>
      </c>
      <c r="H24" s="825"/>
      <c r="I24" s="825"/>
      <c r="J24" s="826"/>
    </row>
    <row r="25" spans="2:10" ht="15.75">
      <c r="B25" s="239"/>
      <c r="C25" s="224"/>
      <c r="D25" s="224"/>
      <c r="E25" s="50"/>
      <c r="G25" s="702"/>
      <c r="H25" s="689"/>
      <c r="I25" s="696"/>
      <c r="J25" s="703"/>
    </row>
    <row r="26" spans="2:10" ht="15.75">
      <c r="B26" s="239"/>
      <c r="C26" s="224"/>
      <c r="D26" s="224"/>
      <c r="E26" s="50"/>
      <c r="G26" s="701" t="s">
        <v>633</v>
      </c>
      <c r="H26" s="696"/>
      <c r="I26" s="696"/>
      <c r="J26" s="690">
        <v>0</v>
      </c>
    </row>
    <row r="27" spans="2:10" ht="15.75">
      <c r="B27" s="239"/>
      <c r="C27" s="224"/>
      <c r="D27" s="224"/>
      <c r="E27" s="50"/>
      <c r="G27" s="702" t="s">
        <v>634</v>
      </c>
      <c r="H27" s="689"/>
      <c r="I27" s="689"/>
      <c r="J27" s="730">
        <f>IF(J26=0,"",ROUND((J26+E40-G39)/inputOth!E7*1000,3)-G44)</f>
      </c>
    </row>
    <row r="28" spans="2:10" ht="15.75">
      <c r="B28" s="239"/>
      <c r="C28" s="224"/>
      <c r="D28" s="224"/>
      <c r="E28" s="50"/>
      <c r="G28" s="727" t="str">
        <f>CONCATENATE("",E1," Tot Exp/Non-Appr Must Be:")</f>
        <v>2013 Tot Exp/Non-Appr Must Be:</v>
      </c>
      <c r="H28" s="725"/>
      <c r="I28" s="726"/>
      <c r="J28" s="722">
        <f>IF(J26&gt;0,IF(E37&lt;E21,IF(J26=G39,E38,((J26-G39)*(1-D39))+E21),E38+(J26-G39)),0)</f>
        <v>0</v>
      </c>
    </row>
    <row r="29" spans="2:10" ht="15.75">
      <c r="B29" s="239"/>
      <c r="C29" s="224"/>
      <c r="D29" s="224"/>
      <c r="E29" s="50"/>
      <c r="G29" s="592" t="s">
        <v>807</v>
      </c>
      <c r="H29" s="733"/>
      <c r="I29" s="733"/>
      <c r="J29" s="728">
        <f>IF(J26&gt;0,J28-E38,0)</f>
        <v>0</v>
      </c>
    </row>
    <row r="30" spans="2:10" ht="15.75">
      <c r="B30" s="240" t="s">
        <v>268</v>
      </c>
      <c r="C30" s="224"/>
      <c r="D30" s="224"/>
      <c r="E30" s="57">
        <f>nhood!E17</f>
      </c>
      <c r="J30" s="679"/>
    </row>
    <row r="31" spans="2:10" ht="15.75">
      <c r="B31" s="240" t="s">
        <v>267</v>
      </c>
      <c r="C31" s="224"/>
      <c r="D31" s="224"/>
      <c r="E31" s="50"/>
      <c r="G31" s="836" t="str">
        <f>CONCATENATE("Projected Carryover Into ",E1+1,"")</f>
        <v>Projected Carryover Into 2014</v>
      </c>
      <c r="H31" s="833"/>
      <c r="I31" s="833"/>
      <c r="J31" s="839"/>
    </row>
    <row r="32" spans="2:10" ht="15.75">
      <c r="B32" s="240" t="s">
        <v>786</v>
      </c>
      <c r="C32" s="353">
        <f>IF(C33*0.1&lt;C31,"Exceed 10% Rule","")</f>
      </c>
      <c r="D32" s="353">
        <f>IF(D33*0.1&lt;D31,"Exceed 10% Rule","")</f>
      </c>
      <c r="E32" s="370">
        <f>IF(E33*0.1&lt;E31,"Exceed 10% Rule","")</f>
      </c>
      <c r="G32" s="702"/>
      <c r="H32" s="696"/>
      <c r="I32" s="696"/>
      <c r="J32" s="742"/>
    </row>
    <row r="33" spans="2:10" ht="15.75">
      <c r="B33" s="233" t="s">
        <v>37</v>
      </c>
      <c r="C33" s="354">
        <f>SUM(C23:C31)</f>
        <v>0</v>
      </c>
      <c r="D33" s="354">
        <f>SUM(D23:D31)</f>
        <v>0</v>
      </c>
      <c r="E33" s="259">
        <f>SUM(E23:E31)</f>
        <v>0</v>
      </c>
      <c r="G33" s="693">
        <f>D34</f>
        <v>0</v>
      </c>
      <c r="H33" s="694" t="str">
        <f>CONCATENATE("",E1-1," Ending Cash Balance (est.)")</f>
        <v>2012 Ending Cash Balance (est.)</v>
      </c>
      <c r="I33" s="695"/>
      <c r="J33" s="742"/>
    </row>
    <row r="34" spans="2:10" ht="15.75">
      <c r="B34" s="131" t="s">
        <v>145</v>
      </c>
      <c r="C34" s="351">
        <f>C21-C33</f>
        <v>0</v>
      </c>
      <c r="D34" s="351">
        <f>D21-D33</f>
        <v>0</v>
      </c>
      <c r="E34" s="254" t="s">
        <v>13</v>
      </c>
      <c r="G34" s="693">
        <f>E20</f>
        <v>0</v>
      </c>
      <c r="H34" s="696" t="str">
        <f>CONCATENATE("",E1," Non-AV Receipts (est.)")</f>
        <v>2013 Non-AV Receipts (est.)</v>
      </c>
      <c r="I34" s="695"/>
      <c r="J34" s="742"/>
    </row>
    <row r="35" spans="2:12" ht="15.75">
      <c r="B35" s="119" t="str">
        <f>CONCATENATE("",$E$1-2,"/",$E$1-1," Budget Authority Amount:")</f>
        <v>2011/2012 Budget Authority Amount:</v>
      </c>
      <c r="C35" s="183">
        <f>inputOth!B72</f>
        <v>0</v>
      </c>
      <c r="D35" s="552">
        <f>inputPrYr!D29</f>
        <v>0</v>
      </c>
      <c r="E35" s="254" t="s">
        <v>13</v>
      </c>
      <c r="F35" s="243"/>
      <c r="G35" s="697">
        <f>IF(D39&gt;0,E38,E40)</f>
        <v>0</v>
      </c>
      <c r="H35" s="696" t="str">
        <f>CONCATENATE("",E1," Ad Valorem Tax (est.)")</f>
        <v>2013 Ad Valorem Tax (est.)</v>
      </c>
      <c r="I35" s="695"/>
      <c r="J35" s="742"/>
      <c r="K35" s="595">
        <f>IF(G35=E40,"","Note: Does not include Delinquent Taxes")</f>
      </c>
      <c r="L35" s="595"/>
    </row>
    <row r="36" spans="2:10" ht="15.75">
      <c r="B36" s="119"/>
      <c r="C36" s="818" t="s">
        <v>625</v>
      </c>
      <c r="D36" s="819"/>
      <c r="E36" s="50"/>
      <c r="F36" s="243">
        <f>IF(E33/0.95-E33&lt;E36,"Exceeds 5%","")</f>
      </c>
      <c r="G36" s="693">
        <f>SUM(G33:G35)</f>
        <v>0</v>
      </c>
      <c r="H36" s="696" t="str">
        <f>CONCATENATE("Total ",E1," Resources Available")</f>
        <v>Total 2013 Resources Available</v>
      </c>
      <c r="I36" s="695"/>
      <c r="J36" s="742"/>
    </row>
    <row r="37" spans="2:10" ht="15.75">
      <c r="B37" s="372" t="str">
        <f>CONCATENATE(C93,"     ",D93)</f>
        <v>     </v>
      </c>
      <c r="C37" s="820" t="s">
        <v>626</v>
      </c>
      <c r="D37" s="821"/>
      <c r="E37" s="193">
        <f>E33+E36</f>
        <v>0</v>
      </c>
      <c r="G37" s="698"/>
      <c r="H37" s="696"/>
      <c r="I37" s="696"/>
      <c r="J37" s="742"/>
    </row>
    <row r="38" spans="2:10" ht="15.75">
      <c r="B38" s="372" t="str">
        <f>CONCATENATE(C94,"     ",D94)</f>
        <v>     </v>
      </c>
      <c r="C38" s="244"/>
      <c r="D38" s="147" t="s">
        <v>38</v>
      </c>
      <c r="E38" s="193">
        <f>IF(E37-E21&gt;0,E37-E21,0)</f>
        <v>0</v>
      </c>
      <c r="G38" s="697">
        <f>ROUND(C33*0.05+C33,0)</f>
        <v>0</v>
      </c>
      <c r="H38" s="696" t="str">
        <f>CONCATENATE("Less ",E1-2," Expenditures + 5%")</f>
        <v>Less 2011 Expenditures + 5%</v>
      </c>
      <c r="I38" s="695"/>
      <c r="J38" s="742"/>
    </row>
    <row r="39" spans="2:10" ht="15.75">
      <c r="B39" s="147"/>
      <c r="C39" s="358" t="s">
        <v>627</v>
      </c>
      <c r="D39" s="594">
        <f>inputOth!$E$47</f>
        <v>0.03</v>
      </c>
      <c r="E39" s="193">
        <f>ROUND(IF($D$39&gt;0,($E$38*$D$39),0),0)</f>
        <v>0</v>
      </c>
      <c r="G39" s="731">
        <f>G36-G38</f>
        <v>0</v>
      </c>
      <c r="H39" s="732" t="str">
        <f>CONCATENATE("Projected ",E1+1," carryover (est.)")</f>
        <v>Projected 2014 carryover (est.)</v>
      </c>
      <c r="I39" s="699"/>
      <c r="J39" s="740"/>
    </row>
    <row r="40" spans="2:10" ht="16.5" thickBot="1">
      <c r="B40" s="22"/>
      <c r="C40" s="822" t="str">
        <f>CONCATENATE("Amount of  ",$E$1-1," Ad Valorem Tax")</f>
        <v>Amount of  2012 Ad Valorem Tax</v>
      </c>
      <c r="D40" s="823"/>
      <c r="E40" s="260">
        <f>E38+E39</f>
        <v>0</v>
      </c>
      <c r="G40" s="679"/>
      <c r="H40" s="679"/>
      <c r="I40" s="679"/>
      <c r="J40" s="679"/>
    </row>
    <row r="41" spans="2:10" ht="16.5" thickTop="1">
      <c r="B41" s="22"/>
      <c r="C41" s="830"/>
      <c r="D41" s="830"/>
      <c r="E41" s="22"/>
      <c r="G41" s="827" t="s">
        <v>863</v>
      </c>
      <c r="H41" s="828"/>
      <c r="I41" s="828"/>
      <c r="J41" s="829"/>
    </row>
    <row r="42" spans="2:10" ht="15.75">
      <c r="B42" s="22"/>
      <c r="C42" s="22"/>
      <c r="D42" s="22"/>
      <c r="E42" s="22"/>
      <c r="G42" s="735"/>
      <c r="H42" s="694"/>
      <c r="I42" s="723"/>
      <c r="J42" s="724"/>
    </row>
    <row r="43" spans="2:10" ht="15.75">
      <c r="B43" s="29"/>
      <c r="C43" s="123"/>
      <c r="D43" s="123"/>
      <c r="E43" s="123"/>
      <c r="G43" s="737" t="str">
        <f>summ!H27</f>
        <v>  </v>
      </c>
      <c r="H43" s="694" t="str">
        <f>CONCATENATE("",E1," Fund Mill Rate")</f>
        <v>2013 Fund Mill Rate</v>
      </c>
      <c r="I43" s="723"/>
      <c r="J43" s="724"/>
    </row>
    <row r="44" spans="2:10" ht="15.75">
      <c r="B44" s="29" t="s">
        <v>24</v>
      </c>
      <c r="C44" s="661" t="str">
        <f aca="true" t="shared" si="0" ref="C44:E45">C4</f>
        <v>Prior Year </v>
      </c>
      <c r="D44" s="662" t="str">
        <f t="shared" si="0"/>
        <v>Current Year</v>
      </c>
      <c r="E44" s="125" t="str">
        <f t="shared" si="0"/>
        <v>Proposed Budget</v>
      </c>
      <c r="G44" s="736" t="str">
        <f>summ!E27</f>
        <v>  </v>
      </c>
      <c r="H44" s="694" t="str">
        <f>CONCATENATE("",E1-1," Fund Mill Rate")</f>
        <v>2012 Fund Mill Rate</v>
      </c>
      <c r="I44" s="723"/>
      <c r="J44" s="724"/>
    </row>
    <row r="45" spans="2:10" ht="15.75">
      <c r="B45" s="368">
        <f>inputPrYr!B30</f>
        <v>0</v>
      </c>
      <c r="C45" s="352" t="str">
        <f t="shared" si="0"/>
        <v>Actual for 2011</v>
      </c>
      <c r="D45" s="352" t="str">
        <f t="shared" si="0"/>
        <v>Estimate for 2012</v>
      </c>
      <c r="E45" s="178" t="str">
        <f t="shared" si="0"/>
        <v>Year for 2013</v>
      </c>
      <c r="G45" s="738">
        <f>summ!H43</f>
        <v>53.608999999999995</v>
      </c>
      <c r="H45" s="694" t="str">
        <f>CONCATENATE("Total ",E1," Mill Rate")</f>
        <v>Total 2013 Mill Rate</v>
      </c>
      <c r="I45" s="723"/>
      <c r="J45" s="724"/>
    </row>
    <row r="46" spans="2:10" ht="15.75">
      <c r="B46" s="223" t="s">
        <v>144</v>
      </c>
      <c r="C46" s="224"/>
      <c r="D46" s="351">
        <f>C74</f>
        <v>0</v>
      </c>
      <c r="E46" s="193">
        <f>D74</f>
        <v>0</v>
      </c>
      <c r="G46" s="736">
        <f>summ!E43</f>
        <v>51.172</v>
      </c>
      <c r="H46" s="719" t="str">
        <f>CONCATENATE("Total ",E1-1," Mill Rate")</f>
        <v>Total 2012 Mill Rate</v>
      </c>
      <c r="I46" s="720"/>
      <c r="J46" s="721"/>
    </row>
    <row r="47" spans="2:5" ht="15.75">
      <c r="B47" s="223" t="s">
        <v>146</v>
      </c>
      <c r="C47" s="139"/>
      <c r="D47" s="139"/>
      <c r="E47" s="68"/>
    </row>
    <row r="48" spans="2:5" ht="15.75">
      <c r="B48" s="131" t="s">
        <v>25</v>
      </c>
      <c r="C48" s="224"/>
      <c r="D48" s="351">
        <f>IF(inputPrYr!H16&gt;0,inputPrYr!G30,inputPrYr!E30)</f>
        <v>0</v>
      </c>
      <c r="E48" s="254" t="s">
        <v>13</v>
      </c>
    </row>
    <row r="49" spans="2:5" ht="15.75">
      <c r="B49" s="131" t="s">
        <v>26</v>
      </c>
      <c r="C49" s="224"/>
      <c r="D49" s="224"/>
      <c r="E49" s="50"/>
    </row>
    <row r="50" spans="2:5" ht="15.75">
      <c r="B50" s="131" t="s">
        <v>27</v>
      </c>
      <c r="C50" s="224"/>
      <c r="D50" s="224"/>
      <c r="E50" s="193" t="str">
        <f>mvalloc!D19</f>
        <v>  </v>
      </c>
    </row>
    <row r="51" spans="2:5" ht="15.75">
      <c r="B51" s="131" t="s">
        <v>28</v>
      </c>
      <c r="C51" s="224"/>
      <c r="D51" s="224"/>
      <c r="E51" s="193" t="str">
        <f>mvalloc!E19</f>
        <v> </v>
      </c>
    </row>
    <row r="52" spans="2:5" ht="15.75">
      <c r="B52" s="139" t="s">
        <v>121</v>
      </c>
      <c r="C52" s="224"/>
      <c r="D52" s="224"/>
      <c r="E52" s="193" t="str">
        <f>mvalloc!F19</f>
        <v> </v>
      </c>
    </row>
    <row r="53" spans="2:5" ht="15.75">
      <c r="B53" s="50"/>
      <c r="C53" s="224"/>
      <c r="D53" s="224"/>
      <c r="E53" s="50"/>
    </row>
    <row r="54" spans="2:5" ht="15.75">
      <c r="B54" s="239"/>
      <c r="C54" s="224"/>
      <c r="D54" s="224"/>
      <c r="E54" s="50"/>
    </row>
    <row r="55" spans="2:5" ht="15.75">
      <c r="B55" s="239"/>
      <c r="C55" s="224"/>
      <c r="D55" s="224"/>
      <c r="E55" s="50"/>
    </row>
    <row r="56" spans="2:5" ht="15.75">
      <c r="B56" s="239"/>
      <c r="C56" s="224"/>
      <c r="D56" s="224"/>
      <c r="E56" s="50"/>
    </row>
    <row r="57" spans="2:5" ht="15.75">
      <c r="B57" s="231" t="s">
        <v>29</v>
      </c>
      <c r="C57" s="224"/>
      <c r="D57" s="224"/>
      <c r="E57" s="50"/>
    </row>
    <row r="58" spans="2:5" ht="15.75">
      <c r="B58" s="139" t="s">
        <v>267</v>
      </c>
      <c r="C58" s="224"/>
      <c r="D58" s="224"/>
      <c r="E58" s="50"/>
    </row>
    <row r="59" spans="2:5" ht="15.75">
      <c r="B59" s="223" t="s">
        <v>785</v>
      </c>
      <c r="C59" s="353">
        <f>IF(C60*0.1&lt;C58,"Exceed 10% Rule","")</f>
      </c>
      <c r="D59" s="353">
        <f>IF(D60*0.1&lt;D58,"Exceed 10% Rule","")</f>
      </c>
      <c r="E59" s="370">
        <f>IF(E60*0.1+E80&lt;E58,"Exceed 10% Rule","")</f>
      </c>
    </row>
    <row r="60" spans="2:5" ht="15.75">
      <c r="B60" s="233" t="s">
        <v>30</v>
      </c>
      <c r="C60" s="354">
        <f>SUM(C48:C58)</f>
        <v>0</v>
      </c>
      <c r="D60" s="354">
        <f>SUM(D48:D58)</f>
        <v>0</v>
      </c>
      <c r="E60" s="259">
        <f>SUM(E48:E58)</f>
        <v>0</v>
      </c>
    </row>
    <row r="61" spans="2:5" ht="15.75">
      <c r="B61" s="233" t="s">
        <v>31</v>
      </c>
      <c r="C61" s="354">
        <f>C46+C60</f>
        <v>0</v>
      </c>
      <c r="D61" s="354">
        <f>D46+D60</f>
        <v>0</v>
      </c>
      <c r="E61" s="259">
        <f>E46+E60</f>
        <v>0</v>
      </c>
    </row>
    <row r="62" spans="2:5" ht="15.75">
      <c r="B62" s="131" t="s">
        <v>33</v>
      </c>
      <c r="C62" s="240"/>
      <c r="D62" s="240"/>
      <c r="E62" s="48"/>
    </row>
    <row r="63" spans="2:5" ht="15.75">
      <c r="B63" s="239"/>
      <c r="C63" s="224"/>
      <c r="D63" s="224"/>
      <c r="E63" s="50"/>
    </row>
    <row r="64" spans="2:10" ht="15.75">
      <c r="B64" s="239"/>
      <c r="C64" s="224"/>
      <c r="D64" s="224"/>
      <c r="E64" s="50"/>
      <c r="G64" s="836" t="str">
        <f>CONCATENATE("Desired Carryover Into ",E1+1,"")</f>
        <v>Desired Carryover Into 2014</v>
      </c>
      <c r="H64" s="825"/>
      <c r="I64" s="825"/>
      <c r="J64" s="826"/>
    </row>
    <row r="65" spans="2:10" ht="15.75">
      <c r="B65" s="239"/>
      <c r="C65" s="224"/>
      <c r="D65" s="224"/>
      <c r="E65" s="50"/>
      <c r="G65" s="702"/>
      <c r="H65" s="689"/>
      <c r="I65" s="696"/>
      <c r="J65" s="703"/>
    </row>
    <row r="66" spans="2:10" ht="15.75">
      <c r="B66" s="239"/>
      <c r="C66" s="224"/>
      <c r="D66" s="224"/>
      <c r="E66" s="50"/>
      <c r="G66" s="701" t="s">
        <v>633</v>
      </c>
      <c r="H66" s="696"/>
      <c r="I66" s="696"/>
      <c r="J66" s="690">
        <v>0</v>
      </c>
    </row>
    <row r="67" spans="2:10" ht="15.75">
      <c r="B67" s="239"/>
      <c r="C67" s="224"/>
      <c r="D67" s="224"/>
      <c r="E67" s="50"/>
      <c r="G67" s="702" t="s">
        <v>634</v>
      </c>
      <c r="H67" s="689"/>
      <c r="I67" s="689"/>
      <c r="J67" s="730">
        <f>IF(J66=0,"",ROUND((J66+E80-G79)/inputOth!E7*1000,3)-G84)</f>
      </c>
    </row>
    <row r="68" spans="2:10" ht="15.75">
      <c r="B68" s="239"/>
      <c r="C68" s="224"/>
      <c r="D68" s="224"/>
      <c r="E68" s="50"/>
      <c r="G68" s="727" t="str">
        <f>CONCATENATE("",E1," Tot Exp/Non-Appr Must Be:")</f>
        <v>2013 Tot Exp/Non-Appr Must Be:</v>
      </c>
      <c r="H68" s="725"/>
      <c r="I68" s="726"/>
      <c r="J68" s="722">
        <f>IF(J66&gt;0,IF(E77&lt;E61,IF(J66=G79,E77,((J66-G79)*(1-D79))+E61),E77+(J66-G79)),0)</f>
        <v>0</v>
      </c>
    </row>
    <row r="69" spans="2:10" ht="15.75">
      <c r="B69" s="239"/>
      <c r="C69" s="224"/>
      <c r="D69" s="224"/>
      <c r="E69" s="50"/>
      <c r="G69" s="592" t="s">
        <v>807</v>
      </c>
      <c r="H69" s="733"/>
      <c r="I69" s="733"/>
      <c r="J69" s="728">
        <f>IF(J66&gt;0,J68-E77,0)</f>
        <v>0</v>
      </c>
    </row>
    <row r="70" spans="2:10" ht="15.75">
      <c r="B70" s="240" t="s">
        <v>268</v>
      </c>
      <c r="C70" s="224"/>
      <c r="D70" s="224"/>
      <c r="E70" s="57">
        <f>nhood!E18</f>
      </c>
      <c r="J70" s="679"/>
    </row>
    <row r="71" spans="2:10" ht="15.75">
      <c r="B71" s="240" t="s">
        <v>267</v>
      </c>
      <c r="C71" s="224"/>
      <c r="D71" s="224"/>
      <c r="E71" s="50"/>
      <c r="G71" s="836" t="str">
        <f>CONCATENATE("Projected Carryover Into ",E1+1,"")</f>
        <v>Projected Carryover Into 2014</v>
      </c>
      <c r="H71" s="840"/>
      <c r="I71" s="840"/>
      <c r="J71" s="839"/>
    </row>
    <row r="72" spans="2:10" ht="15.75">
      <c r="B72" s="240" t="s">
        <v>786</v>
      </c>
      <c r="C72" s="353">
        <f>IF(C73*0.1&lt;C71,"Exceed 10% Rule","")</f>
      </c>
      <c r="D72" s="353">
        <f>IF(D73*0.1&lt;D71,"Exceed 10% Rule","")</f>
      </c>
      <c r="E72" s="370">
        <f>IF(E73*0.1&lt;E71,"Exceed 10% Rule","")</f>
      </c>
      <c r="G72" s="691"/>
      <c r="H72" s="689"/>
      <c r="I72" s="689"/>
      <c r="J72" s="742"/>
    </row>
    <row r="73" spans="2:10" ht="15.75">
      <c r="B73" s="233" t="s">
        <v>37</v>
      </c>
      <c r="C73" s="354">
        <f>SUM(C63:C71)</f>
        <v>0</v>
      </c>
      <c r="D73" s="354">
        <f>SUM(D63:D71)</f>
        <v>0</v>
      </c>
      <c r="E73" s="259">
        <f>SUM(E63:E71)</f>
        <v>0</v>
      </c>
      <c r="G73" s="693">
        <f>D74</f>
        <v>0</v>
      </c>
      <c r="H73" s="694" t="str">
        <f>CONCATENATE("",E1-1," Ending Cash Balance (est.)")</f>
        <v>2012 Ending Cash Balance (est.)</v>
      </c>
      <c r="I73" s="695"/>
      <c r="J73" s="742"/>
    </row>
    <row r="74" spans="2:10" ht="15.75">
      <c r="B74" s="131" t="s">
        <v>145</v>
      </c>
      <c r="C74" s="351">
        <f>C61-C73</f>
        <v>0</v>
      </c>
      <c r="D74" s="351">
        <f>D61-D73</f>
        <v>0</v>
      </c>
      <c r="E74" s="254" t="s">
        <v>13</v>
      </c>
      <c r="G74" s="693">
        <f>E60</f>
        <v>0</v>
      </c>
      <c r="H74" s="696" t="str">
        <f>CONCATENATE("",E1," Non-AV Receipts (est.)")</f>
        <v>2013 Non-AV Receipts (est.)</v>
      </c>
      <c r="I74" s="695"/>
      <c r="J74" s="742"/>
    </row>
    <row r="75" spans="2:11" ht="15.75">
      <c r="B75" s="119" t="str">
        <f>CONCATENATE("",$E$1-2,"/",$E$1-1," Budget Authority Amount:")</f>
        <v>2011/2012 Budget Authority Amount:</v>
      </c>
      <c r="C75" s="183">
        <f>inputOth!B73</f>
        <v>0</v>
      </c>
      <c r="D75" s="242">
        <f>inputPrYr!D30</f>
        <v>0</v>
      </c>
      <c r="E75" s="254" t="s">
        <v>13</v>
      </c>
      <c r="F75" s="243"/>
      <c r="G75" s="697">
        <f>IF(D79&gt;0,E78,E80)</f>
        <v>0</v>
      </c>
      <c r="H75" s="696" t="str">
        <f>CONCATENATE("",E1," Ad Valorem Tax (est.)")</f>
        <v>2013 Ad Valorem Tax (est.)</v>
      </c>
      <c r="I75" s="695"/>
      <c r="J75" s="742"/>
      <c r="K75" s="595">
        <f>IF(G75=E80,"","Note: Does not include Delinquent Taxes")</f>
      </c>
    </row>
    <row r="76" spans="2:10" ht="15.75">
      <c r="B76" s="119"/>
      <c r="C76" s="818" t="s">
        <v>625</v>
      </c>
      <c r="D76" s="819"/>
      <c r="E76" s="50"/>
      <c r="F76" s="243">
        <f>IF(E73/0.95-E73&lt;E76,"Exceeds 5%","")</f>
      </c>
      <c r="G76" s="704">
        <f>SUM(G73:G75)</f>
        <v>0</v>
      </c>
      <c r="H76" s="696" t="str">
        <f>CONCATENATE("Total ",E1," Resources Available")</f>
        <v>Total 2013 Resources Available</v>
      </c>
      <c r="I76" s="692"/>
      <c r="J76" s="742"/>
    </row>
    <row r="77" spans="2:10" ht="15.75">
      <c r="B77" s="372" t="str">
        <f>CONCATENATE(C95,"     ",D95)</f>
        <v>     </v>
      </c>
      <c r="C77" s="820" t="s">
        <v>626</v>
      </c>
      <c r="D77" s="821"/>
      <c r="E77" s="193">
        <f>E73+E76</f>
        <v>0</v>
      </c>
      <c r="G77" s="707"/>
      <c r="H77" s="705"/>
      <c r="I77" s="689"/>
      <c r="J77" s="742"/>
    </row>
    <row r="78" spans="2:10" ht="15.75">
      <c r="B78" s="372" t="str">
        <f>CONCATENATE(C96,"     ",D96)</f>
        <v>     </v>
      </c>
      <c r="C78" s="244"/>
      <c r="D78" s="147" t="s">
        <v>38</v>
      </c>
      <c r="E78" s="193">
        <f>IF(E77-E61&gt;0,E77-E61,0)</f>
        <v>0</v>
      </c>
      <c r="G78" s="706">
        <f>ROUND(C73*0.05+C73,0)</f>
        <v>0</v>
      </c>
      <c r="H78" s="705" t="str">
        <f>CONCATENATE("Less ",E1-2," Expenditures + 5%")</f>
        <v>Less 2011 Expenditures + 5%</v>
      </c>
      <c r="I78" s="692"/>
      <c r="J78" s="742"/>
    </row>
    <row r="79" spans="2:10" ht="15.75">
      <c r="B79" s="147"/>
      <c r="C79" s="358" t="s">
        <v>627</v>
      </c>
      <c r="D79" s="594">
        <f>inputOth!$E$47</f>
        <v>0.03</v>
      </c>
      <c r="E79" s="193">
        <f>ROUND(IF(D79&gt;0,(E78*D79),0),0)</f>
        <v>0</v>
      </c>
      <c r="G79" s="708">
        <f>G76-G78</f>
        <v>0</v>
      </c>
      <c r="H79" s="709" t="str">
        <f>CONCATENATE("Projected ",E1+1," carryover (est.)")</f>
        <v>Projected 2014 carryover (est.)</v>
      </c>
      <c r="I79" s="700"/>
      <c r="J79" s="740"/>
    </row>
    <row r="80" spans="2:9" ht="16.5" thickBot="1">
      <c r="B80" s="22"/>
      <c r="C80" s="822" t="str">
        <f>CONCATENATE("Amount of  ",$E$1-1," Ad Valorem Tax")</f>
        <v>Amount of  2012 Ad Valorem Tax</v>
      </c>
      <c r="D80" s="823"/>
      <c r="E80" s="260">
        <f>E78+E79</f>
        <v>0</v>
      </c>
      <c r="G80" s="679"/>
      <c r="H80" s="679"/>
      <c r="I80" s="679"/>
    </row>
    <row r="81" spans="2:10" ht="16.5" thickTop="1">
      <c r="B81" s="22"/>
      <c r="C81" s="830"/>
      <c r="D81" s="830"/>
      <c r="E81" s="22"/>
      <c r="G81" s="827" t="s">
        <v>863</v>
      </c>
      <c r="H81" s="828"/>
      <c r="I81" s="828"/>
      <c r="J81" s="829"/>
    </row>
    <row r="82" spans="2:10" ht="15.75">
      <c r="B82" s="22"/>
      <c r="C82" s="22"/>
      <c r="D82" s="22"/>
      <c r="E82" s="22"/>
      <c r="G82" s="735"/>
      <c r="H82" s="694"/>
      <c r="I82" s="723"/>
      <c r="J82" s="724"/>
    </row>
    <row r="83" spans="2:10" ht="15.75">
      <c r="B83" s="119" t="s">
        <v>40</v>
      </c>
      <c r="C83" s="250"/>
      <c r="D83" s="22"/>
      <c r="E83" s="22"/>
      <c r="G83" s="737" t="str">
        <f>summ!H28</f>
        <v>  </v>
      </c>
      <c r="H83" s="694" t="str">
        <f>CONCATENATE("",E1," Fund Mill Rate")</f>
        <v>2013 Fund Mill Rate</v>
      </c>
      <c r="I83" s="723"/>
      <c r="J83" s="724"/>
    </row>
    <row r="84" spans="7:10" ht="15.75">
      <c r="G84" s="736" t="str">
        <f>summ!E28</f>
        <v>  </v>
      </c>
      <c r="H84" s="694" t="str">
        <f>CONCATENATE("",E1-1," Fund Mill Rate")</f>
        <v>2012 Fund Mill Rate</v>
      </c>
      <c r="I84" s="723"/>
      <c r="J84" s="724"/>
    </row>
    <row r="85" spans="7:10" ht="15.75">
      <c r="G85" s="738">
        <f>summ!H43</f>
        <v>53.608999999999995</v>
      </c>
      <c r="H85" s="694" t="str">
        <f>CONCATENATE("Total ",E1," Mill Rate")</f>
        <v>Total 2013 Mill Rate</v>
      </c>
      <c r="I85" s="723"/>
      <c r="J85" s="724"/>
    </row>
    <row r="86" spans="7:10" ht="15.75">
      <c r="G86" s="736">
        <f>summ!E43</f>
        <v>51.172</v>
      </c>
      <c r="H86" s="719" t="str">
        <f>CONCATENATE("Total ",E1-1," Mill Rate")</f>
        <v>Total 2012 Mill Rate</v>
      </c>
      <c r="I86" s="720"/>
      <c r="J86" s="721"/>
    </row>
    <row r="93" spans="3:4" ht="15.75" hidden="1">
      <c r="C93" s="373">
        <f>IF(C33&gt;C35,"See Tab A","")</f>
      </c>
      <c r="D93" s="373">
        <f>IF(D33&gt;D35,"See Tab C","")</f>
      </c>
    </row>
    <row r="94" spans="3:4" ht="15.75" hidden="1">
      <c r="C94" s="373">
        <f>IF(C34&lt;0,"See Tab B","")</f>
      </c>
      <c r="D94" s="373">
        <f>IF(D34&lt;0,"See Tab D","")</f>
      </c>
    </row>
    <row r="95" spans="3:4" ht="15.75" hidden="1">
      <c r="C95" s="373">
        <f>IF(C73&gt;C75,"See Tab A","")</f>
      </c>
      <c r="D95" s="373">
        <f>IF(D73&gt;D75,"See Tab C","")</f>
      </c>
    </row>
    <row r="96" spans="3:4" ht="15.75" hidden="1">
      <c r="C96" s="373">
        <f>IF(C74&lt;0,"See Tab B","")</f>
      </c>
      <c r="D96" s="373">
        <f>IF(D74&lt;0,"See Tab D","")</f>
      </c>
    </row>
  </sheetData>
  <sheetProtection sheet="1"/>
  <mergeCells count="14">
    <mergeCell ref="G24:J24"/>
    <mergeCell ref="G31:J31"/>
    <mergeCell ref="G41:J41"/>
    <mergeCell ref="G64:J64"/>
    <mergeCell ref="G71:J71"/>
    <mergeCell ref="G81:J81"/>
    <mergeCell ref="C81:D81"/>
    <mergeCell ref="C41:D41"/>
    <mergeCell ref="C76:D76"/>
    <mergeCell ref="C77:D77"/>
    <mergeCell ref="C36:D36"/>
    <mergeCell ref="C37:D37"/>
    <mergeCell ref="C40:D40"/>
    <mergeCell ref="C80:D80"/>
  </mergeCells>
  <conditionalFormatting sqref="E31">
    <cfRule type="cellIs" priority="3" dxfId="114" operator="greaterThan" stopIfTrue="1">
      <formula>$E$33*0.1</formula>
    </cfRule>
  </conditionalFormatting>
  <conditionalFormatting sqref="E36">
    <cfRule type="cellIs" priority="4" dxfId="114" operator="greaterThan" stopIfTrue="1">
      <formula>$E$33/0.95-$E$33</formula>
    </cfRule>
  </conditionalFormatting>
  <conditionalFormatting sqref="E71">
    <cfRule type="cellIs" priority="5" dxfId="114" operator="greaterThan" stopIfTrue="1">
      <formula>$E$73*0.1</formula>
    </cfRule>
  </conditionalFormatting>
  <conditionalFormatting sqref="E76">
    <cfRule type="cellIs" priority="6" dxfId="114" operator="greaterThan" stopIfTrue="1">
      <formula>$E$73/0.95-$E$73</formula>
    </cfRule>
  </conditionalFormatting>
  <conditionalFormatting sqref="E58">
    <cfRule type="cellIs" priority="20" dxfId="114" operator="greaterThan" stopIfTrue="1">
      <formula>$E$60*0.1+E80</formula>
    </cfRule>
  </conditionalFormatting>
  <conditionalFormatting sqref="E18">
    <cfRule type="cellIs" priority="21" dxfId="114" operator="greaterThan" stopIfTrue="1">
      <formula>$E$20*0.1+E40</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65" sqref="D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90</v>
      </c>
      <c r="C3" s="258"/>
      <c r="D3" s="258"/>
      <c r="E3" s="258"/>
    </row>
    <row r="4" spans="2:5" ht="15.75">
      <c r="B4" s="29" t="s">
        <v>24</v>
      </c>
      <c r="C4" s="661" t="s">
        <v>802</v>
      </c>
      <c r="D4" s="662" t="s">
        <v>803</v>
      </c>
      <c r="E4" s="125" t="s">
        <v>804</v>
      </c>
    </row>
    <row r="5" spans="2:5" ht="15.75">
      <c r="B5" s="369" t="str">
        <f>(inputPrYr!B34)</f>
        <v>Special Highway</v>
      </c>
      <c r="C5" s="352" t="str">
        <f>CONCATENATE("Actual for ",E1-2,"")</f>
        <v>Actual for 2011</v>
      </c>
      <c r="D5" s="352" t="str">
        <f>CONCATENATE("Estimate for ",E1-1,"")</f>
        <v>Estimate for 2012</v>
      </c>
      <c r="E5" s="222" t="str">
        <f>CONCATENATE("Year for ",E1,"")</f>
        <v>Year for 2013</v>
      </c>
    </row>
    <row r="6" spans="2:5" ht="15.75">
      <c r="B6" s="223" t="s">
        <v>144</v>
      </c>
      <c r="C6" s="50">
        <v>12000</v>
      </c>
      <c r="D6" s="193">
        <f>C29</f>
        <v>74680</v>
      </c>
      <c r="E6" s="193">
        <f>D29</f>
        <v>65230</v>
      </c>
    </row>
    <row r="7" spans="2:5" ht="15.75">
      <c r="B7" s="226" t="s">
        <v>146</v>
      </c>
      <c r="C7" s="68"/>
      <c r="D7" s="68"/>
      <c r="E7" s="68"/>
    </row>
    <row r="8" spans="2:5" ht="15.75">
      <c r="B8" s="240" t="s">
        <v>124</v>
      </c>
      <c r="C8" s="50">
        <v>175630</v>
      </c>
      <c r="D8" s="193">
        <f>inputOth!E53</f>
        <v>176210</v>
      </c>
      <c r="E8" s="193">
        <f>inputOth!E51</f>
        <v>177550</v>
      </c>
    </row>
    <row r="9" spans="2:5" ht="15.75">
      <c r="B9" s="240" t="s">
        <v>262</v>
      </c>
      <c r="C9" s="50">
        <v>79920</v>
      </c>
      <c r="D9" s="193">
        <f>inputOth!E54</f>
        <v>79740</v>
      </c>
      <c r="E9" s="193">
        <f>inputOth!E52</f>
        <v>80050</v>
      </c>
    </row>
    <row r="10" spans="2:5" ht="15.75">
      <c r="B10" s="239" t="s">
        <v>1002</v>
      </c>
      <c r="C10" s="50">
        <v>472240</v>
      </c>
      <c r="D10" s="50">
        <v>460000</v>
      </c>
      <c r="E10" s="50">
        <v>457000</v>
      </c>
    </row>
    <row r="11" spans="2:5" ht="15.75">
      <c r="B11" s="239" t="s">
        <v>1035</v>
      </c>
      <c r="C11" s="50">
        <v>60000</v>
      </c>
      <c r="D11" s="50">
        <v>100000</v>
      </c>
      <c r="E11" s="50">
        <v>60000</v>
      </c>
    </row>
    <row r="12" spans="2:5" ht="15.75">
      <c r="B12" s="231" t="s">
        <v>29</v>
      </c>
      <c r="C12" s="50">
        <v>0</v>
      </c>
      <c r="D12" s="50">
        <v>0</v>
      </c>
      <c r="E12" s="50">
        <v>0</v>
      </c>
    </row>
    <row r="13" spans="2:5" ht="15.75">
      <c r="B13" s="139" t="s">
        <v>267</v>
      </c>
      <c r="C13" s="50">
        <v>1080</v>
      </c>
      <c r="D13" s="50">
        <v>1000</v>
      </c>
      <c r="E13" s="50">
        <v>1000</v>
      </c>
    </row>
    <row r="14" spans="2:5" ht="15.75">
      <c r="B14" s="223" t="s">
        <v>785</v>
      </c>
      <c r="C14" s="370">
        <f>IF(C15*0.1&lt;C13,"Exceed 10% Rule","")</f>
      </c>
      <c r="D14" s="255">
        <f>IF(D15*0.1&lt;D13,"Exceed 10% Rule","")</f>
      </c>
      <c r="E14" s="255">
        <f>IF(E15*0.1&lt;E13,"Exceed 10% Rule","")</f>
      </c>
    </row>
    <row r="15" spans="2:5" ht="15.75">
      <c r="B15" s="233" t="s">
        <v>30</v>
      </c>
      <c r="C15" s="259">
        <f>SUM(C8:C13)</f>
        <v>788870</v>
      </c>
      <c r="D15" s="259">
        <f>SUM(D8:D13)</f>
        <v>816950</v>
      </c>
      <c r="E15" s="259">
        <f>SUM(E8:E13)</f>
        <v>775600</v>
      </c>
    </row>
    <row r="16" spans="2:5" ht="15.75">
      <c r="B16" s="233" t="s">
        <v>31</v>
      </c>
      <c r="C16" s="259">
        <f>C6+C15</f>
        <v>800870</v>
      </c>
      <c r="D16" s="259">
        <f>D6+D15</f>
        <v>891630</v>
      </c>
      <c r="E16" s="259">
        <f>E6+E15</f>
        <v>840830</v>
      </c>
    </row>
    <row r="17" spans="2:5" ht="15.75">
      <c r="B17" s="131" t="s">
        <v>33</v>
      </c>
      <c r="C17" s="193"/>
      <c r="D17" s="193"/>
      <c r="E17" s="193"/>
    </row>
    <row r="18" spans="2:5" ht="15.75">
      <c r="B18" s="239" t="s">
        <v>1036</v>
      </c>
      <c r="C18" s="50">
        <v>191540</v>
      </c>
      <c r="D18" s="50">
        <v>221500</v>
      </c>
      <c r="E18" s="50">
        <v>232000</v>
      </c>
    </row>
    <row r="19" spans="2:5" ht="15.75">
      <c r="B19" s="239" t="s">
        <v>1024</v>
      </c>
      <c r="C19" s="50">
        <v>43540</v>
      </c>
      <c r="D19" s="50">
        <v>45600</v>
      </c>
      <c r="E19" s="50">
        <v>46600</v>
      </c>
    </row>
    <row r="20" spans="2:5" ht="15.75">
      <c r="B20" s="239" t="s">
        <v>1037</v>
      </c>
      <c r="C20" s="50">
        <v>63050</v>
      </c>
      <c r="D20" s="50">
        <v>79800</v>
      </c>
      <c r="E20" s="50">
        <v>86300</v>
      </c>
    </row>
    <row r="21" spans="2:5" ht="15.75">
      <c r="B21" s="239" t="s">
        <v>1027</v>
      </c>
      <c r="C21" s="50">
        <v>417060</v>
      </c>
      <c r="D21" s="50">
        <v>443500</v>
      </c>
      <c r="E21" s="50">
        <v>398500</v>
      </c>
    </row>
    <row r="22" spans="2:5" ht="15.75">
      <c r="B22" s="239" t="s">
        <v>1038</v>
      </c>
      <c r="C22" s="50">
        <v>10000</v>
      </c>
      <c r="D22" s="50">
        <v>10000</v>
      </c>
      <c r="E22" s="50">
        <v>10000</v>
      </c>
    </row>
    <row r="23" spans="2:5" ht="15.75">
      <c r="B23" s="239" t="s">
        <v>1039</v>
      </c>
      <c r="C23" s="50">
        <v>1000</v>
      </c>
      <c r="D23" s="50">
        <v>1000</v>
      </c>
      <c r="E23" s="50">
        <v>1000</v>
      </c>
    </row>
    <row r="24" spans="2:5" ht="15.75">
      <c r="B24" s="239" t="s">
        <v>299</v>
      </c>
      <c r="C24" s="50">
        <v>0</v>
      </c>
      <c r="D24" s="50">
        <v>0</v>
      </c>
      <c r="E24" s="50">
        <v>45000</v>
      </c>
    </row>
    <row r="25" spans="2:5" ht="15.75">
      <c r="B25" s="239"/>
      <c r="C25" s="50"/>
      <c r="D25" s="50"/>
      <c r="E25" s="50"/>
    </row>
    <row r="26" spans="2:5" ht="15.75">
      <c r="B26" s="240" t="s">
        <v>267</v>
      </c>
      <c r="C26" s="50">
        <v>0</v>
      </c>
      <c r="D26" s="50">
        <v>25000</v>
      </c>
      <c r="E26" s="50">
        <v>20000</v>
      </c>
    </row>
    <row r="27" spans="2:5" ht="15.75">
      <c r="B27" s="240" t="s">
        <v>786</v>
      </c>
      <c r="C27" s="370">
        <f>IF(C28*0.1&lt;C26,"Exceed 10% Rule","")</f>
      </c>
      <c r="D27" s="255">
        <f>IF(D28*0.1&lt;D26,"Exceed 10% Rule","")</f>
      </c>
      <c r="E27" s="255">
        <f>IF(E28*0.1&lt;E26,"Exceed 10% Rule","")</f>
      </c>
    </row>
    <row r="28" spans="2:5" ht="15.75">
      <c r="B28" s="233" t="s">
        <v>37</v>
      </c>
      <c r="C28" s="259">
        <f>SUM(C18:C26)</f>
        <v>726190</v>
      </c>
      <c r="D28" s="259">
        <f>SUM(D18:D26)</f>
        <v>826400</v>
      </c>
      <c r="E28" s="259">
        <f>SUM(E18:E26)</f>
        <v>839400</v>
      </c>
    </row>
    <row r="29" spans="2:5" ht="15.75">
      <c r="B29" s="131" t="s">
        <v>145</v>
      </c>
      <c r="C29" s="193">
        <f>C16-C28</f>
        <v>74680</v>
      </c>
      <c r="D29" s="193">
        <f>D16-D28</f>
        <v>65230</v>
      </c>
      <c r="E29" s="193">
        <f>E16-E28</f>
        <v>1430</v>
      </c>
    </row>
    <row r="30" spans="2:5" ht="15.75">
      <c r="B30" s="119" t="str">
        <f>CONCATENATE("",$E$1-2,"/",$E$1-1," Budget Authority Amount:")</f>
        <v>2011/2012 Budget Authority Amount:</v>
      </c>
      <c r="C30" s="183">
        <f>inputOth!B74</f>
        <v>824400</v>
      </c>
      <c r="D30" s="183">
        <f>inputPrYr!D34</f>
        <v>826400</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(inputPrYr!B35)</f>
        <v>Equipment Reserve</v>
      </c>
      <c r="C36" s="222" t="str">
        <f t="shared" si="0"/>
        <v>Actual for 2011</v>
      </c>
      <c r="D36" s="222" t="str">
        <f t="shared" si="0"/>
        <v>Estimate for 2012</v>
      </c>
      <c r="E36" s="222" t="str">
        <f t="shared" si="0"/>
        <v>Year for 2013</v>
      </c>
    </row>
    <row r="37" spans="2:5" ht="15.75">
      <c r="B37" s="223" t="s">
        <v>144</v>
      </c>
      <c r="C37" s="50">
        <v>18690</v>
      </c>
      <c r="D37" s="193">
        <f>C60</f>
        <v>0</v>
      </c>
      <c r="E37" s="193">
        <f>D60</f>
        <v>0</v>
      </c>
    </row>
    <row r="38" spans="2:5" ht="15.75">
      <c r="B38" s="223" t="s">
        <v>146</v>
      </c>
      <c r="C38" s="68"/>
      <c r="D38" s="68"/>
      <c r="E38" s="68"/>
    </row>
    <row r="39" spans="2:5" ht="15.75">
      <c r="B39" s="239" t="s">
        <v>1040</v>
      </c>
      <c r="C39" s="50">
        <v>94670</v>
      </c>
      <c r="D39" s="50">
        <v>38000</v>
      </c>
      <c r="E39" s="50">
        <v>0</v>
      </c>
    </row>
    <row r="40" spans="2:5" ht="15.75">
      <c r="B40" s="239" t="s">
        <v>1041</v>
      </c>
      <c r="C40" s="50">
        <v>5000</v>
      </c>
      <c r="D40" s="50">
        <v>5000</v>
      </c>
      <c r="E40" s="50">
        <v>5000</v>
      </c>
    </row>
    <row r="41" spans="2:5" ht="15.75">
      <c r="B41" s="239" t="s">
        <v>1042</v>
      </c>
      <c r="C41" s="50">
        <v>0</v>
      </c>
      <c r="D41" s="50">
        <v>5000</v>
      </c>
      <c r="E41" s="50">
        <v>5000</v>
      </c>
    </row>
    <row r="42" spans="2:5" ht="15.75">
      <c r="B42" s="239" t="s">
        <v>1043</v>
      </c>
      <c r="C42" s="50">
        <v>500</v>
      </c>
      <c r="D42" s="50">
        <v>500</v>
      </c>
      <c r="E42" s="50">
        <v>500</v>
      </c>
    </row>
    <row r="43" spans="2:5" ht="15.75">
      <c r="B43" s="231" t="s">
        <v>1044</v>
      </c>
      <c r="C43" s="50">
        <v>1000</v>
      </c>
      <c r="D43" s="50">
        <v>1000</v>
      </c>
      <c r="E43" s="50">
        <v>1000</v>
      </c>
    </row>
    <row r="44" spans="2:5" ht="15.75">
      <c r="B44" s="139" t="s">
        <v>267</v>
      </c>
      <c r="C44" s="50">
        <v>500</v>
      </c>
      <c r="D44" s="50">
        <v>0</v>
      </c>
      <c r="E44" s="50">
        <v>0</v>
      </c>
    </row>
    <row r="45" spans="2:5" ht="15.75">
      <c r="B45" s="223" t="s">
        <v>785</v>
      </c>
      <c r="C45" s="370">
        <f>IF(C46*0.1&lt;C44,"Exceed 10% Rule","")</f>
      </c>
      <c r="D45" s="255">
        <f>IF(D46*0.1&lt;D44,"Exceed 10% Rule","")</f>
      </c>
      <c r="E45" s="255">
        <f>IF(E46*0.1&lt;E44,"Exceed 10% Rule","")</f>
      </c>
    </row>
    <row r="46" spans="2:5" ht="15.75">
      <c r="B46" s="233" t="s">
        <v>30</v>
      </c>
      <c r="C46" s="259">
        <f>SUM(C39:C44)</f>
        <v>101670</v>
      </c>
      <c r="D46" s="259">
        <f>SUM(D39:D44)</f>
        <v>49500</v>
      </c>
      <c r="E46" s="259">
        <f>SUM(E39:E44)</f>
        <v>11500</v>
      </c>
    </row>
    <row r="47" spans="2:5" ht="15.75">
      <c r="B47" s="233" t="s">
        <v>31</v>
      </c>
      <c r="C47" s="259">
        <f>C37+C46</f>
        <v>120360</v>
      </c>
      <c r="D47" s="259">
        <f>D37+D46</f>
        <v>49500</v>
      </c>
      <c r="E47" s="259">
        <f>E37+E46</f>
        <v>11500</v>
      </c>
    </row>
    <row r="48" spans="2:5" ht="15.75">
      <c r="B48" s="131" t="s">
        <v>33</v>
      </c>
      <c r="C48" s="193"/>
      <c r="D48" s="193"/>
      <c r="E48" s="193"/>
    </row>
    <row r="49" spans="2:5" ht="15.75">
      <c r="B49" s="239" t="s">
        <v>1037</v>
      </c>
      <c r="C49" s="50">
        <v>57680</v>
      </c>
      <c r="D49" s="50">
        <v>5000</v>
      </c>
      <c r="E49" s="50">
        <v>0</v>
      </c>
    </row>
    <row r="50" spans="2:5" ht="15.75">
      <c r="B50" s="239" t="s">
        <v>1027</v>
      </c>
      <c r="C50" s="50">
        <v>62680</v>
      </c>
      <c r="D50" s="50">
        <v>44500</v>
      </c>
      <c r="E50" s="50">
        <v>10000</v>
      </c>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267</v>
      </c>
      <c r="C57" s="50">
        <v>0</v>
      </c>
      <c r="D57" s="50">
        <v>0</v>
      </c>
      <c r="E57" s="50">
        <v>0</v>
      </c>
    </row>
    <row r="58" spans="2:5" ht="15.75">
      <c r="B58" s="240" t="s">
        <v>786</v>
      </c>
      <c r="C58" s="370">
        <f>IF(C59*0.1&lt;C57,"Exceed 10% Rule","")</f>
      </c>
      <c r="D58" s="255">
        <f>IF(D59*0.1&lt;D57,"Exceed 10% Rule","")</f>
      </c>
      <c r="E58" s="255">
        <f>IF(E59*0.1&lt;E57,"Exceed 10% Rule","")</f>
      </c>
    </row>
    <row r="59" spans="2:5" ht="15.75">
      <c r="B59" s="233" t="s">
        <v>37</v>
      </c>
      <c r="C59" s="259">
        <f>SUM(C49:C57)</f>
        <v>120360</v>
      </c>
      <c r="D59" s="259">
        <f>SUM(D49:D57)</f>
        <v>49500</v>
      </c>
      <c r="E59" s="259">
        <f>SUM(E49:E57)</f>
        <v>10000</v>
      </c>
    </row>
    <row r="60" spans="2:5" ht="15.75">
      <c r="B60" s="131" t="s">
        <v>145</v>
      </c>
      <c r="C60" s="193">
        <f>C47-C59</f>
        <v>0</v>
      </c>
      <c r="D60" s="193">
        <f>D47-D59</f>
        <v>0</v>
      </c>
      <c r="E60" s="193">
        <f>E47-E59</f>
        <v>1500</v>
      </c>
    </row>
    <row r="61" spans="2:5" ht="15.75">
      <c r="B61" s="119" t="str">
        <f>CONCATENATE("",$E$1-2,"/",$E$1-1," Budget Authority Amount:")</f>
        <v>2011/2012 Budget Authority Amount:</v>
      </c>
      <c r="C61" s="183">
        <f>inputOth!B75</f>
        <v>50000</v>
      </c>
      <c r="D61" s="183">
        <f>inputPrYr!D35</f>
        <v>55000</v>
      </c>
      <c r="E61" s="412">
        <f>IF(E60&lt;0,"See Tab E","")</f>
      </c>
    </row>
    <row r="62" spans="2:5" ht="15.75">
      <c r="B62" s="119"/>
      <c r="C62" s="244" t="str">
        <f>IF(C59&gt;C61,"See Tab A","")</f>
        <v>See Tab A</v>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40</v>
      </c>
      <c r="C65" s="250">
        <v>11</v>
      </c>
      <c r="D65" s="22"/>
      <c r="E65" s="22"/>
    </row>
  </sheetData>
  <sheetProtection sheet="1"/>
  <conditionalFormatting sqref="C44">
    <cfRule type="cellIs" priority="3" dxfId="114" operator="greaterThan" stopIfTrue="1">
      <formula>$C$46*0.1</formula>
    </cfRule>
  </conditionalFormatting>
  <conditionalFormatting sqref="D44">
    <cfRule type="cellIs" priority="4" dxfId="114" operator="greaterThan" stopIfTrue="1">
      <formula>$D$46*0.1</formula>
    </cfRule>
  </conditionalFormatting>
  <conditionalFormatting sqref="E44">
    <cfRule type="cellIs" priority="5" dxfId="114" operator="greaterThan" stopIfTrue="1">
      <formula>$E$46*0.1</formula>
    </cfRule>
  </conditionalFormatting>
  <conditionalFormatting sqref="C57">
    <cfRule type="cellIs" priority="6" dxfId="114" operator="greaterThan" stopIfTrue="1">
      <formula>$C$59*0.1</formula>
    </cfRule>
  </conditionalFormatting>
  <conditionalFormatting sqref="D57">
    <cfRule type="cellIs" priority="7" dxfId="114" operator="greaterThan" stopIfTrue="1">
      <formula>$D$59*0.1</formula>
    </cfRule>
  </conditionalFormatting>
  <conditionalFormatting sqref="E57">
    <cfRule type="cellIs" priority="8" dxfId="114" operator="greaterThan" stopIfTrue="1">
      <formula>$E$59*0.1</formula>
    </cfRule>
  </conditionalFormatting>
  <conditionalFormatting sqref="C13">
    <cfRule type="cellIs" priority="9" dxfId="114" operator="greaterThan" stopIfTrue="1">
      <formula>$C$15*0.1</formula>
    </cfRule>
  </conditionalFormatting>
  <conditionalFormatting sqref="D13">
    <cfRule type="cellIs" priority="10" dxfId="114" operator="greaterThan" stopIfTrue="1">
      <formula>$D$15*0.1</formula>
    </cfRule>
  </conditionalFormatting>
  <conditionalFormatting sqref="E13">
    <cfRule type="cellIs" priority="11" dxfId="114" operator="greaterThan" stopIfTrue="1">
      <formula>$E$15*0.1</formula>
    </cfRule>
  </conditionalFormatting>
  <conditionalFormatting sqref="C26">
    <cfRule type="cellIs" priority="12" dxfId="114" operator="greaterThan" stopIfTrue="1">
      <formula>$C$28*0.1</formula>
    </cfRule>
  </conditionalFormatting>
  <conditionalFormatting sqref="D26">
    <cfRule type="cellIs" priority="13" dxfId="114" operator="greaterThan" stopIfTrue="1">
      <formula>$D$28*0.1</formula>
    </cfRule>
  </conditionalFormatting>
  <conditionalFormatting sqref="E26">
    <cfRule type="cellIs" priority="14" dxfId="114" operator="greaterThan" stopIfTrue="1">
      <formula>$E$28*0.1</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C65" sqref="C65"/>
    </sheetView>
  </sheetViews>
  <sheetFormatPr defaultColWidth="8.796875" defaultRowHeight="15"/>
  <cols>
    <col min="1" max="1" width="2.3984375" style="23" customWidth="1"/>
    <col min="2" max="2" width="31.09765625" style="23" customWidth="1"/>
    <col min="3" max="4" width="15.796875" style="23" customWidth="1"/>
    <col min="5" max="5" width="16.19921875" style="23" customWidth="1"/>
    <col min="6"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90</v>
      </c>
      <c r="C3" s="258"/>
      <c r="D3" s="258"/>
      <c r="E3" s="258"/>
    </row>
    <row r="4" spans="2:5" ht="15.75">
      <c r="B4" s="29" t="s">
        <v>24</v>
      </c>
      <c r="C4" s="661" t="s">
        <v>802</v>
      </c>
      <c r="D4" s="662" t="s">
        <v>803</v>
      </c>
      <c r="E4" s="125" t="s">
        <v>804</v>
      </c>
    </row>
    <row r="5" spans="2:5" ht="15.75">
      <c r="B5" s="369" t="str">
        <f>(inputPrYr!B36)</f>
        <v>ADSAP</v>
      </c>
      <c r="C5" s="352" t="str">
        <f>CONCATENATE("Actual for ",E1-2,"")</f>
        <v>Actual for 2011</v>
      </c>
      <c r="D5" s="352" t="str">
        <f>CONCATENATE("Estimate for ",E1-1,"")</f>
        <v>Estimate for 2012</v>
      </c>
      <c r="E5" s="222" t="str">
        <f>CONCATENATE("Year for ",E1,"")</f>
        <v>Year for 2013</v>
      </c>
    </row>
    <row r="6" spans="2:5" ht="15.75">
      <c r="B6" s="223" t="s">
        <v>144</v>
      </c>
      <c r="C6" s="50">
        <v>0</v>
      </c>
      <c r="D6" s="193">
        <f>C29</f>
        <v>150</v>
      </c>
      <c r="E6" s="193">
        <f>D29</f>
        <v>150</v>
      </c>
    </row>
    <row r="7" spans="2:5" ht="15.75">
      <c r="B7" s="226" t="s">
        <v>146</v>
      </c>
      <c r="C7" s="68"/>
      <c r="D7" s="68"/>
      <c r="E7" s="68"/>
    </row>
    <row r="8" spans="2:5" ht="15.75">
      <c r="B8" s="239" t="s">
        <v>1006</v>
      </c>
      <c r="C8" s="50">
        <v>150</v>
      </c>
      <c r="D8" s="50">
        <v>0</v>
      </c>
      <c r="E8" s="50">
        <v>1000</v>
      </c>
    </row>
    <row r="9" spans="2:5" ht="15.75">
      <c r="B9" s="239"/>
      <c r="C9" s="50"/>
      <c r="D9" s="50"/>
      <c r="E9" s="50"/>
    </row>
    <row r="10" spans="2:5" ht="15.75">
      <c r="B10" s="239"/>
      <c r="C10" s="50"/>
      <c r="D10" s="50"/>
      <c r="E10" s="50"/>
    </row>
    <row r="11" spans="2:5" ht="15.75">
      <c r="B11" s="239"/>
      <c r="C11" s="50"/>
      <c r="D11" s="50"/>
      <c r="E11" s="50"/>
    </row>
    <row r="12" spans="2:5" ht="15.75">
      <c r="B12" s="231" t="s">
        <v>29</v>
      </c>
      <c r="C12" s="50">
        <v>0</v>
      </c>
      <c r="D12" s="50">
        <v>0</v>
      </c>
      <c r="E12" s="50">
        <v>0</v>
      </c>
    </row>
    <row r="13" spans="2:5" ht="15.75">
      <c r="B13" s="139" t="s">
        <v>267</v>
      </c>
      <c r="C13" s="50">
        <v>0</v>
      </c>
      <c r="D13" s="225">
        <v>0</v>
      </c>
      <c r="E13" s="225">
        <v>0</v>
      </c>
    </row>
    <row r="14" spans="2:5" ht="15.75">
      <c r="B14" s="223" t="s">
        <v>785</v>
      </c>
      <c r="C14" s="370">
        <f>IF(C15*0.1&lt;C13,"Exceed 10% Rule","")</f>
      </c>
      <c r="D14" s="255">
        <f>IF(D15*0.1&lt;D13,"Exceed 10% Rule","")</f>
      </c>
      <c r="E14" s="255">
        <f>IF(E15*0.1&lt;E13,"Exceed 10% Rule","")</f>
      </c>
    </row>
    <row r="15" spans="2:5" ht="15.75">
      <c r="B15" s="233" t="s">
        <v>30</v>
      </c>
      <c r="C15" s="259">
        <f>SUM(C8:C13)</f>
        <v>150</v>
      </c>
      <c r="D15" s="259">
        <f>SUM(D8:D13)</f>
        <v>0</v>
      </c>
      <c r="E15" s="259">
        <f>SUM(E8:E13)</f>
        <v>1000</v>
      </c>
    </row>
    <row r="16" spans="2:5" ht="15.75">
      <c r="B16" s="233" t="s">
        <v>31</v>
      </c>
      <c r="C16" s="259">
        <f>C6+C15</f>
        <v>150</v>
      </c>
      <c r="D16" s="259">
        <f>D6+D15</f>
        <v>150</v>
      </c>
      <c r="E16" s="259">
        <f>E6+E15</f>
        <v>1150</v>
      </c>
    </row>
    <row r="17" spans="2:5" ht="15.75">
      <c r="B17" s="131" t="s">
        <v>33</v>
      </c>
      <c r="C17" s="193"/>
      <c r="D17" s="193"/>
      <c r="E17" s="193"/>
    </row>
    <row r="18" spans="2:5" ht="15.75">
      <c r="B18" s="239" t="s">
        <v>1037</v>
      </c>
      <c r="C18" s="50">
        <v>0</v>
      </c>
      <c r="D18" s="50">
        <v>0</v>
      </c>
      <c r="E18" s="50">
        <v>1000</v>
      </c>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267</v>
      </c>
      <c r="C26" s="50">
        <v>0</v>
      </c>
      <c r="D26" s="225">
        <v>0</v>
      </c>
      <c r="E26" s="225">
        <v>0</v>
      </c>
    </row>
    <row r="27" spans="2:5" ht="15.75">
      <c r="B27" s="240" t="s">
        <v>786</v>
      </c>
      <c r="C27" s="370">
        <f>IF(C28*0.1&lt;C26,"Exceed 10% Rule","")</f>
      </c>
      <c r="D27" s="255">
        <f>IF(D28*0.1&lt;D26,"Exceed 10% Rule","")</f>
      </c>
      <c r="E27" s="255">
        <f>IF(E28*0.1&lt;E26,"Exceed 10% Rule","")</f>
      </c>
    </row>
    <row r="28" spans="2:5" ht="15.75">
      <c r="B28" s="233" t="s">
        <v>37</v>
      </c>
      <c r="C28" s="259">
        <f>SUM(C18:C26)</f>
        <v>0</v>
      </c>
      <c r="D28" s="259">
        <f>SUM(D18:D26)</f>
        <v>0</v>
      </c>
      <c r="E28" s="259">
        <f>SUM(E18:E26)</f>
        <v>1000</v>
      </c>
    </row>
    <row r="29" spans="2:5" ht="15.75">
      <c r="B29" s="131" t="s">
        <v>145</v>
      </c>
      <c r="C29" s="193">
        <f>C16-C28</f>
        <v>150</v>
      </c>
      <c r="D29" s="193">
        <f>D16-D28</f>
        <v>150</v>
      </c>
      <c r="E29" s="193">
        <f>E16-E28</f>
        <v>150</v>
      </c>
    </row>
    <row r="30" spans="2:5" ht="15.75">
      <c r="B30" s="119" t="str">
        <f>CONCATENATE("",$E$1-2,"/",$E$1-1," Budget Authority Amount:")</f>
        <v>2011/2012 Budget Authority Amount:</v>
      </c>
      <c r="C30" s="183">
        <f>inputOth!B76</f>
        <v>2000</v>
      </c>
      <c r="D30" s="183">
        <f>inputPrYr!D36</f>
        <v>2000</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(inputPrYr!B37)</f>
        <v>Active Aging</v>
      </c>
      <c r="C36" s="222" t="str">
        <f t="shared" si="0"/>
        <v>Actual for 2011</v>
      </c>
      <c r="D36" s="222" t="str">
        <f t="shared" si="0"/>
        <v>Estimate for 2012</v>
      </c>
      <c r="E36" s="222" t="str">
        <f t="shared" si="0"/>
        <v>Year for 2013</v>
      </c>
    </row>
    <row r="37" spans="2:5" ht="15.75">
      <c r="B37" s="223" t="s">
        <v>144</v>
      </c>
      <c r="C37" s="50">
        <v>0</v>
      </c>
      <c r="D37" s="193">
        <f>C60</f>
        <v>0</v>
      </c>
      <c r="E37" s="193">
        <f>D60</f>
        <v>0</v>
      </c>
    </row>
    <row r="38" spans="2:5" ht="15.75">
      <c r="B38" s="223" t="s">
        <v>146</v>
      </c>
      <c r="C38" s="68"/>
      <c r="D38" s="68"/>
      <c r="E38" s="68"/>
    </row>
    <row r="39" spans="2:5" ht="15.75">
      <c r="B39" s="239" t="s">
        <v>1060</v>
      </c>
      <c r="C39" s="50">
        <v>5000</v>
      </c>
      <c r="D39" s="50">
        <v>5000</v>
      </c>
      <c r="E39" s="50">
        <v>5000</v>
      </c>
    </row>
    <row r="40" spans="2:5" ht="15.75">
      <c r="B40" s="239"/>
      <c r="C40" s="50"/>
      <c r="D40" s="50"/>
      <c r="E40" s="50"/>
    </row>
    <row r="41" spans="2:5" ht="15.75">
      <c r="B41" s="239"/>
      <c r="C41" s="50"/>
      <c r="D41" s="50"/>
      <c r="E41" s="50"/>
    </row>
    <row r="42" spans="2:5" ht="15.75">
      <c r="B42" s="239"/>
      <c r="C42" s="50"/>
      <c r="D42" s="50"/>
      <c r="E42" s="50"/>
    </row>
    <row r="43" spans="2:5" ht="15.75">
      <c r="B43" s="231" t="s">
        <v>29</v>
      </c>
      <c r="C43" s="50">
        <v>0</v>
      </c>
      <c r="D43" s="50">
        <v>0</v>
      </c>
      <c r="E43" s="50">
        <v>0</v>
      </c>
    </row>
    <row r="44" spans="2:5" ht="15.75">
      <c r="B44" s="139" t="s">
        <v>267</v>
      </c>
      <c r="C44" s="50">
        <v>0</v>
      </c>
      <c r="D44" s="50">
        <v>0</v>
      </c>
      <c r="E44" s="50">
        <v>0</v>
      </c>
    </row>
    <row r="45" spans="2:5" ht="15.75">
      <c r="B45" s="223" t="s">
        <v>785</v>
      </c>
      <c r="C45" s="370">
        <f>IF(C46*0.1&lt;C44,"Exceed 10% Rule","")</f>
      </c>
      <c r="D45" s="255">
        <f>IF(D46*0.1&lt;D44,"Exceed 10% Rule","")</f>
      </c>
      <c r="E45" s="255">
        <f>IF(E46*0.1&lt;E44,"Exceed 10% Rule","")</f>
      </c>
    </row>
    <row r="46" spans="2:5" ht="15.75">
      <c r="B46" s="233" t="s">
        <v>30</v>
      </c>
      <c r="C46" s="259">
        <f>SUM(C39:C44)</f>
        <v>5000</v>
      </c>
      <c r="D46" s="259">
        <f>SUM(D39:D44)</f>
        <v>5000</v>
      </c>
      <c r="E46" s="259">
        <f>SUM(E39:E44)</f>
        <v>5000</v>
      </c>
    </row>
    <row r="47" spans="2:5" ht="15.75">
      <c r="B47" s="233" t="s">
        <v>31</v>
      </c>
      <c r="C47" s="259">
        <f>C37+C46</f>
        <v>5000</v>
      </c>
      <c r="D47" s="259">
        <f>D37+D46</f>
        <v>5000</v>
      </c>
      <c r="E47" s="259">
        <f>E37+E46</f>
        <v>5000</v>
      </c>
    </row>
    <row r="48" spans="2:5" ht="15.75">
      <c r="B48" s="131" t="s">
        <v>33</v>
      </c>
      <c r="C48" s="193"/>
      <c r="D48" s="193"/>
      <c r="E48" s="193"/>
    </row>
    <row r="49" spans="2:5" ht="15.75">
      <c r="B49" s="239" t="s">
        <v>1061</v>
      </c>
      <c r="C49" s="50">
        <v>5000</v>
      </c>
      <c r="D49" s="50">
        <v>5000</v>
      </c>
      <c r="E49" s="50">
        <v>5000</v>
      </c>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267</v>
      </c>
      <c r="C57" s="50">
        <v>0</v>
      </c>
      <c r="D57" s="225">
        <v>0</v>
      </c>
      <c r="E57" s="225">
        <v>0</v>
      </c>
    </row>
    <row r="58" spans="2:5" ht="15.75">
      <c r="B58" s="240" t="s">
        <v>786</v>
      </c>
      <c r="C58" s="370">
        <f>IF(C59*0.1&lt;C57,"Exceed 10% Rule","")</f>
      </c>
      <c r="D58" s="255">
        <f>IF(D59*0.1&lt;D57,"Exceed 10% Rule","")</f>
      </c>
      <c r="E58" s="255">
        <f>IF(E59*0.1&lt;E57,"Exceed 10% Rule","")</f>
      </c>
    </row>
    <row r="59" spans="2:5" ht="15.75">
      <c r="B59" s="233" t="s">
        <v>37</v>
      </c>
      <c r="C59" s="259">
        <f>SUM(C49:C57)</f>
        <v>5000</v>
      </c>
      <c r="D59" s="259">
        <f>SUM(D49:D57)</f>
        <v>5000</v>
      </c>
      <c r="E59" s="259">
        <f>SUM(E49:E57)</f>
        <v>5000</v>
      </c>
    </row>
    <row r="60" spans="2:5" ht="15.75">
      <c r="B60" s="131" t="s">
        <v>145</v>
      </c>
      <c r="C60" s="193">
        <f>C47-C59</f>
        <v>0</v>
      </c>
      <c r="D60" s="193">
        <f>D47-D59</f>
        <v>0</v>
      </c>
      <c r="E60" s="193">
        <f>E47-E59</f>
        <v>0</v>
      </c>
    </row>
    <row r="61" spans="2:5" ht="15.75">
      <c r="B61" s="119" t="str">
        <f>CONCATENATE("",$E$1-2,"/",$E$1-1," Budget Authority Amount:")</f>
        <v>2011/2012 Budget Authority Amount:</v>
      </c>
      <c r="C61" s="183">
        <f>inputOth!B77</f>
        <v>5000</v>
      </c>
      <c r="D61" s="183">
        <f>inputPrYr!D37</f>
        <v>5000</v>
      </c>
      <c r="E61" s="412">
        <f>IF(E60&lt;0,"See Tab E","")</f>
      </c>
    </row>
    <row r="62" spans="2:5" ht="15.75">
      <c r="B62" s="119"/>
      <c r="C62" s="244">
        <f>IF(C59&gt;C61,"See Tab A","")</f>
      </c>
      <c r="D62" s="244">
        <f>IF(D59&gt;D61,"See Tab C","")</f>
      </c>
      <c r="E62" s="22"/>
    </row>
    <row r="63" spans="2:5" ht="15.75">
      <c r="B63" s="119"/>
      <c r="C63" s="244">
        <f>IF(C60&lt;0,"See Tab B","")</f>
      </c>
      <c r="D63" s="244">
        <f>IF(D60&lt;0,"See Tab D","")</f>
      </c>
      <c r="E63" s="22"/>
    </row>
    <row r="64" spans="2:5" ht="15.75">
      <c r="B64" s="22"/>
      <c r="C64" s="22"/>
      <c r="D64" s="22"/>
      <c r="E64" s="22"/>
    </row>
    <row r="65" spans="2:5" ht="15.75">
      <c r="B65" s="119" t="s">
        <v>40</v>
      </c>
      <c r="C65" s="250">
        <v>12</v>
      </c>
      <c r="D65" s="22"/>
      <c r="E65" s="22"/>
    </row>
  </sheetData>
  <sheetProtection sheet="1"/>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4">
    <cfRule type="cellIs" priority="9" dxfId="114" operator="greaterThan" stopIfTrue="1">
      <formula>$C$46*0.1</formula>
    </cfRule>
  </conditionalFormatting>
  <conditionalFormatting sqref="D44">
    <cfRule type="cellIs" priority="10" dxfId="114" operator="greaterThan" stopIfTrue="1">
      <formula>$D$46*0.1</formula>
    </cfRule>
  </conditionalFormatting>
  <conditionalFormatting sqref="E44">
    <cfRule type="cellIs" priority="11" dxfId="114" operator="greaterThan" stopIfTrue="1">
      <formula>$E$46*0.1</formula>
    </cfRule>
  </conditionalFormatting>
  <conditionalFormatting sqref="C57">
    <cfRule type="cellIs" priority="12" dxfId="114" operator="greaterThan" stopIfTrue="1">
      <formula>$C$59*0.1</formula>
    </cfRule>
  </conditionalFormatting>
  <conditionalFormatting sqref="D57">
    <cfRule type="cellIs" priority="13" dxfId="114" operator="greaterThan" stopIfTrue="1">
      <formula>$D$59*0.1</formula>
    </cfRule>
  </conditionalFormatting>
  <conditionalFormatting sqref="E57">
    <cfRule type="cellIs" priority="14" dxfId="114" operator="greaterThan" stopIfTrue="1">
      <formula>$E$59*0.1</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52">
      <selection activeCell="E65" sqref="E65"/>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90</v>
      </c>
      <c r="C3" s="258"/>
      <c r="D3" s="258"/>
      <c r="E3" s="258"/>
    </row>
    <row r="4" spans="2:5" ht="15.75">
      <c r="B4" s="29" t="s">
        <v>24</v>
      </c>
      <c r="C4" s="661" t="s">
        <v>802</v>
      </c>
      <c r="D4" s="662" t="s">
        <v>803</v>
      </c>
      <c r="E4" s="125" t="s">
        <v>804</v>
      </c>
    </row>
    <row r="5" spans="2:5" ht="15.75">
      <c r="B5" s="369" t="str">
        <f>(inputPrYr!B38)</f>
        <v>Special Alcohol &amp; Drug</v>
      </c>
      <c r="C5" s="352" t="str">
        <f>CONCATENATE("Actual for ",E1-2,"")</f>
        <v>Actual for 2011</v>
      </c>
      <c r="D5" s="352" t="str">
        <f>CONCATENATE("Estimate for ",E1-1,"")</f>
        <v>Estimate for 2012</v>
      </c>
      <c r="E5" s="222" t="str">
        <f>CONCATENATE("Year for ",E1,"")</f>
        <v>Year for 2013</v>
      </c>
    </row>
    <row r="6" spans="2:5" ht="15.75">
      <c r="B6" s="223" t="s">
        <v>144</v>
      </c>
      <c r="C6" s="50">
        <v>0</v>
      </c>
      <c r="D6" s="193">
        <f>C29</f>
        <v>0</v>
      </c>
      <c r="E6" s="193">
        <f>D29</f>
        <v>3000</v>
      </c>
    </row>
    <row r="7" spans="2:5" ht="15.75">
      <c r="B7" s="226" t="s">
        <v>146</v>
      </c>
      <c r="C7" s="68"/>
      <c r="D7" s="68"/>
      <c r="E7" s="68"/>
    </row>
    <row r="8" spans="2:5" ht="15.75">
      <c r="B8" s="239" t="s">
        <v>1062</v>
      </c>
      <c r="C8" s="50">
        <v>0</v>
      </c>
      <c r="D8" s="50">
        <v>4000</v>
      </c>
      <c r="E8" s="50">
        <v>5000</v>
      </c>
    </row>
    <row r="9" spans="2:5" ht="15.75">
      <c r="B9" s="239"/>
      <c r="C9" s="50"/>
      <c r="D9" s="50"/>
      <c r="E9" s="50"/>
    </row>
    <row r="10" spans="2:5" ht="15.75">
      <c r="B10" s="239"/>
      <c r="C10" s="50"/>
      <c r="D10" s="50"/>
      <c r="E10" s="50"/>
    </row>
    <row r="11" spans="2:5" ht="15.75">
      <c r="B11" s="239"/>
      <c r="C11" s="50"/>
      <c r="D11" s="50"/>
      <c r="E11" s="50"/>
    </row>
    <row r="12" spans="2:5" ht="15.75">
      <c r="B12" s="231" t="s">
        <v>29</v>
      </c>
      <c r="C12" s="50">
        <v>0</v>
      </c>
      <c r="D12" s="50">
        <v>0</v>
      </c>
      <c r="E12" s="50">
        <v>0</v>
      </c>
    </row>
    <row r="13" spans="2:5" ht="15.75">
      <c r="B13" s="139" t="s">
        <v>267</v>
      </c>
      <c r="C13" s="50">
        <v>0</v>
      </c>
      <c r="D13" s="225">
        <v>0</v>
      </c>
      <c r="E13" s="225">
        <v>0</v>
      </c>
    </row>
    <row r="14" spans="2:5" ht="15.75">
      <c r="B14" s="223" t="s">
        <v>785</v>
      </c>
      <c r="C14" s="370">
        <f>IF(C15*0.1&lt;C13,"Exceed 10% Rule","")</f>
      </c>
      <c r="D14" s="255">
        <f>IF(D15*0.1&lt;D13,"Exceed 10% Rule","")</f>
      </c>
      <c r="E14" s="255">
        <f>IF(E15*0.1&lt;E13,"Exceed 10% Rule","")</f>
      </c>
    </row>
    <row r="15" spans="2:5" ht="15.75">
      <c r="B15" s="233" t="s">
        <v>30</v>
      </c>
      <c r="C15" s="259">
        <f>SUM(C8:C13)</f>
        <v>0</v>
      </c>
      <c r="D15" s="259">
        <f>SUM(D8:D13)</f>
        <v>4000</v>
      </c>
      <c r="E15" s="259">
        <f>SUM(E8:E13)</f>
        <v>5000</v>
      </c>
    </row>
    <row r="16" spans="2:5" ht="15.75">
      <c r="B16" s="233" t="s">
        <v>31</v>
      </c>
      <c r="C16" s="259">
        <f>C6+C15</f>
        <v>0</v>
      </c>
      <c r="D16" s="259">
        <f>D6+D15</f>
        <v>4000</v>
      </c>
      <c r="E16" s="259">
        <f>E6+E15</f>
        <v>8000</v>
      </c>
    </row>
    <row r="17" spans="2:5" ht="15.75">
      <c r="B17" s="131" t="s">
        <v>33</v>
      </c>
      <c r="C17" s="193"/>
      <c r="D17" s="193"/>
      <c r="E17" s="193"/>
    </row>
    <row r="18" spans="2:5" ht="15.75">
      <c r="B18" s="239" t="s">
        <v>1063</v>
      </c>
      <c r="C18" s="50">
        <v>0</v>
      </c>
      <c r="D18" s="50">
        <v>1000</v>
      </c>
      <c r="E18" s="50">
        <v>1000</v>
      </c>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267</v>
      </c>
      <c r="C26" s="50">
        <v>0</v>
      </c>
      <c r="D26" s="225">
        <v>0</v>
      </c>
      <c r="E26" s="225">
        <v>0</v>
      </c>
    </row>
    <row r="27" spans="2:5" ht="15.75">
      <c r="B27" s="240" t="s">
        <v>786</v>
      </c>
      <c r="C27" s="370">
        <f>IF(C28*0.1&lt;C26,"Exceed 10% Rule","")</f>
      </c>
      <c r="D27" s="255">
        <f>IF(D28*0.1&lt;D26,"Exceed 10% Rule","")</f>
      </c>
      <c r="E27" s="255">
        <f>IF(E28*0.1&lt;E26,"Exceed 10% Rule","")</f>
      </c>
    </row>
    <row r="28" spans="2:5" ht="15.75">
      <c r="B28" s="233" t="s">
        <v>37</v>
      </c>
      <c r="C28" s="259">
        <f>SUM(C18:C26)</f>
        <v>0</v>
      </c>
      <c r="D28" s="259">
        <f>SUM(D18:D26)</f>
        <v>1000</v>
      </c>
      <c r="E28" s="259">
        <f>SUM(E18:E26)</f>
        <v>1000</v>
      </c>
    </row>
    <row r="29" spans="2:5" ht="15.75">
      <c r="B29" s="131" t="s">
        <v>145</v>
      </c>
      <c r="C29" s="193">
        <f>C16-C28</f>
        <v>0</v>
      </c>
      <c r="D29" s="193">
        <f>D16-D28</f>
        <v>3000</v>
      </c>
      <c r="E29" s="193">
        <f>E16-E28</f>
        <v>7000</v>
      </c>
    </row>
    <row r="30" spans="2:5" ht="15.75">
      <c r="B30" s="119" t="str">
        <f>CONCATENATE("",E1-2,"/",E1-1," Budget Authority Amount:")</f>
        <v>2011/2012 Budget Authority Amount:</v>
      </c>
      <c r="C30" s="183">
        <f>inputOth!B78</f>
        <v>1000</v>
      </c>
      <c r="D30" s="183">
        <f>inputPrYr!D38</f>
        <v>1000</v>
      </c>
      <c r="E30" s="412">
        <f>IF(E29&lt;0,"See Tab E","")</f>
      </c>
    </row>
    <row r="31" spans="2:5" ht="15.75">
      <c r="B31" s="119"/>
      <c r="C31" s="244">
        <f>IF(C28&gt;C30,"See Tab A","")</f>
      </c>
      <c r="D31" s="244">
        <f>IF(D28&gt;D30,"See Tab C","")</f>
      </c>
      <c r="E31" s="51"/>
    </row>
    <row r="32" spans="2:5" ht="15.75">
      <c r="B32" s="119"/>
      <c r="C32" s="244">
        <f>IF(C29&lt;0,"See Tab B","")</f>
      </c>
      <c r="D32" s="244">
        <f>IF(D29&lt;0,"See Tab D","")</f>
      </c>
      <c r="E32" s="51"/>
    </row>
    <row r="33" spans="2:5" ht="15.75">
      <c r="B33" s="22"/>
      <c r="C33" s="51"/>
      <c r="D33" s="51"/>
      <c r="E33" s="51"/>
    </row>
    <row r="34" spans="2:5" ht="15.75">
      <c r="B34" s="29" t="s">
        <v>24</v>
      </c>
      <c r="C34" s="264"/>
      <c r="D34" s="264"/>
      <c r="E34" s="264"/>
    </row>
    <row r="35" spans="2:5" ht="15.75">
      <c r="B35" s="22"/>
      <c r="C35" s="247" t="str">
        <f aca="true" t="shared" si="0" ref="C35:E36">C4</f>
        <v>Prior Year </v>
      </c>
      <c r="D35" s="125" t="str">
        <f t="shared" si="0"/>
        <v>Current Year</v>
      </c>
      <c r="E35" s="125" t="str">
        <f t="shared" si="0"/>
        <v>Proposed Budget</v>
      </c>
    </row>
    <row r="36" spans="2:5" ht="15.75">
      <c r="B36" s="368" t="str">
        <f>(inputPrYr!B39)</f>
        <v>Special Park &amp; Recreation</v>
      </c>
      <c r="C36" s="222" t="str">
        <f t="shared" si="0"/>
        <v>Actual for 2011</v>
      </c>
      <c r="D36" s="222" t="str">
        <f t="shared" si="0"/>
        <v>Estimate for 2012</v>
      </c>
      <c r="E36" s="222" t="str">
        <f t="shared" si="0"/>
        <v>Year for 2013</v>
      </c>
    </row>
    <row r="37" spans="2:5" ht="15.75">
      <c r="B37" s="223" t="s">
        <v>144</v>
      </c>
      <c r="C37" s="50">
        <v>0</v>
      </c>
      <c r="D37" s="193">
        <f>C60</f>
        <v>0</v>
      </c>
      <c r="E37" s="193">
        <f>D60</f>
        <v>2670</v>
      </c>
    </row>
    <row r="38" spans="2:5" ht="15.75">
      <c r="B38" s="223" t="s">
        <v>146</v>
      </c>
      <c r="C38" s="68"/>
      <c r="D38" s="68"/>
      <c r="E38" s="68"/>
    </row>
    <row r="39" spans="2:5" ht="15.75">
      <c r="B39" s="239" t="s">
        <v>1064</v>
      </c>
      <c r="C39" s="50">
        <v>0</v>
      </c>
      <c r="D39" s="50">
        <v>3670</v>
      </c>
      <c r="E39" s="50">
        <v>4000</v>
      </c>
    </row>
    <row r="40" spans="2:5" ht="15.75">
      <c r="B40" s="239"/>
      <c r="C40" s="50"/>
      <c r="D40" s="50"/>
      <c r="E40" s="50"/>
    </row>
    <row r="41" spans="2:5" ht="15.75">
      <c r="B41" s="239"/>
      <c r="C41" s="50"/>
      <c r="D41" s="50"/>
      <c r="E41" s="50"/>
    </row>
    <row r="42" spans="2:5" ht="15.75">
      <c r="B42" s="239"/>
      <c r="C42" s="50"/>
      <c r="D42" s="50"/>
      <c r="E42" s="50"/>
    </row>
    <row r="43" spans="2:5" ht="15.75">
      <c r="B43" s="231" t="s">
        <v>29</v>
      </c>
      <c r="C43" s="50">
        <v>0</v>
      </c>
      <c r="D43" s="50">
        <v>0</v>
      </c>
      <c r="E43" s="50">
        <v>0</v>
      </c>
    </row>
    <row r="44" spans="2:5" ht="15.75">
      <c r="B44" s="139" t="s">
        <v>267</v>
      </c>
      <c r="C44" s="50">
        <v>0</v>
      </c>
      <c r="D44" s="225">
        <v>0</v>
      </c>
      <c r="E44" s="225">
        <v>0</v>
      </c>
    </row>
    <row r="45" spans="2:5" ht="15.75">
      <c r="B45" s="223" t="s">
        <v>785</v>
      </c>
      <c r="C45" s="370">
        <f>IF(C46*0.1&lt;C44,"Exceed 10% Rule","")</f>
      </c>
      <c r="D45" s="255">
        <f>IF(D46*0.1&lt;D44,"Exceed 10% Rule","")</f>
      </c>
      <c r="E45" s="255">
        <f>IF(E46*0.1&lt;E44,"Exceed 10% Rule","")</f>
      </c>
    </row>
    <row r="46" spans="2:5" ht="15.75">
      <c r="B46" s="233" t="s">
        <v>30</v>
      </c>
      <c r="C46" s="259">
        <f>SUM(C39:C44)</f>
        <v>0</v>
      </c>
      <c r="D46" s="259">
        <f>SUM(D39:D44)</f>
        <v>3670</v>
      </c>
      <c r="E46" s="259">
        <f>SUM(E39:E44)</f>
        <v>4000</v>
      </c>
    </row>
    <row r="47" spans="2:5" ht="15.75">
      <c r="B47" s="233" t="s">
        <v>31</v>
      </c>
      <c r="C47" s="259">
        <f>C37+C46</f>
        <v>0</v>
      </c>
      <c r="D47" s="259">
        <f>D37+D46</f>
        <v>3670</v>
      </c>
      <c r="E47" s="259">
        <f>E37+E46</f>
        <v>6670</v>
      </c>
    </row>
    <row r="48" spans="2:5" ht="15.75">
      <c r="B48" s="131" t="s">
        <v>33</v>
      </c>
      <c r="C48" s="193"/>
      <c r="D48" s="193"/>
      <c r="E48" s="193"/>
    </row>
    <row r="49" spans="2:5" ht="15.75">
      <c r="B49" s="239" t="s">
        <v>1037</v>
      </c>
      <c r="C49" s="50">
        <v>0</v>
      </c>
      <c r="D49" s="50">
        <v>1000</v>
      </c>
      <c r="E49" s="50">
        <v>1000</v>
      </c>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40" t="s">
        <v>267</v>
      </c>
      <c r="C57" s="50">
        <v>0</v>
      </c>
      <c r="D57" s="225">
        <v>0</v>
      </c>
      <c r="E57" s="225">
        <v>0</v>
      </c>
    </row>
    <row r="58" spans="2:5" ht="15.75">
      <c r="B58" s="240" t="s">
        <v>786</v>
      </c>
      <c r="C58" s="370">
        <f>IF(C59*0.1&lt;C57,"Exceed 10% Rule","")</f>
      </c>
      <c r="D58" s="255">
        <f>IF(D59*0.1&lt;D57,"Exceed 10% Rule","")</f>
      </c>
      <c r="E58" s="255">
        <f>IF(E59*0.1&lt;E57,"Exceed 10% Rule","")</f>
      </c>
    </row>
    <row r="59" spans="2:5" ht="15.75">
      <c r="B59" s="233" t="s">
        <v>37</v>
      </c>
      <c r="C59" s="259">
        <f>SUM(C49:C57)</f>
        <v>0</v>
      </c>
      <c r="D59" s="259">
        <f>SUM(D49:D57)</f>
        <v>1000</v>
      </c>
      <c r="E59" s="259">
        <f>SUM(E49:E57)</f>
        <v>1000</v>
      </c>
    </row>
    <row r="60" spans="2:5" ht="15.75">
      <c r="B60" s="131" t="s">
        <v>145</v>
      </c>
      <c r="C60" s="193">
        <f>C47-C59</f>
        <v>0</v>
      </c>
      <c r="D60" s="193">
        <f>D47-D59</f>
        <v>2670</v>
      </c>
      <c r="E60" s="193">
        <f>E47-E59</f>
        <v>5670</v>
      </c>
    </row>
    <row r="61" spans="2:5" ht="15.75">
      <c r="B61" s="119" t="str">
        <f>CONCATENATE("",E1-2,"/",E1-1," Budget Authority Amount:")</f>
        <v>2011/2012 Budget Authority Amount:</v>
      </c>
      <c r="C61" s="183">
        <f>inputOth!B79</f>
        <v>600</v>
      </c>
      <c r="D61" s="183">
        <f>inputPrYr!D39</f>
        <v>1000</v>
      </c>
      <c r="E61" s="412">
        <f>IF(E60&lt;0,"See Tab E","")</f>
      </c>
    </row>
    <row r="62" spans="2:5" ht="15.75">
      <c r="B62" s="119"/>
      <c r="C62" s="244">
        <f>IF(C59&gt;C61,"See Tab A","")</f>
      </c>
      <c r="D62" s="244">
        <f>IF(D59&gt;D61,"See Tab C","")</f>
      </c>
      <c r="E62" s="58"/>
    </row>
    <row r="63" spans="2:5" ht="15.75">
      <c r="B63" s="119"/>
      <c r="C63" s="244">
        <f>IF(C60&lt;0,"See Tab B","")</f>
      </c>
      <c r="D63" s="244">
        <f>IF(D60&lt;0,"See Tab D","")</f>
      </c>
      <c r="E63" s="58"/>
    </row>
    <row r="64" spans="2:5" ht="15.75">
      <c r="B64" s="22"/>
      <c r="C64" s="22"/>
      <c r="D64" s="22"/>
      <c r="E64" s="22"/>
    </row>
    <row r="65" spans="2:5" ht="15.75">
      <c r="B65" s="119" t="s">
        <v>40</v>
      </c>
      <c r="C65" s="250">
        <v>13</v>
      </c>
      <c r="D65" s="22"/>
      <c r="E65" s="22"/>
    </row>
  </sheetData>
  <sheetProtection sheet="1"/>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4">
    <cfRule type="cellIs" priority="9" dxfId="114" operator="greaterThan" stopIfTrue="1">
      <formula>$C$46*0.1</formula>
    </cfRule>
  </conditionalFormatting>
  <conditionalFormatting sqref="D44">
    <cfRule type="cellIs" priority="10" dxfId="114" operator="greaterThan" stopIfTrue="1">
      <formula>$D$46*0.1</formula>
    </cfRule>
  </conditionalFormatting>
  <conditionalFormatting sqref="E44">
    <cfRule type="cellIs" priority="11" dxfId="114" operator="greaterThan" stopIfTrue="1">
      <formula>$E$46*0.1</formula>
    </cfRule>
  </conditionalFormatting>
  <conditionalFormatting sqref="C57">
    <cfRule type="cellIs" priority="12" dxfId="114" operator="greaterThan" stopIfTrue="1">
      <formula>$C$59*0.1</formula>
    </cfRule>
  </conditionalFormatting>
  <conditionalFormatting sqref="D57">
    <cfRule type="cellIs" priority="13" dxfId="114" operator="greaterThan" stopIfTrue="1">
      <formula>$D$59*0.1</formula>
    </cfRule>
  </conditionalFormatting>
  <conditionalFormatting sqref="E57">
    <cfRule type="cellIs" priority="14" dxfId="114" operator="greaterThan" stopIfTrue="1">
      <formula>$E$59*0.1</formula>
    </cfRule>
  </conditionalFormatting>
  <printOptions/>
  <pageMargins left="0.5" right="0.5" top="1" bottom="0.5" header="0.5" footer="0.5"/>
  <pageSetup blackAndWhite="1" fitToHeight="1" fitToWidth="1" horizontalDpi="120" verticalDpi="120" orientation="portrait" scale="75"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52">
      <selection activeCell="C66" sqref="C66"/>
    </sheetView>
  </sheetViews>
  <sheetFormatPr defaultColWidth="8.796875" defaultRowHeight="15"/>
  <cols>
    <col min="1" max="1" width="2.3984375" style="23" customWidth="1"/>
    <col min="2" max="2" width="31.09765625" style="23" customWidth="1"/>
    <col min="3" max="4" width="15.796875" style="23" customWidth="1"/>
    <col min="5" max="5" width="16.296875" style="23" customWidth="1"/>
    <col min="6" max="16384" width="8.8984375" style="23" customWidth="1"/>
  </cols>
  <sheetData>
    <row r="1" spans="2:5" ht="15.75">
      <c r="B1" s="151" t="str">
        <f>(inputPrYr!D2)</f>
        <v>Valley Center</v>
      </c>
      <c r="C1" s="22"/>
      <c r="D1" s="22"/>
      <c r="E1" s="212">
        <f>inputPrYr!C5</f>
        <v>2013</v>
      </c>
    </row>
    <row r="2" spans="2:5" ht="15.75">
      <c r="B2" s="22"/>
      <c r="C2" s="22"/>
      <c r="D2" s="22"/>
      <c r="E2" s="147"/>
    </row>
    <row r="3" spans="2:5" ht="15.75">
      <c r="B3" s="41" t="s">
        <v>90</v>
      </c>
      <c r="C3" s="258"/>
      <c r="D3" s="258"/>
      <c r="E3" s="258"/>
    </row>
    <row r="4" spans="2:5" ht="15.75">
      <c r="B4" s="29" t="s">
        <v>24</v>
      </c>
      <c r="C4" s="661" t="s">
        <v>802</v>
      </c>
      <c r="D4" s="662" t="s">
        <v>803</v>
      </c>
      <c r="E4" s="125" t="s">
        <v>804</v>
      </c>
    </row>
    <row r="5" spans="2:5" ht="15.75">
      <c r="B5" s="369" t="str">
        <f>inputPrYr!B40</f>
        <v>Drug Tax Distribution</v>
      </c>
      <c r="C5" s="352" t="str">
        <f>CONCATENATE("Actual for ",E1-2,"")</f>
        <v>Actual for 2011</v>
      </c>
      <c r="D5" s="352" t="str">
        <f>CONCATENATE("Estimate for ",E1-1,"")</f>
        <v>Estimate for 2012</v>
      </c>
      <c r="E5" s="222" t="str">
        <f>CONCATENATE("Year for ",E1,"")</f>
        <v>Year for 2013</v>
      </c>
    </row>
    <row r="6" spans="2:5" ht="15.75">
      <c r="B6" s="223" t="s">
        <v>144</v>
      </c>
      <c r="C6" s="50">
        <v>0</v>
      </c>
      <c r="D6" s="193">
        <f>C29</f>
        <v>0</v>
      </c>
      <c r="E6" s="193">
        <f>D29</f>
        <v>2000</v>
      </c>
    </row>
    <row r="7" spans="2:5" ht="15.75">
      <c r="B7" s="226" t="s">
        <v>146</v>
      </c>
      <c r="C7" s="68"/>
      <c r="D7" s="68"/>
      <c r="E7" s="68"/>
    </row>
    <row r="8" spans="2:5" ht="15.75">
      <c r="B8" s="239" t="s">
        <v>1065</v>
      </c>
      <c r="C8" s="50">
        <v>0</v>
      </c>
      <c r="D8" s="50">
        <v>3000</v>
      </c>
      <c r="E8" s="50">
        <v>3000</v>
      </c>
    </row>
    <row r="9" spans="2:5" ht="15.75">
      <c r="B9" s="239"/>
      <c r="C9" s="50"/>
      <c r="D9" s="50"/>
      <c r="E9" s="50"/>
    </row>
    <row r="10" spans="2:5" ht="15.75">
      <c r="B10" s="239"/>
      <c r="C10" s="50"/>
      <c r="D10" s="50"/>
      <c r="E10" s="50"/>
    </row>
    <row r="11" spans="2:5" ht="15.75">
      <c r="B11" s="239"/>
      <c r="C11" s="50"/>
      <c r="D11" s="50"/>
      <c r="E11" s="50"/>
    </row>
    <row r="12" spans="2:5" ht="15.75">
      <c r="B12" s="231" t="s">
        <v>29</v>
      </c>
      <c r="C12" s="50">
        <v>0</v>
      </c>
      <c r="D12" s="50">
        <v>0</v>
      </c>
      <c r="E12" s="50">
        <v>0</v>
      </c>
    </row>
    <row r="13" spans="2:5" ht="15.75">
      <c r="B13" s="139" t="s">
        <v>267</v>
      </c>
      <c r="C13" s="50">
        <v>0</v>
      </c>
      <c r="D13" s="225">
        <v>0</v>
      </c>
      <c r="E13" s="225">
        <v>0</v>
      </c>
    </row>
    <row r="14" spans="2:5" ht="15.75">
      <c r="B14" s="223" t="s">
        <v>785</v>
      </c>
      <c r="C14" s="370">
        <f>IF(C15*0.1&lt;C13,"Exceed 10% Rule","")</f>
      </c>
      <c r="D14" s="255">
        <f>IF(D15*0.1&lt;D13,"Exceed 10% Rule","")</f>
      </c>
      <c r="E14" s="255">
        <f>IF(E15*0.1&lt;E13,"Exceed 10% Rule","")</f>
      </c>
    </row>
    <row r="15" spans="2:5" ht="15.75">
      <c r="B15" s="233" t="s">
        <v>30</v>
      </c>
      <c r="C15" s="259">
        <f>SUM(C8:C13)</f>
        <v>0</v>
      </c>
      <c r="D15" s="259">
        <f>SUM(D8:D13)</f>
        <v>3000</v>
      </c>
      <c r="E15" s="259">
        <f>SUM(E8:E13)</f>
        <v>3000</v>
      </c>
    </row>
    <row r="16" spans="2:5" ht="15.75">
      <c r="B16" s="233" t="s">
        <v>31</v>
      </c>
      <c r="C16" s="259">
        <f>C6+C15</f>
        <v>0</v>
      </c>
      <c r="D16" s="259">
        <f>D6+D15</f>
        <v>3000</v>
      </c>
      <c r="E16" s="259">
        <f>E6+E15</f>
        <v>5000</v>
      </c>
    </row>
    <row r="17" spans="2:5" ht="15.75">
      <c r="B17" s="131" t="s">
        <v>33</v>
      </c>
      <c r="C17" s="193"/>
      <c r="D17" s="193"/>
      <c r="E17" s="193"/>
    </row>
    <row r="18" spans="2:5" ht="15.75">
      <c r="B18" s="239" t="s">
        <v>1027</v>
      </c>
      <c r="C18" s="50">
        <v>0</v>
      </c>
      <c r="D18" s="50">
        <v>1000</v>
      </c>
      <c r="E18" s="50">
        <v>1000</v>
      </c>
    </row>
    <row r="19" spans="2:5" ht="15.75">
      <c r="B19" s="239"/>
      <c r="C19" s="50"/>
      <c r="D19" s="50"/>
      <c r="E19" s="50"/>
    </row>
    <row r="20" spans="2:5" ht="15.75">
      <c r="B20" s="239"/>
      <c r="C20" s="50"/>
      <c r="D20" s="50"/>
      <c r="E20" s="50"/>
    </row>
    <row r="21" spans="2:5" ht="15.75">
      <c r="B21" s="239"/>
      <c r="C21" s="50"/>
      <c r="D21" s="50"/>
      <c r="E21" s="50"/>
    </row>
    <row r="22" spans="2:5" ht="15.75">
      <c r="B22" s="239"/>
      <c r="C22" s="50"/>
      <c r="D22" s="50"/>
      <c r="E22" s="50"/>
    </row>
    <row r="23" spans="2:5" ht="15.75">
      <c r="B23" s="239"/>
      <c r="C23" s="50"/>
      <c r="D23" s="50"/>
      <c r="E23" s="50"/>
    </row>
    <row r="24" spans="2:5" ht="15.75">
      <c r="B24" s="239"/>
      <c r="C24" s="50"/>
      <c r="D24" s="50"/>
      <c r="E24" s="50"/>
    </row>
    <row r="25" spans="2:5" ht="15.75">
      <c r="B25" s="239"/>
      <c r="C25" s="50"/>
      <c r="D25" s="50"/>
      <c r="E25" s="50"/>
    </row>
    <row r="26" spans="2:5" ht="15.75">
      <c r="B26" s="240" t="s">
        <v>267</v>
      </c>
      <c r="C26" s="50">
        <v>0</v>
      </c>
      <c r="D26" s="225">
        <v>0</v>
      </c>
      <c r="E26" s="225">
        <v>0</v>
      </c>
    </row>
    <row r="27" spans="2:5" ht="15.75">
      <c r="B27" s="240" t="s">
        <v>786</v>
      </c>
      <c r="C27" s="370">
        <f>IF(C28*0.1&lt;C26,"Exceed 10% Rule","")</f>
      </c>
      <c r="D27" s="255">
        <f>IF(D28*0.1&lt;D26,"Exceed 10% Rule","")</f>
      </c>
      <c r="E27" s="255">
        <f>IF(E28*0.1&lt;E26,"Exceed 10% Rule","")</f>
      </c>
    </row>
    <row r="28" spans="2:5" ht="15.75">
      <c r="B28" s="233" t="s">
        <v>37</v>
      </c>
      <c r="C28" s="259">
        <f>SUM(C18:C26)</f>
        <v>0</v>
      </c>
      <c r="D28" s="259">
        <f>SUM(D18:D26)</f>
        <v>1000</v>
      </c>
      <c r="E28" s="259">
        <f>SUM(E18:E26)</f>
        <v>1000</v>
      </c>
    </row>
    <row r="29" spans="2:5" ht="15.75">
      <c r="B29" s="131" t="s">
        <v>145</v>
      </c>
      <c r="C29" s="193">
        <f>C16-C28</f>
        <v>0</v>
      </c>
      <c r="D29" s="193">
        <f>D16-D28</f>
        <v>2000</v>
      </c>
      <c r="E29" s="193">
        <f>E16-E28</f>
        <v>4000</v>
      </c>
    </row>
    <row r="30" spans="2:5" ht="15.75">
      <c r="B30" s="119" t="str">
        <f>CONCATENATE("",E1-2,"/",E1-1," Budget Authority Amount:")</f>
        <v>2011/2012 Budget Authority Amount:</v>
      </c>
      <c r="C30" s="183">
        <f>inputOth!B80</f>
        <v>4000</v>
      </c>
      <c r="D30" s="183">
        <f>inputPrYr!D40</f>
        <v>1000</v>
      </c>
      <c r="E30" s="412">
        <f>IF(E29&lt;0,"See Tab E","")</f>
      </c>
    </row>
    <row r="31" spans="2:5" ht="15.75">
      <c r="B31" s="119"/>
      <c r="C31" s="244">
        <f>IF(C28&gt;C30,"See Tab A","")</f>
      </c>
      <c r="D31" s="244">
        <f>IF(D28&gt;D30,"See Tab C","")</f>
      </c>
      <c r="E31" s="58"/>
    </row>
    <row r="32" spans="2:5" ht="15.75">
      <c r="B32" s="119"/>
      <c r="C32" s="244">
        <f>IF(C29&lt;0,"See Tab B","")</f>
      </c>
      <c r="D32" s="244">
        <f>IF(D29&lt;0,"See Tab D","")</f>
      </c>
      <c r="E32" s="58"/>
    </row>
    <row r="33" spans="2:5" ht="15.75">
      <c r="B33" s="61"/>
      <c r="C33" s="58"/>
      <c r="D33" s="58"/>
      <c r="E33" s="58"/>
    </row>
    <row r="34" spans="2:5" ht="15.75">
      <c r="B34" s="22"/>
      <c r="C34" s="51"/>
      <c r="D34" s="51"/>
      <c r="E34" s="51"/>
    </row>
    <row r="35" spans="2:5" ht="15.75">
      <c r="B35" s="29" t="s">
        <v>24</v>
      </c>
      <c r="C35" s="264"/>
      <c r="D35" s="264"/>
      <c r="E35" s="264"/>
    </row>
    <row r="36" spans="2:5" ht="15.75">
      <c r="B36" s="22"/>
      <c r="C36" s="247" t="str">
        <f aca="true" t="shared" si="0" ref="C36:E37">C4</f>
        <v>Prior Year </v>
      </c>
      <c r="D36" s="125" t="str">
        <f t="shared" si="0"/>
        <v>Current Year</v>
      </c>
      <c r="E36" s="125" t="str">
        <f t="shared" si="0"/>
        <v>Proposed Budget</v>
      </c>
    </row>
    <row r="37" spans="2:5" ht="15.75">
      <c r="B37" s="368">
        <f>inputPrYr!B41</f>
        <v>0</v>
      </c>
      <c r="C37" s="222" t="str">
        <f t="shared" si="0"/>
        <v>Actual for 2011</v>
      </c>
      <c r="D37" s="222" t="str">
        <f t="shared" si="0"/>
        <v>Estimate for 2012</v>
      </c>
      <c r="E37" s="222" t="str">
        <f t="shared" si="0"/>
        <v>Year for 2013</v>
      </c>
    </row>
    <row r="38" spans="2:5" ht="15.75">
      <c r="B38" s="223" t="s">
        <v>144</v>
      </c>
      <c r="C38" s="50"/>
      <c r="D38" s="193">
        <f>C61</f>
        <v>0</v>
      </c>
      <c r="E38" s="193">
        <f>D61</f>
        <v>0</v>
      </c>
    </row>
    <row r="39" spans="2:5" ht="15.75">
      <c r="B39" s="223" t="s">
        <v>146</v>
      </c>
      <c r="C39" s="68"/>
      <c r="D39" s="68"/>
      <c r="E39" s="68"/>
    </row>
    <row r="40" spans="2:5" ht="15.75">
      <c r="B40" s="239"/>
      <c r="C40" s="50"/>
      <c r="D40" s="50"/>
      <c r="E40" s="50"/>
    </row>
    <row r="41" spans="2:5" ht="15.75">
      <c r="B41" s="239"/>
      <c r="C41" s="50"/>
      <c r="D41" s="50"/>
      <c r="E41" s="50"/>
    </row>
    <row r="42" spans="2:5" ht="15.75">
      <c r="B42" s="239"/>
      <c r="C42" s="50"/>
      <c r="D42" s="50"/>
      <c r="E42" s="50"/>
    </row>
    <row r="43" spans="2:5" ht="15.75">
      <c r="B43" s="239"/>
      <c r="C43" s="50"/>
      <c r="D43" s="50"/>
      <c r="E43" s="50"/>
    </row>
    <row r="44" spans="2:5" ht="15.75">
      <c r="B44" s="231" t="s">
        <v>29</v>
      </c>
      <c r="C44" s="50"/>
      <c r="D44" s="50"/>
      <c r="E44" s="50"/>
    </row>
    <row r="45" spans="2:5" ht="15.75">
      <c r="B45" s="139" t="s">
        <v>267</v>
      </c>
      <c r="C45" s="50"/>
      <c r="D45" s="225"/>
      <c r="E45" s="225"/>
    </row>
    <row r="46" spans="2:5" ht="15.75">
      <c r="B46" s="223" t="s">
        <v>785</v>
      </c>
      <c r="C46" s="370">
        <f>IF(C47*0.1&lt;C45,"Exceed 10% Rule","")</f>
      </c>
      <c r="D46" s="255">
        <f>IF(D47*0.1&lt;D45,"Exceed 10% Rule","")</f>
      </c>
      <c r="E46" s="255">
        <f>IF(E47*0.1&lt;E45,"Exceed 10% Rule","")</f>
      </c>
    </row>
    <row r="47" spans="2:5" ht="15.75">
      <c r="B47" s="233" t="s">
        <v>30</v>
      </c>
      <c r="C47" s="259">
        <f>SUM(C40:C45)</f>
        <v>0</v>
      </c>
      <c r="D47" s="259">
        <f>SUM(D40:D45)</f>
        <v>0</v>
      </c>
      <c r="E47" s="259">
        <f>SUM(E40:E45)</f>
        <v>0</v>
      </c>
    </row>
    <row r="48" spans="2:5" ht="15.75">
      <c r="B48" s="233" t="s">
        <v>31</v>
      </c>
      <c r="C48" s="259">
        <f>C38+C47</f>
        <v>0</v>
      </c>
      <c r="D48" s="259">
        <f>D38+D47</f>
        <v>0</v>
      </c>
      <c r="E48" s="259">
        <f>E38+E47</f>
        <v>0</v>
      </c>
    </row>
    <row r="49" spans="2:5" ht="15.75">
      <c r="B49" s="131" t="s">
        <v>33</v>
      </c>
      <c r="C49" s="193"/>
      <c r="D49" s="193"/>
      <c r="E49" s="193"/>
    </row>
    <row r="50" spans="2:5" ht="15.75">
      <c r="B50" s="239"/>
      <c r="C50" s="50"/>
      <c r="D50" s="50"/>
      <c r="E50" s="50"/>
    </row>
    <row r="51" spans="2:5" ht="15.75">
      <c r="B51" s="239"/>
      <c r="C51" s="50"/>
      <c r="D51" s="50"/>
      <c r="E51" s="50"/>
    </row>
    <row r="52" spans="2:5" ht="15.75">
      <c r="B52" s="239"/>
      <c r="C52" s="50"/>
      <c r="D52" s="50"/>
      <c r="E52" s="50"/>
    </row>
    <row r="53" spans="2:5" ht="15.75">
      <c r="B53" s="239"/>
      <c r="C53" s="50"/>
      <c r="D53" s="50"/>
      <c r="E53" s="50"/>
    </row>
    <row r="54" spans="2:5" ht="15.75">
      <c r="B54" s="239"/>
      <c r="C54" s="50"/>
      <c r="D54" s="50"/>
      <c r="E54" s="50"/>
    </row>
    <row r="55" spans="2:5" ht="15.75">
      <c r="B55" s="239"/>
      <c r="C55" s="50"/>
      <c r="D55" s="50"/>
      <c r="E55" s="50"/>
    </row>
    <row r="56" spans="2:5" ht="15.75">
      <c r="B56" s="239"/>
      <c r="C56" s="50"/>
      <c r="D56" s="50"/>
      <c r="E56" s="50"/>
    </row>
    <row r="57" spans="2:5" ht="15.75">
      <c r="B57" s="239"/>
      <c r="C57" s="50"/>
      <c r="D57" s="50"/>
      <c r="E57" s="50"/>
    </row>
    <row r="58" spans="2:5" ht="15.75">
      <c r="B58" s="240" t="s">
        <v>267</v>
      </c>
      <c r="C58" s="50"/>
      <c r="D58" s="225"/>
      <c r="E58" s="225"/>
    </row>
    <row r="59" spans="2:5" ht="15.75">
      <c r="B59" s="240" t="s">
        <v>786</v>
      </c>
      <c r="C59" s="370">
        <f>IF(C60*0.1&lt;C58,"Exceed 10% Rule","")</f>
      </c>
      <c r="D59" s="255">
        <f>IF(D60*0.1&lt;D58,"Exceed 10% Rule","")</f>
      </c>
      <c r="E59" s="255">
        <f>IF(E60*0.1&lt;E58,"Exceed 10% Rule","")</f>
      </c>
    </row>
    <row r="60" spans="2:5" ht="15.75">
      <c r="B60" s="233" t="s">
        <v>37</v>
      </c>
      <c r="C60" s="259">
        <f>SUM(C50:C58)</f>
        <v>0</v>
      </c>
      <c r="D60" s="259">
        <f>SUM(D50:D58)</f>
        <v>0</v>
      </c>
      <c r="E60" s="259">
        <f>SUM(E50:E58)</f>
        <v>0</v>
      </c>
    </row>
    <row r="61" spans="2:5" ht="15.75">
      <c r="B61" s="131" t="s">
        <v>145</v>
      </c>
      <c r="C61" s="193">
        <f>C48-C60</f>
        <v>0</v>
      </c>
      <c r="D61" s="193">
        <f>D48-D60</f>
        <v>0</v>
      </c>
      <c r="E61" s="193">
        <f>E48-E60</f>
        <v>0</v>
      </c>
    </row>
    <row r="62" spans="2:5" ht="15.75">
      <c r="B62" s="119" t="str">
        <f>CONCATENATE("",E1-2,"/",E1-1," Budget Authority Amount:")</f>
        <v>2011/2012 Budget Authority Amount:</v>
      </c>
      <c r="C62" s="183">
        <f>inputOth!B81</f>
        <v>0</v>
      </c>
      <c r="D62" s="183">
        <f>inputPrYr!D41</f>
        <v>0</v>
      </c>
      <c r="E62" s="412">
        <f>IF(E61&lt;0,"See Tab E","")</f>
      </c>
    </row>
    <row r="63" spans="2:5" ht="15.75">
      <c r="B63" s="119"/>
      <c r="C63" s="244">
        <f>IF(C60&gt;C62,"See Tab A","")</f>
      </c>
      <c r="D63" s="244">
        <f>IF(D60&gt;D62,"See Tab C","")</f>
      </c>
      <c r="E63" s="58"/>
    </row>
    <row r="64" spans="2:5" ht="15.75">
      <c r="B64" s="119"/>
      <c r="C64" s="244">
        <f>IF(C61&lt;0,"See Tab B","")</f>
      </c>
      <c r="D64" s="244">
        <f>IF(D61&lt;0,"See Tab D","")</f>
      </c>
      <c r="E64" s="58"/>
    </row>
    <row r="65" spans="2:5" ht="15.75">
      <c r="B65" s="22"/>
      <c r="C65" s="22"/>
      <c r="D65" s="22"/>
      <c r="E65" s="22"/>
    </row>
    <row r="66" spans="2:5" ht="15.75">
      <c r="B66" s="119" t="s">
        <v>40</v>
      </c>
      <c r="C66" s="250">
        <v>14</v>
      </c>
      <c r="D66" s="22"/>
      <c r="E66" s="22"/>
    </row>
  </sheetData>
  <sheetProtection sheet="1"/>
  <conditionalFormatting sqref="C13">
    <cfRule type="cellIs" priority="3" dxfId="114" operator="greaterThan" stopIfTrue="1">
      <formula>$C$15*0.1</formula>
    </cfRule>
  </conditionalFormatting>
  <conditionalFormatting sqref="D13">
    <cfRule type="cellIs" priority="4" dxfId="114" operator="greaterThan" stopIfTrue="1">
      <formula>$D$15*0.1</formula>
    </cfRule>
  </conditionalFormatting>
  <conditionalFormatting sqref="E13">
    <cfRule type="cellIs" priority="5" dxfId="114" operator="greaterThan" stopIfTrue="1">
      <formula>$E$15*0.1</formula>
    </cfRule>
  </conditionalFormatting>
  <conditionalFormatting sqref="C26">
    <cfRule type="cellIs" priority="6" dxfId="114" operator="greaterThan" stopIfTrue="1">
      <formula>$C$28*0.1</formula>
    </cfRule>
  </conditionalFormatting>
  <conditionalFormatting sqref="D26">
    <cfRule type="cellIs" priority="7" dxfId="114" operator="greaterThan" stopIfTrue="1">
      <formula>$D$28*0.1</formula>
    </cfRule>
  </conditionalFormatting>
  <conditionalFormatting sqref="E26">
    <cfRule type="cellIs" priority="8" dxfId="114" operator="greaterThan" stopIfTrue="1">
      <formula>$E$28*0.1</formula>
    </cfRule>
  </conditionalFormatting>
  <conditionalFormatting sqref="C45">
    <cfRule type="cellIs" priority="9" dxfId="114" operator="greaterThan" stopIfTrue="1">
      <formula>$C$47*0.1</formula>
    </cfRule>
  </conditionalFormatting>
  <conditionalFormatting sqref="D45">
    <cfRule type="cellIs" priority="10" dxfId="114" operator="greaterThan" stopIfTrue="1">
      <formula>$D$47*0.1</formula>
    </cfRule>
  </conditionalFormatting>
  <conditionalFormatting sqref="E45">
    <cfRule type="cellIs" priority="11" dxfId="114" operator="greaterThan" stopIfTrue="1">
      <formula>$E$47*0.1</formula>
    </cfRule>
  </conditionalFormatting>
  <conditionalFormatting sqref="C58">
    <cfRule type="cellIs" priority="12" dxfId="114" operator="greaterThan" stopIfTrue="1">
      <formula>$C$60*0.1</formula>
    </cfRule>
  </conditionalFormatting>
  <conditionalFormatting sqref="D58">
    <cfRule type="cellIs" priority="13" dxfId="114" operator="greaterThan" stopIfTrue="1">
      <formula>$D$60*0.1</formula>
    </cfRule>
  </conditionalFormatting>
  <conditionalFormatting sqref="E58">
    <cfRule type="cellIs" priority="14" dxfId="114" operator="greaterThan" stopIfTrue="1">
      <formula>$E$60*0.1</formula>
    </cfRule>
  </conditionalFormatting>
  <printOptions/>
  <pageMargins left="0.5" right="0.5" top="1" bottom="0.5" header="0.5" footer="0.5"/>
  <pageSetup blackAndWhite="1" fitToHeight="1" fitToWidth="1" horizontalDpi="120" verticalDpi="120" orientation="portrait" scale="73"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3">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09765625" style="83" customWidth="1"/>
    <col min="6" max="16384" width="8.8984375" style="83" customWidth="1"/>
  </cols>
  <sheetData>
    <row r="1" spans="2:5" ht="15.75">
      <c r="B1" s="151" t="str">
        <f>inputPrYr!D2</f>
        <v>Valley Center</v>
      </c>
      <c r="C1" s="22"/>
      <c r="D1" s="22"/>
      <c r="E1" s="185">
        <f>inputPrYr!$C$5</f>
        <v>2013</v>
      </c>
    </row>
    <row r="2" spans="2:5" ht="15.75">
      <c r="B2" s="22"/>
      <c r="C2" s="22"/>
      <c r="D2" s="22"/>
      <c r="E2" s="147"/>
    </row>
    <row r="3" spans="2:5" ht="15.75">
      <c r="B3" s="41" t="s">
        <v>90</v>
      </c>
      <c r="C3" s="265"/>
      <c r="D3" s="265"/>
      <c r="E3" s="266"/>
    </row>
    <row r="4" spans="2:5" ht="15.75">
      <c r="B4" s="29" t="s">
        <v>24</v>
      </c>
      <c r="C4" s="661" t="s">
        <v>802</v>
      </c>
      <c r="D4" s="662" t="s">
        <v>803</v>
      </c>
      <c r="E4" s="125" t="s">
        <v>804</v>
      </c>
    </row>
    <row r="5" spans="2:5" ht="15.75">
      <c r="B5" s="369" t="str">
        <f>inputPrYr!B44</f>
        <v>Water Utility</v>
      </c>
      <c r="C5" s="352" t="str">
        <f>CONCATENATE("Actual for ",E1-2,"")</f>
        <v>Actual for 2011</v>
      </c>
      <c r="D5" s="352" t="str">
        <f>CONCATENATE("Estimate for ",E1-1,"")</f>
        <v>Estimate for 2012</v>
      </c>
      <c r="E5" s="222" t="str">
        <f>CONCATENATE("Year for ",E1,"")</f>
        <v>Year for 2013</v>
      </c>
    </row>
    <row r="6" spans="2:5" ht="15.75">
      <c r="B6" s="131" t="s">
        <v>144</v>
      </c>
      <c r="C6" s="50">
        <v>0</v>
      </c>
      <c r="D6" s="193">
        <f>C48</f>
        <v>62470</v>
      </c>
      <c r="E6" s="193">
        <f>D48</f>
        <v>3800</v>
      </c>
    </row>
    <row r="7" spans="2:5" ht="15.75">
      <c r="B7" s="131" t="s">
        <v>146</v>
      </c>
      <c r="C7" s="68"/>
      <c r="D7" s="68"/>
      <c r="E7" s="68"/>
    </row>
    <row r="8" spans="2:5" ht="15.75">
      <c r="B8" s="767" t="s">
        <v>1066</v>
      </c>
      <c r="C8" s="230">
        <v>1452810</v>
      </c>
      <c r="D8" s="230">
        <v>1174000</v>
      </c>
      <c r="E8" s="230">
        <v>1316000</v>
      </c>
    </row>
    <row r="9" spans="2:5" ht="15.75">
      <c r="B9" s="766" t="s">
        <v>1034</v>
      </c>
      <c r="C9" s="230">
        <v>10</v>
      </c>
      <c r="D9" s="230">
        <v>10000</v>
      </c>
      <c r="E9" s="230">
        <v>0</v>
      </c>
    </row>
    <row r="10" spans="2:5" ht="15.75">
      <c r="B10" s="766" t="s">
        <v>1067</v>
      </c>
      <c r="C10" s="230">
        <v>1260</v>
      </c>
      <c r="D10" s="230">
        <v>0</v>
      </c>
      <c r="E10" s="230">
        <v>0</v>
      </c>
    </row>
    <row r="11" spans="2:5" ht="15.75">
      <c r="B11" s="239"/>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29</v>
      </c>
      <c r="C16" s="230">
        <v>0</v>
      </c>
      <c r="D16" s="230">
        <v>1000</v>
      </c>
      <c r="E16" s="230">
        <v>1000</v>
      </c>
    </row>
    <row r="17" spans="2:5" ht="15.75">
      <c r="B17" s="139" t="s">
        <v>267</v>
      </c>
      <c r="C17" s="230">
        <v>0</v>
      </c>
      <c r="D17" s="228">
        <v>0</v>
      </c>
      <c r="E17" s="228">
        <v>0</v>
      </c>
    </row>
    <row r="18" spans="2:5" ht="15.75">
      <c r="B18" s="223" t="s">
        <v>785</v>
      </c>
      <c r="C18" s="370">
        <f>IF(C19*0.1&lt;C17,"Exceed 10% Rule","")</f>
      </c>
      <c r="D18" s="255">
        <f>IF(D19*0.1&lt;D17,"Exceed 10% Rule","")</f>
      </c>
      <c r="E18" s="255">
        <f>IF(E19*0.1&lt;E17,"Exceed 10% Rule","")</f>
      </c>
    </row>
    <row r="19" spans="2:5" ht="15.75">
      <c r="B19" s="233" t="s">
        <v>30</v>
      </c>
      <c r="C19" s="259">
        <f>SUM(C8:C17)</f>
        <v>1454080</v>
      </c>
      <c r="D19" s="259">
        <f>SUM(D8:D17)</f>
        <v>1185000</v>
      </c>
      <c r="E19" s="259">
        <f>SUM(E8:E17)</f>
        <v>1317000</v>
      </c>
    </row>
    <row r="20" spans="2:5" ht="15.75">
      <c r="B20" s="233" t="s">
        <v>31</v>
      </c>
      <c r="C20" s="259">
        <f>C6+C19</f>
        <v>1454080</v>
      </c>
      <c r="D20" s="259">
        <f>D6+D19</f>
        <v>1247470</v>
      </c>
      <c r="E20" s="259">
        <f>E6+E19</f>
        <v>1320800</v>
      </c>
    </row>
    <row r="21" spans="2:5" ht="15.75">
      <c r="B21" s="131" t="s">
        <v>33</v>
      </c>
      <c r="C21" s="68"/>
      <c r="D21" s="68"/>
      <c r="E21" s="68"/>
    </row>
    <row r="22" spans="2:5" ht="15.75">
      <c r="B22" s="766" t="s">
        <v>1036</v>
      </c>
      <c r="C22" s="230">
        <v>300090</v>
      </c>
      <c r="D22" s="230">
        <v>298700</v>
      </c>
      <c r="E22" s="230">
        <v>321700</v>
      </c>
    </row>
    <row r="23" spans="2:5" ht="15.75">
      <c r="B23" s="766" t="s">
        <v>1024</v>
      </c>
      <c r="C23" s="230">
        <v>754060</v>
      </c>
      <c r="D23" s="230">
        <v>565000</v>
      </c>
      <c r="E23" s="230">
        <v>607100</v>
      </c>
    </row>
    <row r="24" spans="2:5" ht="15.75">
      <c r="B24" s="766" t="s">
        <v>1037</v>
      </c>
      <c r="C24" s="88">
        <v>33690</v>
      </c>
      <c r="D24" s="88">
        <v>39000</v>
      </c>
      <c r="E24" s="88">
        <v>41500</v>
      </c>
    </row>
    <row r="25" spans="2:5" ht="15.75">
      <c r="B25" s="766" t="s">
        <v>1027</v>
      </c>
      <c r="C25" s="88">
        <v>21800</v>
      </c>
      <c r="D25" s="88">
        <v>49000</v>
      </c>
      <c r="E25" s="88">
        <v>57000</v>
      </c>
    </row>
    <row r="26" spans="2:5" ht="15.75">
      <c r="B26" s="766" t="s">
        <v>1039</v>
      </c>
      <c r="C26" s="88">
        <v>0</v>
      </c>
      <c r="D26" s="88">
        <v>5000</v>
      </c>
      <c r="E26" s="88">
        <v>5000</v>
      </c>
    </row>
    <row r="27" spans="2:5" ht="15.75">
      <c r="B27" s="766" t="s">
        <v>1038</v>
      </c>
      <c r="C27" s="88">
        <v>0</v>
      </c>
      <c r="D27" s="88">
        <v>0</v>
      </c>
      <c r="E27" s="88">
        <v>0</v>
      </c>
    </row>
    <row r="28" spans="2:5" ht="15.75">
      <c r="B28" s="766" t="s">
        <v>74</v>
      </c>
      <c r="C28" s="88">
        <v>0</v>
      </c>
      <c r="D28" s="88">
        <v>5000</v>
      </c>
      <c r="E28" s="88">
        <v>10000</v>
      </c>
    </row>
    <row r="29" spans="2:5" ht="15.75">
      <c r="B29" s="239"/>
      <c r="C29" s="88"/>
      <c r="D29" s="88"/>
      <c r="E29" s="88"/>
    </row>
    <row r="30" spans="2:5" ht="15.75">
      <c r="B30" s="239" t="s">
        <v>1068</v>
      </c>
      <c r="C30" s="88">
        <v>0</v>
      </c>
      <c r="D30" s="88">
        <v>0</v>
      </c>
      <c r="E30" s="88">
        <v>80000</v>
      </c>
    </row>
    <row r="31" spans="2:5" ht="15.75">
      <c r="B31" s="239" t="s">
        <v>1069</v>
      </c>
      <c r="C31" s="88">
        <v>0</v>
      </c>
      <c r="D31" s="88">
        <v>0</v>
      </c>
      <c r="E31" s="88">
        <v>194500</v>
      </c>
    </row>
    <row r="32" spans="2:5" ht="15.75">
      <c r="B32" s="239"/>
      <c r="C32" s="88"/>
      <c r="D32" s="88"/>
      <c r="E32" s="88"/>
    </row>
    <row r="33" spans="2:5" ht="15.75">
      <c r="B33" s="239" t="s">
        <v>1070</v>
      </c>
      <c r="C33" s="88">
        <v>81600</v>
      </c>
      <c r="D33" s="88">
        <v>81600</v>
      </c>
      <c r="E33" s="88">
        <v>0</v>
      </c>
    </row>
    <row r="34" spans="2:5" ht="15.75">
      <c r="B34" s="239" t="s">
        <v>1071</v>
      </c>
      <c r="C34" s="88">
        <v>200370</v>
      </c>
      <c r="D34" s="88">
        <v>200370</v>
      </c>
      <c r="E34" s="88">
        <v>0</v>
      </c>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f>IF(C47*0.1&lt;C45,"Exceed 10% Rule","")</f>
      </c>
      <c r="D46" s="255">
        <f>IF(D47*0.1&lt;D45,"Exceed 10% Rule","")</f>
      </c>
      <c r="E46" s="255">
        <f>IF(E47*0.1&lt;E45,"Exceed 10% Rule","")</f>
      </c>
    </row>
    <row r="47" spans="2:5" ht="15.75">
      <c r="B47" s="233" t="s">
        <v>37</v>
      </c>
      <c r="C47" s="259">
        <f>SUM(C22:C45)</f>
        <v>1391610</v>
      </c>
      <c r="D47" s="259">
        <f>SUM(D22:D45)</f>
        <v>1243670</v>
      </c>
      <c r="E47" s="259">
        <f>SUM(E22:E45)</f>
        <v>1316800</v>
      </c>
    </row>
    <row r="48" spans="2:5" ht="15.75">
      <c r="B48" s="131" t="s">
        <v>145</v>
      </c>
      <c r="C48" s="193">
        <f>C20-C47</f>
        <v>62470</v>
      </c>
      <c r="D48" s="193">
        <f>D20-D47</f>
        <v>3800</v>
      </c>
      <c r="E48" s="193">
        <f>E20-E47</f>
        <v>4000</v>
      </c>
    </row>
    <row r="49" spans="2:5" ht="15.75">
      <c r="B49" s="119" t="str">
        <f>CONCATENATE("",E1-2,"/",E1-1," Budget Authority Amount:")</f>
        <v>2011/2012 Budget Authority Amount:</v>
      </c>
      <c r="C49" s="183">
        <f>inputOth!B82</f>
        <v>1478370</v>
      </c>
      <c r="D49" s="183">
        <f>inputPrYr!D44</f>
        <v>1245430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40</v>
      </c>
      <c r="C53" s="250">
        <v>15</v>
      </c>
      <c r="D53" s="85"/>
      <c r="E53" s="85"/>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0">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Valley Center</v>
      </c>
      <c r="C1" s="22"/>
      <c r="D1" s="22"/>
      <c r="E1" s="185">
        <f>inputPrYr!$C$5</f>
        <v>2013</v>
      </c>
    </row>
    <row r="2" spans="2:5" ht="15.75">
      <c r="B2" s="22"/>
      <c r="C2" s="22"/>
      <c r="D2" s="22"/>
      <c r="E2" s="147"/>
    </row>
    <row r="3" spans="2:5" ht="15.75">
      <c r="B3" s="41" t="s">
        <v>90</v>
      </c>
      <c r="C3" s="265"/>
      <c r="D3" s="265"/>
      <c r="E3" s="266"/>
    </row>
    <row r="4" spans="2:5" ht="15.75">
      <c r="B4" s="29" t="s">
        <v>24</v>
      </c>
      <c r="C4" s="661" t="s">
        <v>802</v>
      </c>
      <c r="D4" s="662" t="s">
        <v>803</v>
      </c>
      <c r="E4" s="125" t="s">
        <v>804</v>
      </c>
    </row>
    <row r="5" spans="2:5" ht="15.75">
      <c r="B5" s="369" t="str">
        <f>inputPrYr!B45</f>
        <v>Sewer Utility</v>
      </c>
      <c r="C5" s="352" t="str">
        <f>CONCATENATE("Actual for ",E1-2,"")</f>
        <v>Actual for 2011</v>
      </c>
      <c r="D5" s="352" t="str">
        <f>CONCATENATE("Estimate for ",E1-1,"")</f>
        <v>Estimate for 2012</v>
      </c>
      <c r="E5" s="222" t="str">
        <f>CONCATENATE("Year for ",E1,"")</f>
        <v>Year for 2013</v>
      </c>
    </row>
    <row r="6" spans="2:5" ht="15.75">
      <c r="B6" s="131" t="s">
        <v>144</v>
      </c>
      <c r="C6" s="50">
        <v>0</v>
      </c>
      <c r="D6" s="193">
        <f>C48</f>
        <v>50980</v>
      </c>
      <c r="E6" s="193">
        <f>D48</f>
        <v>44080</v>
      </c>
    </row>
    <row r="7" spans="2:5" ht="15.75">
      <c r="B7" s="131" t="s">
        <v>146</v>
      </c>
      <c r="C7" s="68"/>
      <c r="D7" s="68"/>
      <c r="E7" s="68"/>
    </row>
    <row r="8" spans="2:5" ht="15.75">
      <c r="B8" s="767" t="s">
        <v>1066</v>
      </c>
      <c r="C8" s="230">
        <v>981670</v>
      </c>
      <c r="D8" s="230">
        <v>1000000</v>
      </c>
      <c r="E8" s="230">
        <v>990000</v>
      </c>
    </row>
    <row r="9" spans="2:5" ht="15.75">
      <c r="B9" s="766" t="s">
        <v>1034</v>
      </c>
      <c r="C9" s="230">
        <v>220</v>
      </c>
      <c r="D9" s="230">
        <v>0</v>
      </c>
      <c r="E9" s="230">
        <v>1000</v>
      </c>
    </row>
    <row r="10" spans="2:5" ht="15.75">
      <c r="B10" s="766" t="s">
        <v>1067</v>
      </c>
      <c r="C10" s="230">
        <v>0</v>
      </c>
      <c r="D10" s="230">
        <v>0</v>
      </c>
      <c r="E10" s="230">
        <v>0</v>
      </c>
    </row>
    <row r="11" spans="2:5" ht="15.75">
      <c r="B11" s="766" t="s">
        <v>74</v>
      </c>
      <c r="C11" s="230">
        <v>1700</v>
      </c>
      <c r="D11" s="230">
        <v>2000</v>
      </c>
      <c r="E11" s="230">
        <v>1800</v>
      </c>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29</v>
      </c>
      <c r="C16" s="230">
        <v>0</v>
      </c>
      <c r="D16" s="230">
        <v>200</v>
      </c>
      <c r="E16" s="230">
        <v>200</v>
      </c>
    </row>
    <row r="17" spans="2:5" ht="15.75">
      <c r="B17" s="139" t="s">
        <v>267</v>
      </c>
      <c r="C17" s="230">
        <v>0</v>
      </c>
      <c r="D17" s="228">
        <v>0</v>
      </c>
      <c r="E17" s="228">
        <v>0</v>
      </c>
    </row>
    <row r="18" spans="2:5" ht="15.75">
      <c r="B18" s="223" t="s">
        <v>785</v>
      </c>
      <c r="C18" s="370">
        <f>IF(C19*0.1&lt;C17,"Exceed 10% Rule","")</f>
      </c>
      <c r="D18" s="255">
        <f>IF(D19*0.1&lt;D17,"Exceed 10% Rule","")</f>
      </c>
      <c r="E18" s="255">
        <f>IF(E19*0.1&lt;E17,"Exceed 10% Rule","")</f>
      </c>
    </row>
    <row r="19" spans="2:5" ht="15.75">
      <c r="B19" s="233" t="s">
        <v>30</v>
      </c>
      <c r="C19" s="259">
        <f>SUM(C8:C17)</f>
        <v>983590</v>
      </c>
      <c r="D19" s="259">
        <f>SUM(D8:D17)</f>
        <v>1002200</v>
      </c>
      <c r="E19" s="259">
        <f>SUM(E8:E17)</f>
        <v>993000</v>
      </c>
    </row>
    <row r="20" spans="2:5" ht="15.75">
      <c r="B20" s="233" t="s">
        <v>31</v>
      </c>
      <c r="C20" s="259">
        <f>C6+C19</f>
        <v>983590</v>
      </c>
      <c r="D20" s="259">
        <f>D6+D19</f>
        <v>1053180</v>
      </c>
      <c r="E20" s="259">
        <f>E6+E19</f>
        <v>1037080</v>
      </c>
    </row>
    <row r="21" spans="2:5" ht="15.75">
      <c r="B21" s="131" t="s">
        <v>33</v>
      </c>
      <c r="C21" s="68"/>
      <c r="D21" s="68"/>
      <c r="E21" s="68"/>
    </row>
    <row r="22" spans="2:5" ht="15.75">
      <c r="B22" s="766" t="s">
        <v>1036</v>
      </c>
      <c r="C22" s="230">
        <v>169140</v>
      </c>
      <c r="D22" s="230">
        <v>237800</v>
      </c>
      <c r="E22" s="230">
        <v>232800</v>
      </c>
    </row>
    <row r="23" spans="2:5" ht="15.75">
      <c r="B23" s="766" t="s">
        <v>1024</v>
      </c>
      <c r="C23" s="230">
        <v>307210</v>
      </c>
      <c r="D23" s="230">
        <v>304100</v>
      </c>
      <c r="E23" s="230">
        <v>326700</v>
      </c>
    </row>
    <row r="24" spans="2:5" ht="15.75">
      <c r="B24" s="766" t="s">
        <v>1037</v>
      </c>
      <c r="C24" s="88">
        <v>23180</v>
      </c>
      <c r="D24" s="88">
        <v>27200</v>
      </c>
      <c r="E24" s="88">
        <v>28700</v>
      </c>
    </row>
    <row r="25" spans="2:5" ht="15.75">
      <c r="B25" s="766" t="s">
        <v>1027</v>
      </c>
      <c r="C25" s="88">
        <v>23580</v>
      </c>
      <c r="D25" s="88">
        <v>19000</v>
      </c>
      <c r="E25" s="88">
        <v>26500</v>
      </c>
    </row>
    <row r="26" spans="2:5" ht="15.75">
      <c r="B26" s="766" t="s">
        <v>1039</v>
      </c>
      <c r="C26" s="88">
        <v>500</v>
      </c>
      <c r="D26" s="88">
        <v>500</v>
      </c>
      <c r="E26" s="88">
        <v>500</v>
      </c>
    </row>
    <row r="27" spans="2:5" ht="15.75">
      <c r="B27" s="766" t="s">
        <v>1038</v>
      </c>
      <c r="C27" s="88">
        <v>180500</v>
      </c>
      <c r="D27" s="88">
        <v>180500</v>
      </c>
      <c r="E27" s="88">
        <v>186400</v>
      </c>
    </row>
    <row r="28" spans="2:5" ht="15.75">
      <c r="B28" s="766" t="s">
        <v>74</v>
      </c>
      <c r="C28" s="88">
        <v>0</v>
      </c>
      <c r="D28" s="88">
        <v>30000</v>
      </c>
      <c r="E28" s="88">
        <v>25000</v>
      </c>
    </row>
    <row r="29" spans="2:5" ht="15.75">
      <c r="B29" s="239"/>
      <c r="C29" s="88"/>
      <c r="D29" s="88"/>
      <c r="E29" s="88"/>
    </row>
    <row r="30" spans="2:5" ht="15.75">
      <c r="B30" s="239" t="s">
        <v>1072</v>
      </c>
      <c r="C30" s="88">
        <v>228500</v>
      </c>
      <c r="D30" s="88">
        <v>210000</v>
      </c>
      <c r="E30" s="88">
        <v>210000</v>
      </c>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v>0</v>
      </c>
      <c r="D45" s="228">
        <v>0</v>
      </c>
      <c r="E45" s="228">
        <v>0</v>
      </c>
    </row>
    <row r="46" spans="2:5" ht="15.75">
      <c r="B46" s="240" t="s">
        <v>786</v>
      </c>
      <c r="C46" s="370">
        <f>IF(C47*0.1&lt;C45,"Exceed 10% Rule","")</f>
      </c>
      <c r="D46" s="255">
        <f>IF(D47*0.1&lt;D45,"Exceed 10% Rule","")</f>
      </c>
      <c r="E46" s="255">
        <f>IF(E47*0.1&lt;E45,"Exceed 10% Rule","")</f>
      </c>
    </row>
    <row r="47" spans="2:5" ht="15.75">
      <c r="B47" s="233" t="s">
        <v>37</v>
      </c>
      <c r="C47" s="259">
        <f>SUM(C22:C45)</f>
        <v>932610</v>
      </c>
      <c r="D47" s="259">
        <f>SUM(D22:D45)</f>
        <v>1009100</v>
      </c>
      <c r="E47" s="259">
        <f>SUM(E22:E45)</f>
        <v>1036600</v>
      </c>
    </row>
    <row r="48" spans="2:5" ht="15.75">
      <c r="B48" s="131" t="s">
        <v>145</v>
      </c>
      <c r="C48" s="193">
        <f>C20-C47</f>
        <v>50980</v>
      </c>
      <c r="D48" s="193">
        <f>D20-D47</f>
        <v>44080</v>
      </c>
      <c r="E48" s="193">
        <f>E20-E47</f>
        <v>480</v>
      </c>
    </row>
    <row r="49" spans="2:5" ht="15.75">
      <c r="B49" s="119" t="str">
        <f>CONCATENATE("",E1-2,"/",E1-1," Budget Authority Amount:")</f>
        <v>2011/2012 Budget Authority Amount:</v>
      </c>
      <c r="C49" s="183">
        <f>inputOth!B83</f>
        <v>1029700</v>
      </c>
      <c r="D49" s="183">
        <f>inputPrYr!D45</f>
        <v>1039600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40</v>
      </c>
      <c r="C53" s="250">
        <v>16</v>
      </c>
      <c r="D53" s="85"/>
      <c r="E53" s="85"/>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0">
      <selection activeCell="E13" sqref="E13"/>
    </sheetView>
  </sheetViews>
  <sheetFormatPr defaultColWidth="8.796875" defaultRowHeight="15"/>
  <cols>
    <col min="1" max="1" width="2.3984375" style="83" customWidth="1"/>
    <col min="2" max="2" width="31.09765625" style="83" customWidth="1"/>
    <col min="3" max="4" width="15.796875" style="83" customWidth="1"/>
    <col min="5" max="5" width="16.3984375" style="83" customWidth="1"/>
    <col min="6" max="16384" width="8.8984375" style="83" customWidth="1"/>
  </cols>
  <sheetData>
    <row r="1" spans="2:5" ht="15.75">
      <c r="B1" s="151" t="str">
        <f>inputPrYr!D2</f>
        <v>Valley Center</v>
      </c>
      <c r="C1" s="22"/>
      <c r="D1" s="22"/>
      <c r="E1" s="185">
        <f>inputPrYr!$C$5</f>
        <v>2013</v>
      </c>
    </row>
    <row r="2" spans="2:5" ht="15.75">
      <c r="B2" s="22"/>
      <c r="C2" s="22"/>
      <c r="D2" s="22"/>
      <c r="E2" s="147"/>
    </row>
    <row r="3" spans="2:5" ht="15.75">
      <c r="B3" s="41" t="s">
        <v>90</v>
      </c>
      <c r="C3" s="265"/>
      <c r="D3" s="265"/>
      <c r="E3" s="266"/>
    </row>
    <row r="4" spans="2:5" ht="15.75">
      <c r="B4" s="29" t="s">
        <v>24</v>
      </c>
      <c r="C4" s="661" t="s">
        <v>802</v>
      </c>
      <c r="D4" s="662" t="s">
        <v>803</v>
      </c>
      <c r="E4" s="125" t="s">
        <v>804</v>
      </c>
    </row>
    <row r="5" spans="2:5" ht="15.75">
      <c r="B5" s="369" t="str">
        <f>inputPrYr!B46</f>
        <v>Storm Water Utility</v>
      </c>
      <c r="C5" s="352" t="str">
        <f>CONCATENATE("Actual for ",E1-2,"")</f>
        <v>Actual for 2011</v>
      </c>
      <c r="D5" s="352" t="str">
        <f>CONCATENATE("Estimate for ",E1-1,"")</f>
        <v>Estimate for 2012</v>
      </c>
      <c r="E5" s="222" t="str">
        <f>CONCATENATE("Year for ",E1,"")</f>
        <v>Year for 2013</v>
      </c>
    </row>
    <row r="6" spans="2:5" ht="15.75">
      <c r="B6" s="131" t="s">
        <v>144</v>
      </c>
      <c r="C6" s="50">
        <v>100</v>
      </c>
      <c r="D6" s="193">
        <f>C48</f>
        <v>90</v>
      </c>
      <c r="E6" s="193">
        <f>D48</f>
        <v>2470</v>
      </c>
    </row>
    <row r="7" spans="2:5" ht="15.75">
      <c r="B7" s="131" t="s">
        <v>146</v>
      </c>
      <c r="C7" s="68"/>
      <c r="D7" s="68"/>
      <c r="E7" s="68"/>
    </row>
    <row r="8" spans="2:5" ht="15.75">
      <c r="B8" s="767" t="s">
        <v>1073</v>
      </c>
      <c r="C8" s="230">
        <v>45610</v>
      </c>
      <c r="D8" s="230">
        <v>49000</v>
      </c>
      <c r="E8" s="230">
        <v>82000</v>
      </c>
    </row>
    <row r="9" spans="2:5" ht="15.75">
      <c r="B9" s="766" t="s">
        <v>1034</v>
      </c>
      <c r="C9" s="230"/>
      <c r="D9" s="230"/>
      <c r="E9" s="230"/>
    </row>
    <row r="10" spans="2:5" ht="15.75">
      <c r="B10" s="766" t="s">
        <v>1067</v>
      </c>
      <c r="C10" s="230"/>
      <c r="D10" s="230"/>
      <c r="E10" s="230"/>
    </row>
    <row r="11" spans="2:5" ht="15.75">
      <c r="B11" s="766" t="s">
        <v>74</v>
      </c>
      <c r="C11" s="230"/>
      <c r="D11" s="230"/>
      <c r="E11" s="230"/>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29</v>
      </c>
      <c r="C16" s="230"/>
      <c r="D16" s="230"/>
      <c r="E16" s="230"/>
    </row>
    <row r="17" spans="2:5" ht="15.75">
      <c r="B17" s="139" t="s">
        <v>267</v>
      </c>
      <c r="C17" s="230"/>
      <c r="D17" s="228"/>
      <c r="E17" s="228"/>
    </row>
    <row r="18" spans="2:5" ht="15.75">
      <c r="B18" s="223" t="s">
        <v>785</v>
      </c>
      <c r="C18" s="370">
        <f>IF(C19*0.1&lt;C17,"Exceed 10% Rule","")</f>
      </c>
      <c r="D18" s="255">
        <f>IF(D19*0.1&lt;D17,"Exceed 10% Rule","")</f>
      </c>
      <c r="E18" s="255">
        <f>IF(E19*0.1&lt;E17,"Exceed 10% Rule","")</f>
      </c>
    </row>
    <row r="19" spans="2:5" ht="15.75">
      <c r="B19" s="233" t="s">
        <v>30</v>
      </c>
      <c r="C19" s="259">
        <f>SUM(C8:C17)</f>
        <v>45610</v>
      </c>
      <c r="D19" s="259">
        <f>SUM(D8:D17)</f>
        <v>49000</v>
      </c>
      <c r="E19" s="259">
        <f>SUM(E8:E17)</f>
        <v>82000</v>
      </c>
    </row>
    <row r="20" spans="2:5" ht="15.75">
      <c r="B20" s="233" t="s">
        <v>31</v>
      </c>
      <c r="C20" s="259">
        <f>C6+C19</f>
        <v>45710</v>
      </c>
      <c r="D20" s="259">
        <f>D6+D19</f>
        <v>49090</v>
      </c>
      <c r="E20" s="259">
        <f>E6+E19</f>
        <v>84470</v>
      </c>
    </row>
    <row r="21" spans="2:5" ht="15.75">
      <c r="B21" s="131" t="s">
        <v>33</v>
      </c>
      <c r="C21" s="68"/>
      <c r="D21" s="68"/>
      <c r="E21" s="68"/>
    </row>
    <row r="22" spans="2:5" ht="15.75">
      <c r="B22" s="766" t="s">
        <v>1036</v>
      </c>
      <c r="C22" s="230">
        <v>0</v>
      </c>
      <c r="D22" s="230">
        <v>0</v>
      </c>
      <c r="E22" s="230">
        <v>0</v>
      </c>
    </row>
    <row r="23" spans="2:5" ht="15.75">
      <c r="B23" s="766" t="s">
        <v>1024</v>
      </c>
      <c r="C23" s="230">
        <v>27540</v>
      </c>
      <c r="D23" s="230">
        <v>23150</v>
      </c>
      <c r="E23" s="230">
        <v>23150</v>
      </c>
    </row>
    <row r="24" spans="2:5" ht="15.75">
      <c r="B24" s="766" t="s">
        <v>1037</v>
      </c>
      <c r="C24" s="88">
        <v>650</v>
      </c>
      <c r="D24" s="88">
        <v>970</v>
      </c>
      <c r="E24" s="88">
        <v>200</v>
      </c>
    </row>
    <row r="25" spans="2:5" ht="15.75">
      <c r="B25" s="766" t="s">
        <v>1027</v>
      </c>
      <c r="C25" s="88">
        <v>0</v>
      </c>
      <c r="D25" s="88">
        <v>0</v>
      </c>
      <c r="E25" s="88">
        <v>0</v>
      </c>
    </row>
    <row r="26" spans="2:5" ht="15.75">
      <c r="B26" s="766" t="s">
        <v>1039</v>
      </c>
      <c r="C26" s="88">
        <v>0</v>
      </c>
      <c r="D26" s="88">
        <v>0</v>
      </c>
      <c r="E26" s="88">
        <v>0</v>
      </c>
    </row>
    <row r="27" spans="2:5" ht="15.75">
      <c r="B27" s="766" t="s">
        <v>1038</v>
      </c>
      <c r="C27" s="88">
        <v>17000</v>
      </c>
      <c r="D27" s="88">
        <v>20000</v>
      </c>
      <c r="E27" s="88">
        <v>20000</v>
      </c>
    </row>
    <row r="28" spans="2:5" ht="15.75">
      <c r="B28" s="766" t="s">
        <v>74</v>
      </c>
      <c r="C28" s="88">
        <v>430</v>
      </c>
      <c r="D28" s="88">
        <v>2500</v>
      </c>
      <c r="E28" s="88">
        <v>2000</v>
      </c>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c r="D45" s="228"/>
      <c r="E45" s="228"/>
    </row>
    <row r="46" spans="2:5" ht="15.75">
      <c r="B46" s="240" t="s">
        <v>786</v>
      </c>
      <c r="C46" s="370">
        <f>IF(C47*0.1&lt;C45,"Exceed 10% Rule","")</f>
      </c>
      <c r="D46" s="255">
        <f>IF(D47*0.1&lt;D45,"Exceed 10% Rule","")</f>
      </c>
      <c r="E46" s="255">
        <f>IF(E47*0.1&lt;E45,"Exceed 10% Rule","")</f>
      </c>
    </row>
    <row r="47" spans="2:5" ht="15.75">
      <c r="B47" s="233" t="s">
        <v>37</v>
      </c>
      <c r="C47" s="259">
        <f>SUM(C22:C45)</f>
        <v>45620</v>
      </c>
      <c r="D47" s="259">
        <f>SUM(D22:D45)</f>
        <v>46620</v>
      </c>
      <c r="E47" s="259">
        <f>SUM(E22:E45)</f>
        <v>45350</v>
      </c>
    </row>
    <row r="48" spans="2:5" ht="15.75">
      <c r="B48" s="131" t="s">
        <v>145</v>
      </c>
      <c r="C48" s="193">
        <f>C20-C47</f>
        <v>90</v>
      </c>
      <c r="D48" s="193">
        <f>D20-D47</f>
        <v>2470</v>
      </c>
      <c r="E48" s="193">
        <f>E20-E47</f>
        <v>39120</v>
      </c>
    </row>
    <row r="49" spans="2:5" ht="15.75">
      <c r="B49" s="119" t="str">
        <f>CONCATENATE("",E1-2,"/",E1-1," Budget Authority Amount:")</f>
        <v>2011/2012 Budget Authority Amount:</v>
      </c>
      <c r="C49" s="183">
        <f>inputOth!B84</f>
        <v>57500</v>
      </c>
      <c r="D49" s="183">
        <f>inputPrYr!D46</f>
        <v>47500</v>
      </c>
      <c r="E49" s="412">
        <f>IF(E48&lt;0,"See Tab E","")</f>
      </c>
    </row>
    <row r="50" spans="2:5" ht="15.75">
      <c r="B50" s="119"/>
      <c r="C50" s="244">
        <f>IF(C47&gt;C49,"See Tab A","")</f>
      </c>
      <c r="D50" s="244">
        <f>IF(D47&gt;D49,"See Tab C","")</f>
      </c>
      <c r="E50" s="85"/>
    </row>
    <row r="51" spans="2:5" ht="15.75">
      <c r="B51" s="119"/>
      <c r="C51" s="244">
        <f>IF(C48&lt;0,"See Tab B","")</f>
      </c>
      <c r="D51" s="244">
        <f>IF(D48&lt;0,"See Tab D","")</f>
      </c>
      <c r="E51" s="85"/>
    </row>
    <row r="52" spans="2:5" ht="15">
      <c r="B52" s="85"/>
      <c r="C52" s="85"/>
      <c r="D52" s="85"/>
      <c r="E52" s="85"/>
    </row>
    <row r="53" spans="2:5" ht="15.75">
      <c r="B53" s="119" t="s">
        <v>40</v>
      </c>
      <c r="C53" s="250">
        <v>17</v>
      </c>
      <c r="D53" s="85"/>
      <c r="E53" s="85"/>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40">
      <selection activeCell="C53" sqref="C53"/>
    </sheetView>
  </sheetViews>
  <sheetFormatPr defaultColWidth="8.796875" defaultRowHeight="15"/>
  <cols>
    <col min="1" max="1" width="2.3984375" style="83" customWidth="1"/>
    <col min="2" max="2" width="31.09765625" style="83" customWidth="1"/>
    <col min="3" max="4" width="15.796875" style="83" customWidth="1"/>
    <col min="5" max="5" width="16.19921875" style="83" customWidth="1"/>
    <col min="6" max="16384" width="8.8984375" style="83" customWidth="1"/>
  </cols>
  <sheetData>
    <row r="1" spans="2:5" ht="15.75">
      <c r="B1" s="151" t="str">
        <f>inputPrYr!D2</f>
        <v>Valley Center</v>
      </c>
      <c r="C1" s="22"/>
      <c r="D1" s="22"/>
      <c r="E1" s="185">
        <f>inputPrYr!$C$5</f>
        <v>2013</v>
      </c>
    </row>
    <row r="2" spans="2:5" ht="15.75">
      <c r="B2" s="22"/>
      <c r="C2" s="22"/>
      <c r="D2" s="22"/>
      <c r="E2" s="147"/>
    </row>
    <row r="3" spans="2:5" ht="15.75">
      <c r="B3" s="41" t="s">
        <v>90</v>
      </c>
      <c r="C3" s="265"/>
      <c r="D3" s="265"/>
      <c r="E3" s="266"/>
    </row>
    <row r="4" spans="2:5" ht="15.75">
      <c r="B4" s="29" t="s">
        <v>24</v>
      </c>
      <c r="C4" s="661" t="s">
        <v>802</v>
      </c>
      <c r="D4" s="662" t="s">
        <v>803</v>
      </c>
      <c r="E4" s="125" t="s">
        <v>804</v>
      </c>
    </row>
    <row r="5" spans="2:5" ht="15.75">
      <c r="B5" s="368" t="str">
        <f>inputPrYr!B47</f>
        <v>Solid Waste Utility</v>
      </c>
      <c r="C5" s="352" t="str">
        <f>CONCATENATE("Actual for ",E1-2,"")</f>
        <v>Actual for 2011</v>
      </c>
      <c r="D5" s="352" t="str">
        <f>CONCATENATE("Estimate for ",E1-1,"")</f>
        <v>Estimate for 2012</v>
      </c>
      <c r="E5" s="222" t="str">
        <f>CONCATENATE("Year for ",E1,"")</f>
        <v>Year for 2013</v>
      </c>
    </row>
    <row r="6" spans="2:5" ht="15.75">
      <c r="B6" s="131" t="s">
        <v>144</v>
      </c>
      <c r="C6" s="50">
        <v>0</v>
      </c>
      <c r="D6" s="193">
        <f>C48</f>
        <v>51140</v>
      </c>
      <c r="E6" s="193">
        <f>D48</f>
        <v>78840</v>
      </c>
    </row>
    <row r="7" spans="2:5" ht="15.75">
      <c r="B7" s="131" t="s">
        <v>146</v>
      </c>
      <c r="C7" s="68"/>
      <c r="D7" s="68"/>
      <c r="E7" s="68"/>
    </row>
    <row r="8" spans="2:5" ht="15.75">
      <c r="B8" s="767" t="s">
        <v>1066</v>
      </c>
      <c r="C8" s="230">
        <v>357600</v>
      </c>
      <c r="D8" s="230">
        <v>327300</v>
      </c>
      <c r="E8" s="230">
        <v>332200</v>
      </c>
    </row>
    <row r="9" spans="2:5" ht="15.75">
      <c r="B9" s="766" t="s">
        <v>1034</v>
      </c>
      <c r="C9" s="230">
        <v>0</v>
      </c>
      <c r="D9" s="230">
        <v>0</v>
      </c>
      <c r="E9" s="230">
        <v>0</v>
      </c>
    </row>
    <row r="10" spans="2:5" ht="15.75">
      <c r="B10" s="766" t="s">
        <v>1067</v>
      </c>
      <c r="C10" s="230">
        <v>0</v>
      </c>
      <c r="D10" s="230">
        <v>0</v>
      </c>
      <c r="E10" s="230">
        <v>0</v>
      </c>
    </row>
    <row r="11" spans="2:5" ht="15.75">
      <c r="B11" s="766" t="s">
        <v>74</v>
      </c>
      <c r="C11" s="230">
        <v>310</v>
      </c>
      <c r="D11" s="230">
        <v>300</v>
      </c>
      <c r="E11" s="230">
        <v>500</v>
      </c>
    </row>
    <row r="12" spans="2:5" ht="15.75">
      <c r="B12" s="239"/>
      <c r="C12" s="230"/>
      <c r="D12" s="230"/>
      <c r="E12" s="230"/>
    </row>
    <row r="13" spans="2:5" ht="15.75">
      <c r="B13" s="239"/>
      <c r="C13" s="230"/>
      <c r="D13" s="230"/>
      <c r="E13" s="230"/>
    </row>
    <row r="14" spans="2:5" ht="15.75">
      <c r="B14" s="262"/>
      <c r="C14" s="88"/>
      <c r="D14" s="88"/>
      <c r="E14" s="88"/>
    </row>
    <row r="15" spans="2:5" ht="15.75">
      <c r="B15" s="239"/>
      <c r="C15" s="230"/>
      <c r="D15" s="230"/>
      <c r="E15" s="230"/>
    </row>
    <row r="16" spans="2:5" ht="15.75">
      <c r="B16" s="267" t="s">
        <v>29</v>
      </c>
      <c r="C16" s="230">
        <v>0</v>
      </c>
      <c r="D16" s="230">
        <v>0</v>
      </c>
      <c r="E16" s="230">
        <v>0</v>
      </c>
    </row>
    <row r="17" spans="2:5" ht="15.75">
      <c r="B17" s="139" t="s">
        <v>267</v>
      </c>
      <c r="C17" s="230">
        <v>0</v>
      </c>
      <c r="D17" s="228">
        <v>0</v>
      </c>
      <c r="E17" s="228">
        <v>0</v>
      </c>
    </row>
    <row r="18" spans="2:5" ht="15.75">
      <c r="B18" s="223" t="s">
        <v>785</v>
      </c>
      <c r="C18" s="370">
        <f>IF(C19*0.1&lt;C17,"Exceed 10% Rule","")</f>
      </c>
      <c r="D18" s="255">
        <f>IF(D19*0.1&lt;D17,"Exceed 10% Rule","")</f>
      </c>
      <c r="E18" s="255">
        <f>IF(E19*0.1&lt;E17,"Exceed 10% Rule","")</f>
      </c>
    </row>
    <row r="19" spans="2:5" ht="15.75">
      <c r="B19" s="233" t="s">
        <v>30</v>
      </c>
      <c r="C19" s="259">
        <f>SUM(C8:C17)</f>
        <v>357910</v>
      </c>
      <c r="D19" s="259">
        <f>SUM(D8:D17)</f>
        <v>327600</v>
      </c>
      <c r="E19" s="259">
        <f>SUM(E8:E17)</f>
        <v>332700</v>
      </c>
    </row>
    <row r="20" spans="2:5" ht="15.75">
      <c r="B20" s="233" t="s">
        <v>31</v>
      </c>
      <c r="C20" s="259">
        <f>C6+C19</f>
        <v>357910</v>
      </c>
      <c r="D20" s="259">
        <f>D6+D19</f>
        <v>378740</v>
      </c>
      <c r="E20" s="259">
        <f>E6+E19</f>
        <v>411540</v>
      </c>
    </row>
    <row r="21" spans="2:5" ht="15.75">
      <c r="B21" s="131" t="s">
        <v>33</v>
      </c>
      <c r="C21" s="68"/>
      <c r="D21" s="68"/>
      <c r="E21" s="68"/>
    </row>
    <row r="22" spans="2:5" ht="15.75">
      <c r="B22" s="766" t="s">
        <v>1036</v>
      </c>
      <c r="C22" s="230">
        <v>0</v>
      </c>
      <c r="D22" s="230">
        <v>0</v>
      </c>
      <c r="E22" s="230">
        <v>0</v>
      </c>
    </row>
    <row r="23" spans="2:5" ht="15.75">
      <c r="B23" s="766" t="s">
        <v>1024</v>
      </c>
      <c r="C23" s="230">
        <v>303640</v>
      </c>
      <c r="D23" s="230">
        <v>290900</v>
      </c>
      <c r="E23" s="230">
        <v>323500</v>
      </c>
    </row>
    <row r="24" spans="2:5" ht="15.75">
      <c r="B24" s="766" t="s">
        <v>1037</v>
      </c>
      <c r="C24" s="88">
        <v>160</v>
      </c>
      <c r="D24" s="88">
        <v>0</v>
      </c>
      <c r="E24" s="88">
        <v>0</v>
      </c>
    </row>
    <row r="25" spans="2:5" ht="15.75">
      <c r="B25" s="766" t="s">
        <v>1027</v>
      </c>
      <c r="C25" s="88">
        <v>0</v>
      </c>
      <c r="D25" s="88">
        <v>9000</v>
      </c>
      <c r="E25" s="88">
        <v>9000</v>
      </c>
    </row>
    <row r="26" spans="2:5" ht="15.75">
      <c r="B26" s="766" t="s">
        <v>74</v>
      </c>
      <c r="C26" s="88">
        <v>2970</v>
      </c>
      <c r="D26" s="88">
        <v>0</v>
      </c>
      <c r="E26" s="88">
        <v>0</v>
      </c>
    </row>
    <row r="27" spans="2:5" ht="15.75">
      <c r="B27" s="766"/>
      <c r="C27" s="88"/>
      <c r="D27" s="88"/>
      <c r="E27" s="88"/>
    </row>
    <row r="28" spans="2:5" ht="15.75">
      <c r="B28" s="766"/>
      <c r="C28" s="88"/>
      <c r="D28" s="88"/>
      <c r="E28" s="88"/>
    </row>
    <row r="29" spans="2:5" ht="15.75">
      <c r="B29" s="239"/>
      <c r="C29" s="88"/>
      <c r="D29" s="88"/>
      <c r="E29" s="88"/>
    </row>
    <row r="30" spans="2:5" ht="15.75">
      <c r="B30" s="239"/>
      <c r="C30" s="88"/>
      <c r="D30" s="88"/>
      <c r="E30" s="88"/>
    </row>
    <row r="31" spans="2:5" ht="15.75">
      <c r="B31" s="239"/>
      <c r="C31" s="88"/>
      <c r="D31" s="88"/>
      <c r="E31" s="88"/>
    </row>
    <row r="32" spans="2:5" ht="15.75">
      <c r="B32" s="239"/>
      <c r="C32" s="88"/>
      <c r="D32" s="88"/>
      <c r="E32" s="88"/>
    </row>
    <row r="33" spans="2:5" ht="15.75">
      <c r="B33" s="239"/>
      <c r="C33" s="88"/>
      <c r="D33" s="88"/>
      <c r="E33" s="88"/>
    </row>
    <row r="34" spans="2:5" ht="15.75">
      <c r="B34" s="239"/>
      <c r="C34" s="88"/>
      <c r="D34" s="88"/>
      <c r="E34" s="88"/>
    </row>
    <row r="35" spans="2:5" ht="15.75">
      <c r="B35" s="239"/>
      <c r="C35" s="230"/>
      <c r="D35" s="230"/>
      <c r="E35" s="230"/>
    </row>
    <row r="36" spans="2:5" ht="15.75">
      <c r="B36" s="239"/>
      <c r="C36" s="230"/>
      <c r="D36" s="230"/>
      <c r="E36" s="230"/>
    </row>
    <row r="37" spans="2:5" ht="15.75">
      <c r="B37" s="239"/>
      <c r="C37" s="230"/>
      <c r="D37" s="230"/>
      <c r="E37" s="230"/>
    </row>
    <row r="38" spans="2:5" ht="15.75">
      <c r="B38" s="239"/>
      <c r="C38" s="230"/>
      <c r="D38" s="230"/>
      <c r="E38" s="230"/>
    </row>
    <row r="39" spans="2:5" ht="15.75">
      <c r="B39" s="239"/>
      <c r="C39" s="230"/>
      <c r="D39" s="230"/>
      <c r="E39" s="230"/>
    </row>
    <row r="40" spans="2:5" ht="15.75">
      <c r="B40" s="239"/>
      <c r="C40" s="230"/>
      <c r="D40" s="230"/>
      <c r="E40" s="230"/>
    </row>
    <row r="41" spans="2:5" ht="15.75">
      <c r="B41" s="239"/>
      <c r="C41" s="230"/>
      <c r="D41" s="230"/>
      <c r="E41" s="230"/>
    </row>
    <row r="42" spans="2:5" ht="15.75">
      <c r="B42" s="239"/>
      <c r="C42" s="230"/>
      <c r="D42" s="230"/>
      <c r="E42" s="230"/>
    </row>
    <row r="43" spans="2:5" ht="15.75">
      <c r="B43" s="239"/>
      <c r="C43" s="230"/>
      <c r="D43" s="230"/>
      <c r="E43" s="230"/>
    </row>
    <row r="44" spans="2:5" ht="15.75">
      <c r="B44" s="239"/>
      <c r="C44" s="230"/>
      <c r="D44" s="230"/>
      <c r="E44" s="230"/>
    </row>
    <row r="45" spans="2:5" ht="15.75">
      <c r="B45" s="240" t="s">
        <v>267</v>
      </c>
      <c r="C45" s="230">
        <v>0</v>
      </c>
      <c r="D45" s="228">
        <v>0</v>
      </c>
      <c r="E45" s="228">
        <v>0</v>
      </c>
    </row>
    <row r="46" spans="2:5" ht="15.75">
      <c r="B46" s="240" t="s">
        <v>786</v>
      </c>
      <c r="C46" s="370">
        <f>IF(C47*0.1&lt;C45,"Exceed 10% Rule","")</f>
      </c>
      <c r="D46" s="255">
        <f>IF(D47*0.1&lt;D45,"Exceed 10% Rule","")</f>
      </c>
      <c r="E46" s="255">
        <f>IF(E47*0.1&lt;E45,"Exceed 10% Rule","")</f>
      </c>
    </row>
    <row r="47" spans="2:5" ht="15.75">
      <c r="B47" s="233" t="s">
        <v>37</v>
      </c>
      <c r="C47" s="259">
        <f>SUM(C22:C45)</f>
        <v>306770</v>
      </c>
      <c r="D47" s="259">
        <f>SUM(D22:D45)</f>
        <v>299900</v>
      </c>
      <c r="E47" s="259">
        <f>SUM(E22:E45)</f>
        <v>332500</v>
      </c>
    </row>
    <row r="48" spans="2:5" ht="15.75">
      <c r="B48" s="131" t="s">
        <v>145</v>
      </c>
      <c r="C48" s="193">
        <f>C20-C47</f>
        <v>51140</v>
      </c>
      <c r="D48" s="193">
        <f>D20-D47</f>
        <v>78840</v>
      </c>
      <c r="E48" s="193">
        <f>E20-E47</f>
        <v>79040</v>
      </c>
    </row>
    <row r="49" spans="2:5" ht="15.75">
      <c r="B49" s="119" t="str">
        <f>CONCATENATE("",E1-2,"/",E1-1," Budget Authority Amount:")</f>
        <v>2011/2012 Budget Authority Amount:</v>
      </c>
      <c r="C49" s="183">
        <f>inputOth!B85</f>
        <v>350000</v>
      </c>
      <c r="D49" s="183">
        <f>inputPrYr!D47</f>
        <v>299900</v>
      </c>
      <c r="E49" s="412">
        <f>IF(E48&lt;0,"See Tab E","")</f>
      </c>
    </row>
    <row r="50" spans="2:5" ht="15.75">
      <c r="B50" s="119"/>
      <c r="C50" s="244">
        <f>IF(C47&gt;C49,"See Tab A","")</f>
      </c>
      <c r="D50" s="244">
        <f>IF(D47&gt;D49,"See Tab C","")</f>
      </c>
      <c r="E50" s="171"/>
    </row>
    <row r="51" spans="2:5" ht="15.75">
      <c r="B51" s="119"/>
      <c r="C51" s="244">
        <f>IF(C48&lt;0,"See Tab B","")</f>
      </c>
      <c r="D51" s="244">
        <f>IF(D48&lt;0,"See Tab D","")</f>
      </c>
      <c r="E51" s="171"/>
    </row>
    <row r="52" spans="2:5" ht="15">
      <c r="B52" s="85"/>
      <c r="C52" s="85"/>
      <c r="D52" s="85"/>
      <c r="E52" s="85"/>
    </row>
    <row r="53" spans="2:5" ht="15.75">
      <c r="B53" s="119" t="s">
        <v>40</v>
      </c>
      <c r="C53" s="250">
        <v>18</v>
      </c>
      <c r="D53" s="85"/>
      <c r="E53" s="85"/>
    </row>
  </sheetData>
  <sheetProtection sheet="1"/>
  <conditionalFormatting sqref="C17">
    <cfRule type="cellIs" priority="2" dxfId="114" operator="greaterThan" stopIfTrue="1">
      <formula>$C$19*0.1</formula>
    </cfRule>
  </conditionalFormatting>
  <conditionalFormatting sqref="D17">
    <cfRule type="cellIs" priority="3" dxfId="114" operator="greaterThan" stopIfTrue="1">
      <formula>$D$19*0.1</formula>
    </cfRule>
  </conditionalFormatting>
  <conditionalFormatting sqref="E17">
    <cfRule type="cellIs" priority="4" dxfId="114" operator="greaterThan" stopIfTrue="1">
      <formula>$E$19*0.1</formula>
    </cfRule>
  </conditionalFormatting>
  <conditionalFormatting sqref="C45">
    <cfRule type="cellIs" priority="5" dxfId="114" operator="greaterThan" stopIfTrue="1">
      <formula>$C$47*0.1</formula>
    </cfRule>
  </conditionalFormatting>
  <conditionalFormatting sqref="D45">
    <cfRule type="cellIs" priority="6" dxfId="114" operator="greaterThan" stopIfTrue="1">
      <formula>$D$47*0.1</formula>
    </cfRule>
  </conditionalFormatting>
  <conditionalFormatting sqref="E45">
    <cfRule type="cellIs" priority="7" dxfId="114" operator="greaterThan" stopIfTrue="1">
      <formula>$E$47*0.1</formula>
    </cfRule>
  </conditionalFormatting>
  <printOptions/>
  <pageMargins left="0.75" right="0.75" top="1" bottom="1" header="0.5" footer="0.5"/>
  <pageSetup blackAndWhite="1" fitToHeight="1" fitToWidth="1" horizontalDpi="600" verticalDpi="600" orientation="portrait" scale="85"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181</v>
      </c>
      <c r="G1" s="86"/>
      <c r="H1" s="86"/>
      <c r="I1" s="86"/>
      <c r="J1" s="86"/>
      <c r="K1" s="86">
        <f>inputPrYr!$C$5</f>
        <v>2013</v>
      </c>
    </row>
    <row r="2" spans="1:11" ht="15.75">
      <c r="A2" s="86"/>
      <c r="B2" s="86"/>
      <c r="C2" s="86"/>
      <c r="D2" s="86"/>
      <c r="E2" s="86"/>
      <c r="F2" s="270" t="str">
        <f>CONCATENATE("(Only the actual budget year for ",K1-2," is to be shown)")</f>
        <v>(Only the actual budget year for 2011 is to be shown)</v>
      </c>
      <c r="G2" s="86"/>
      <c r="H2" s="86"/>
      <c r="I2" s="86"/>
      <c r="J2" s="86"/>
      <c r="K2" s="86"/>
    </row>
    <row r="3" spans="1:11" ht="15.75">
      <c r="A3" s="86" t="s">
        <v>212</v>
      </c>
      <c r="B3" s="86"/>
      <c r="C3" s="86"/>
      <c r="D3" s="86"/>
      <c r="E3" s="86"/>
      <c r="F3" s="268"/>
      <c r="G3" s="86"/>
      <c r="H3" s="86"/>
      <c r="I3" s="86"/>
      <c r="J3" s="86"/>
      <c r="K3" s="86"/>
    </row>
    <row r="4" spans="1:11" ht="15.75">
      <c r="A4" s="86" t="s">
        <v>189</v>
      </c>
      <c r="B4" s="86"/>
      <c r="C4" s="86" t="s">
        <v>190</v>
      </c>
      <c r="D4" s="86"/>
      <c r="E4" s="86" t="s">
        <v>191</v>
      </c>
      <c r="F4" s="268"/>
      <c r="G4" s="86" t="s">
        <v>192</v>
      </c>
      <c r="H4" s="86"/>
      <c r="I4" s="86" t="s">
        <v>193</v>
      </c>
      <c r="J4" s="86"/>
      <c r="K4" s="86"/>
    </row>
    <row r="5" spans="1:11" ht="15.75">
      <c r="A5" s="841" t="str">
        <f>inputPrYr!$B51</f>
        <v>08 KDHE Sewer Loan</v>
      </c>
      <c r="B5" s="842"/>
      <c r="C5" s="841" t="str">
        <f>inputPrYr!$B52</f>
        <v>00 KDHE Water Loan</v>
      </c>
      <c r="D5" s="842"/>
      <c r="E5" s="841" t="str">
        <f>inputPrYr!$B53</f>
        <v>07 KDHE Water Loan</v>
      </c>
      <c r="F5" s="842"/>
      <c r="G5" s="841">
        <f>inputPrYr!$B54</f>
        <v>0</v>
      </c>
      <c r="H5" s="842"/>
      <c r="I5" s="841">
        <f>inputPrYr!$B55</f>
        <v>0</v>
      </c>
      <c r="J5" s="842"/>
      <c r="K5" s="107"/>
    </row>
    <row r="6" spans="1:11" ht="15.75">
      <c r="A6" s="272" t="s">
        <v>178</v>
      </c>
      <c r="B6" s="273"/>
      <c r="C6" s="274" t="s">
        <v>178</v>
      </c>
      <c r="D6" s="275"/>
      <c r="E6" s="274" t="s">
        <v>178</v>
      </c>
      <c r="F6" s="276"/>
      <c r="G6" s="274" t="s">
        <v>178</v>
      </c>
      <c r="H6" s="271"/>
      <c r="I6" s="274" t="s">
        <v>178</v>
      </c>
      <c r="J6" s="86"/>
      <c r="K6" s="277" t="s">
        <v>331</v>
      </c>
    </row>
    <row r="7" spans="1:11" ht="15.75">
      <c r="A7" s="278" t="s">
        <v>275</v>
      </c>
      <c r="B7" s="279">
        <v>0</v>
      </c>
      <c r="C7" s="280" t="s">
        <v>275</v>
      </c>
      <c r="D7" s="279"/>
      <c r="E7" s="280" t="s">
        <v>275</v>
      </c>
      <c r="F7" s="279">
        <v>0</v>
      </c>
      <c r="G7" s="280" t="s">
        <v>275</v>
      </c>
      <c r="H7" s="279"/>
      <c r="I7" s="280" t="s">
        <v>275</v>
      </c>
      <c r="J7" s="279"/>
      <c r="K7" s="281">
        <f>SUM(B7+D7+F7+H7+J7)</f>
        <v>0</v>
      </c>
    </row>
    <row r="8" spans="1:11" ht="15.75">
      <c r="A8" s="282" t="s">
        <v>146</v>
      </c>
      <c r="B8" s="283"/>
      <c r="C8" s="282" t="s">
        <v>146</v>
      </c>
      <c r="D8" s="284"/>
      <c r="E8" s="282" t="s">
        <v>146</v>
      </c>
      <c r="F8" s="268"/>
      <c r="G8" s="282" t="s">
        <v>146</v>
      </c>
      <c r="H8" s="86"/>
      <c r="I8" s="282" t="s">
        <v>146</v>
      </c>
      <c r="J8" s="86"/>
      <c r="K8" s="268"/>
    </row>
    <row r="9" spans="1:11" ht="15.75">
      <c r="A9" s="285" t="s">
        <v>1074</v>
      </c>
      <c r="B9" s="279">
        <v>228500</v>
      </c>
      <c r="C9" s="285" t="s">
        <v>1079</v>
      </c>
      <c r="D9" s="279">
        <v>200370</v>
      </c>
      <c r="E9" s="285" t="s">
        <v>1079</v>
      </c>
      <c r="F9" s="279">
        <v>81600</v>
      </c>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30</v>
      </c>
      <c r="B17" s="281">
        <f>SUM(B9:B16)</f>
        <v>228500</v>
      </c>
      <c r="C17" s="282" t="s">
        <v>30</v>
      </c>
      <c r="D17" s="295">
        <f>SUM(D9:D16)</f>
        <v>200370</v>
      </c>
      <c r="E17" s="282" t="s">
        <v>30</v>
      </c>
      <c r="F17" s="296">
        <f>SUM(F9:F16)</f>
        <v>81600</v>
      </c>
      <c r="G17" s="282" t="s">
        <v>30</v>
      </c>
      <c r="H17" s="295">
        <f>SUM(H9:H16)</f>
        <v>0</v>
      </c>
      <c r="I17" s="282" t="s">
        <v>30</v>
      </c>
      <c r="J17" s="295">
        <f>SUM(J9:J16)</f>
        <v>0</v>
      </c>
      <c r="K17" s="281">
        <f>SUM(B17+D17+F17+H17+J17)</f>
        <v>510470</v>
      </c>
    </row>
    <row r="18" spans="1:11" ht="15.75">
      <c r="A18" s="282" t="s">
        <v>31</v>
      </c>
      <c r="B18" s="281">
        <f>SUM(B7+B17)</f>
        <v>228500</v>
      </c>
      <c r="C18" s="282" t="s">
        <v>31</v>
      </c>
      <c r="D18" s="281">
        <f>SUM(D7+D17)</f>
        <v>200370</v>
      </c>
      <c r="E18" s="282" t="s">
        <v>31</v>
      </c>
      <c r="F18" s="281">
        <f>SUM(F7+F17)</f>
        <v>81600</v>
      </c>
      <c r="G18" s="282" t="s">
        <v>31</v>
      </c>
      <c r="H18" s="281">
        <f>SUM(H7+H17)</f>
        <v>0</v>
      </c>
      <c r="I18" s="282" t="s">
        <v>31</v>
      </c>
      <c r="J18" s="281">
        <f>SUM(J7+J17)</f>
        <v>0</v>
      </c>
      <c r="K18" s="281">
        <f>SUM(B18+D18+F18+H18+J18)</f>
        <v>510470</v>
      </c>
    </row>
    <row r="19" spans="1:11" ht="15.75">
      <c r="A19" s="282" t="s">
        <v>33</v>
      </c>
      <c r="B19" s="283"/>
      <c r="C19" s="282" t="s">
        <v>33</v>
      </c>
      <c r="D19" s="284"/>
      <c r="E19" s="282" t="s">
        <v>33</v>
      </c>
      <c r="F19" s="268"/>
      <c r="G19" s="282" t="s">
        <v>33</v>
      </c>
      <c r="H19" s="86"/>
      <c r="I19" s="282" t="s">
        <v>33</v>
      </c>
      <c r="J19" s="86"/>
      <c r="K19" s="268"/>
    </row>
    <row r="20" spans="1:11" ht="15.75">
      <c r="A20" s="762" t="s">
        <v>1075</v>
      </c>
      <c r="B20" s="279">
        <v>228500</v>
      </c>
      <c r="C20" s="291" t="s">
        <v>1081</v>
      </c>
      <c r="D20" s="279">
        <v>200370</v>
      </c>
      <c r="E20" s="291" t="s">
        <v>1080</v>
      </c>
      <c r="F20" s="279">
        <v>81600</v>
      </c>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37</v>
      </c>
      <c r="B28" s="281">
        <f>SUM(B20:B27)</f>
        <v>228500</v>
      </c>
      <c r="C28" s="282" t="s">
        <v>37</v>
      </c>
      <c r="D28" s="281">
        <f>SUM(D20:D27)</f>
        <v>200370</v>
      </c>
      <c r="E28" s="282" t="s">
        <v>37</v>
      </c>
      <c r="F28" s="384">
        <f>SUM(F20:F27)</f>
        <v>81600</v>
      </c>
      <c r="G28" s="282" t="s">
        <v>37</v>
      </c>
      <c r="H28" s="384">
        <f>SUM(H20:H27)</f>
        <v>0</v>
      </c>
      <c r="I28" s="282" t="s">
        <v>37</v>
      </c>
      <c r="J28" s="281">
        <f>SUM(J20:J27)</f>
        <v>0</v>
      </c>
      <c r="K28" s="281">
        <f>SUM(B28+D28+F28+H28+J28)</f>
        <v>510470</v>
      </c>
    </row>
    <row r="29" spans="1:12" ht="15.75">
      <c r="A29" s="282" t="s">
        <v>177</v>
      </c>
      <c r="B29" s="281">
        <f>SUM(B18-B28)</f>
        <v>0</v>
      </c>
      <c r="C29" s="282" t="s">
        <v>177</v>
      </c>
      <c r="D29" s="281">
        <f>SUM(D18-D28)</f>
        <v>0</v>
      </c>
      <c r="E29" s="282" t="s">
        <v>177</v>
      </c>
      <c r="F29" s="281">
        <f>SUM(F18-F28)</f>
        <v>0</v>
      </c>
      <c r="G29" s="282" t="s">
        <v>177</v>
      </c>
      <c r="H29" s="281">
        <f>SUM(H18-H28)</f>
        <v>0</v>
      </c>
      <c r="I29" s="282" t="s">
        <v>177</v>
      </c>
      <c r="J29" s="281">
        <f>SUM(J18-J28)</f>
        <v>0</v>
      </c>
      <c r="K29" s="299">
        <f>SUM(B29+D29+F29+H29+J29)</f>
        <v>0</v>
      </c>
      <c r="L29" s="300" t="s">
        <v>249</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249</v>
      </c>
    </row>
    <row r="31" spans="1:11" ht="15.75">
      <c r="A31" s="86"/>
      <c r="B31" s="301"/>
      <c r="C31" s="86"/>
      <c r="D31" s="268"/>
      <c r="E31" s="86"/>
      <c r="F31" s="86"/>
      <c r="G31" s="19" t="s">
        <v>250</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40</v>
      </c>
      <c r="F33" s="250">
        <v>19</v>
      </c>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 right="0" top="1" bottom="1" header="0.5" footer="0.5"/>
  <pageSetup blackAndWhite="1" fitToHeight="1" fitToWidth="1" horizontalDpi="600" verticalDpi="600" orientation="landscape" scale="92"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34">
      <selection activeCell="B31" sqref="B31"/>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Valley Center</v>
      </c>
      <c r="B1" s="85"/>
      <c r="C1" s="85"/>
      <c r="D1" s="85"/>
      <c r="E1" s="86">
        <f>inputPrYr!C5</f>
        <v>2013</v>
      </c>
    </row>
    <row r="2" spans="1:5" ht="15">
      <c r="A2" s="85"/>
      <c r="B2" s="85"/>
      <c r="C2" s="85"/>
      <c r="D2" s="85"/>
      <c r="E2" s="85"/>
    </row>
    <row r="3" spans="1:5" ht="15.75">
      <c r="A3" s="773" t="s">
        <v>241</v>
      </c>
      <c r="B3" s="774"/>
      <c r="C3" s="774"/>
      <c r="D3" s="774"/>
      <c r="E3" s="774"/>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43081575</v>
      </c>
    </row>
    <row r="8" spans="1:5" ht="15.75">
      <c r="A8" s="87" t="str">
        <f>CONCATENATE("New Improvements for ",E1-1,"")</f>
        <v>New Improvements for 2012</v>
      </c>
      <c r="B8" s="76"/>
      <c r="C8" s="76"/>
      <c r="D8" s="76"/>
      <c r="E8" s="88">
        <v>336152</v>
      </c>
    </row>
    <row r="9" spans="1:5" ht="15.75">
      <c r="A9" s="87" t="str">
        <f>CONCATENATE("Personal Property  excluding oil, gas, and mobile homes - ",E1-1,"")</f>
        <v>Personal Property  excluding oil, gas, and mobile homes - 2012</v>
      </c>
      <c r="B9" s="76"/>
      <c r="C9" s="76"/>
      <c r="D9" s="76"/>
      <c r="E9" s="88">
        <v>1574272</v>
      </c>
    </row>
    <row r="10" spans="1:5" ht="15.75">
      <c r="A10" s="89" t="s">
        <v>164</v>
      </c>
      <c r="B10" s="76"/>
      <c r="C10" s="76"/>
      <c r="D10" s="76"/>
      <c r="E10" s="68"/>
    </row>
    <row r="11" spans="1:5" ht="15.75">
      <c r="A11" s="87" t="s">
        <v>137</v>
      </c>
      <c r="B11" s="76"/>
      <c r="C11" s="76"/>
      <c r="D11" s="76"/>
      <c r="E11" s="88">
        <v>0</v>
      </c>
    </row>
    <row r="12" spans="1:5" ht="15.75">
      <c r="A12" s="87" t="s">
        <v>138</v>
      </c>
      <c r="B12" s="76"/>
      <c r="C12" s="76"/>
      <c r="D12" s="76"/>
      <c r="E12" s="88">
        <v>0</v>
      </c>
    </row>
    <row r="13" spans="1:5" ht="15.75">
      <c r="A13" s="87" t="s">
        <v>139</v>
      </c>
      <c r="B13" s="76"/>
      <c r="C13" s="76"/>
      <c r="D13" s="76"/>
      <c r="E13" s="88">
        <v>0</v>
      </c>
    </row>
    <row r="14" spans="1:5" ht="15.75">
      <c r="A14" s="87" t="str">
        <f>CONCATENATE("Property that has changed in use for ",E1-1,"")</f>
        <v>Property that has changed in use for 2012</v>
      </c>
      <c r="B14" s="76"/>
      <c r="C14" s="76"/>
      <c r="D14" s="76"/>
      <c r="E14" s="88">
        <v>38832</v>
      </c>
    </row>
    <row r="15" spans="1:5" ht="15.75">
      <c r="A15" s="87" t="str">
        <f>CONCATENATE("Personal Property excluding oil, gas, and mobile homes - ",E1-2,"")</f>
        <v>Personal Property excluding oil, gas, and mobile homes - 2011</v>
      </c>
      <c r="B15" s="76"/>
      <c r="C15" s="76"/>
      <c r="D15" s="76"/>
      <c r="E15" s="88">
        <v>1622498</v>
      </c>
    </row>
    <row r="16" spans="1:5" ht="15.75">
      <c r="A16" s="87" t="str">
        <f>CONCATENATE("Gross earnings (intangible) tax estimate for ",E1,"")</f>
        <v>Gross earnings (intangible) tax estimate for 2013</v>
      </c>
      <c r="B16" s="76"/>
      <c r="C16" s="76"/>
      <c r="D16" s="77"/>
      <c r="E16" s="50">
        <v>0</v>
      </c>
    </row>
    <row r="17" spans="1:5" ht="15.75">
      <c r="A17" s="87" t="s">
        <v>165</v>
      </c>
      <c r="B17" s="76"/>
      <c r="C17" s="76"/>
      <c r="D17" s="76"/>
      <c r="E17" s="49">
        <v>0</v>
      </c>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80" t="s">
        <v>10</v>
      </c>
      <c r="B20" s="781"/>
      <c r="C20" s="90"/>
      <c r="D20" s="91" t="s">
        <v>62</v>
      </c>
      <c r="E20" s="58"/>
    </row>
    <row r="21" spans="1:5" ht="15.75">
      <c r="A21" s="54" t="str">
        <f>inputPrYr!B17</f>
        <v>General</v>
      </c>
      <c r="B21" s="55"/>
      <c r="C21" s="60"/>
      <c r="D21" s="92">
        <v>16.27</v>
      </c>
      <c r="E21" s="63"/>
    </row>
    <row r="22" spans="1:5" ht="15.75">
      <c r="A22" s="87" t="str">
        <f>inputPrYr!B18</f>
        <v>Debt Service</v>
      </c>
      <c r="B22" s="76"/>
      <c r="C22" s="60"/>
      <c r="D22" s="93">
        <v>17.151</v>
      </c>
      <c r="E22" s="63"/>
    </row>
    <row r="23" spans="1:5" ht="15.75">
      <c r="A23" s="87" t="str">
        <f>inputPrYr!B19</f>
        <v>Library</v>
      </c>
      <c r="B23" s="76"/>
      <c r="C23" s="60"/>
      <c r="D23" s="93">
        <v>4.497</v>
      </c>
      <c r="E23" s="63"/>
    </row>
    <row r="24" spans="1:5" ht="15.75">
      <c r="A24" s="87" t="str">
        <f>inputPrYr!B21</f>
        <v>Employee Benefit</v>
      </c>
      <c r="B24" s="76"/>
      <c r="C24" s="60"/>
      <c r="D24" s="93">
        <v>12.286</v>
      </c>
      <c r="E24" s="63"/>
    </row>
    <row r="25" spans="1:5" ht="15.75">
      <c r="A25" s="87" t="str">
        <f>inputPrYr!B22</f>
        <v>Emergency Equipment</v>
      </c>
      <c r="B25" s="76"/>
      <c r="C25" s="60"/>
      <c r="D25" s="93">
        <v>0.968</v>
      </c>
      <c r="E25" s="63"/>
    </row>
    <row r="26" spans="1:5" ht="15.75">
      <c r="A26" s="87"/>
      <c r="B26" s="94"/>
      <c r="C26" s="60"/>
      <c r="D26" s="95"/>
      <c r="E26" s="63"/>
    </row>
    <row r="27" spans="1:5" ht="15.75">
      <c r="A27" s="87"/>
      <c r="B27" s="94"/>
      <c r="C27" s="60"/>
      <c r="D27" s="95"/>
      <c r="E27" s="63"/>
    </row>
    <row r="28" spans="1:5" ht="15.75">
      <c r="A28" s="87"/>
      <c r="B28" s="94"/>
      <c r="C28" s="60"/>
      <c r="D28" s="95"/>
      <c r="E28" s="63"/>
    </row>
    <row r="29" spans="1:5" ht="15.75">
      <c r="A29" s="87"/>
      <c r="B29" s="94"/>
      <c r="C29" s="60"/>
      <c r="D29" s="95"/>
      <c r="E29" s="63"/>
    </row>
    <row r="30" spans="1:5" ht="15.75">
      <c r="A30" s="87"/>
      <c r="B30" s="94"/>
      <c r="C30" s="60"/>
      <c r="D30" s="95"/>
      <c r="E30" s="63"/>
    </row>
    <row r="31" spans="1:5" ht="15.75">
      <c r="A31" s="87"/>
      <c r="B31" s="94"/>
      <c r="C31" s="60"/>
      <c r="D31" s="95"/>
      <c r="E31" s="63"/>
    </row>
    <row r="32" spans="1:5" ht="15.75">
      <c r="A32" s="87"/>
      <c r="B32" s="76"/>
      <c r="C32" s="60"/>
      <c r="D32" s="95"/>
      <c r="E32" s="63"/>
    </row>
    <row r="33" spans="1:5" ht="15.75">
      <c r="A33" s="87"/>
      <c r="B33" s="55"/>
      <c r="C33" s="60"/>
      <c r="D33" s="95"/>
      <c r="E33" s="63"/>
    </row>
    <row r="34" spans="1:5" ht="15.75">
      <c r="A34" s="90"/>
      <c r="B34" s="55" t="s">
        <v>331</v>
      </c>
      <c r="C34" s="96"/>
      <c r="D34" s="71">
        <f>SUM(D21:D33)</f>
        <v>51.172</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44193447</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332</v>
      </c>
      <c r="B39" s="55"/>
      <c r="C39" s="55"/>
      <c r="D39" s="99"/>
      <c r="E39" s="50">
        <v>299770</v>
      </c>
    </row>
    <row r="40" spans="1:5" ht="15.75">
      <c r="A40" s="87" t="s">
        <v>333</v>
      </c>
      <c r="B40" s="76"/>
      <c r="C40" s="76"/>
      <c r="D40" s="100"/>
      <c r="E40" s="50">
        <v>5950</v>
      </c>
    </row>
    <row r="41" spans="1:5" ht="15.75">
      <c r="A41" s="87" t="s">
        <v>166</v>
      </c>
      <c r="B41" s="76"/>
      <c r="C41" s="76"/>
      <c r="D41" s="100"/>
      <c r="E41" s="50">
        <v>4760</v>
      </c>
    </row>
    <row r="42" spans="1:5" ht="15.75">
      <c r="A42" s="87" t="s">
        <v>167</v>
      </c>
      <c r="B42" s="76"/>
      <c r="C42" s="76"/>
      <c r="D42" s="100"/>
      <c r="E42" s="50">
        <v>0</v>
      </c>
    </row>
    <row r="43" spans="1:5" ht="15.75">
      <c r="A43" s="87" t="s">
        <v>168</v>
      </c>
      <c r="B43" s="76"/>
      <c r="C43" s="76"/>
      <c r="D43" s="100"/>
      <c r="E43" s="50">
        <v>0</v>
      </c>
    </row>
    <row r="44" spans="1:5" ht="15.75">
      <c r="A44" s="22" t="s">
        <v>169</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590">
        <v>0.0198</v>
      </c>
    </row>
    <row r="47" spans="1:5" ht="15.75">
      <c r="A47" s="378" t="s">
        <v>808</v>
      </c>
      <c r="B47" s="61"/>
      <c r="C47" s="60"/>
      <c r="D47" s="60"/>
      <c r="E47" s="591">
        <v>0.03</v>
      </c>
    </row>
    <row r="48" spans="1:5" ht="15.75">
      <c r="A48" s="101" t="s">
        <v>214</v>
      </c>
      <c r="B48" s="101"/>
      <c r="C48" s="102"/>
      <c r="D48" s="102"/>
      <c r="E48" s="103"/>
    </row>
    <row r="49" spans="1:5" ht="15.75">
      <c r="A49" s="22"/>
      <c r="B49" s="22"/>
      <c r="C49" s="22"/>
      <c r="D49" s="22"/>
      <c r="E49" s="22"/>
    </row>
    <row r="50" spans="1:5" ht="15.75">
      <c r="A50" s="104" t="s">
        <v>259</v>
      </c>
      <c r="B50" s="105"/>
      <c r="C50" s="106"/>
      <c r="D50" s="106"/>
      <c r="E50" s="106"/>
    </row>
    <row r="51" spans="1:5" ht="15.75">
      <c r="A51" s="107" t="str">
        <f>CONCATENATE("",E1," State Distribution for Kansas Gas Tax")</f>
        <v>2013 State Distribution for Kansas Gas Tax</v>
      </c>
      <c r="B51" s="108"/>
      <c r="C51" s="108"/>
      <c r="D51" s="109"/>
      <c r="E51" s="49">
        <v>177550</v>
      </c>
    </row>
    <row r="52" spans="1:5" ht="15.75">
      <c r="A52" s="110" t="str">
        <f>CONCATENATE("",E1," County Transfers for Gas***")</f>
        <v>2013 County Transfers for Gas***</v>
      </c>
      <c r="B52" s="111"/>
      <c r="C52" s="111"/>
      <c r="D52" s="112"/>
      <c r="E52" s="49">
        <v>80050</v>
      </c>
    </row>
    <row r="53" spans="1:5" ht="15.75">
      <c r="A53" s="110" t="str">
        <f>CONCATENATE("Adjusted ",E1-1," State Distribution for Kansas Gas Tax")</f>
        <v>Adjusted 2012 State Distribution for Kansas Gas Tax</v>
      </c>
      <c r="B53" s="111"/>
      <c r="C53" s="111"/>
      <c r="D53" s="112"/>
      <c r="E53" s="49">
        <v>176210</v>
      </c>
    </row>
    <row r="54" spans="1:5" ht="15.75">
      <c r="A54" s="110" t="str">
        <f>CONCATENATE("Adjusted ",E1-1," County Transfers for Gas***")</f>
        <v>Adjusted 2012 County Transfers for Gas***</v>
      </c>
      <c r="B54" s="111"/>
      <c r="C54" s="111"/>
      <c r="D54" s="112"/>
      <c r="E54" s="49">
        <v>79740</v>
      </c>
    </row>
    <row r="55" spans="1:5" ht="15">
      <c r="A55" s="782" t="s">
        <v>235</v>
      </c>
      <c r="B55" s="783"/>
      <c r="C55" s="783"/>
      <c r="D55" s="783"/>
      <c r="E55" s="783"/>
    </row>
    <row r="56" spans="1:5" ht="15">
      <c r="A56" s="113" t="s">
        <v>236</v>
      </c>
      <c r="B56" s="113"/>
      <c r="C56" s="113"/>
      <c r="D56" s="113"/>
      <c r="E56" s="113"/>
    </row>
    <row r="57" spans="1:5" ht="15">
      <c r="A57" s="85"/>
      <c r="B57" s="85"/>
      <c r="C57" s="85"/>
      <c r="D57" s="85"/>
      <c r="E57" s="85"/>
    </row>
    <row r="58" spans="1:5" ht="15.75">
      <c r="A58" s="784" t="str">
        <f>CONCATENATE("From the ",E1-2," Budget Certificate Page")</f>
        <v>From the 2011 Budget Certificate Page</v>
      </c>
      <c r="B58" s="785"/>
      <c r="C58" s="85"/>
      <c r="D58" s="85"/>
      <c r="E58" s="85"/>
    </row>
    <row r="59" spans="1:5" ht="15.75">
      <c r="A59" s="114"/>
      <c r="B59" s="114" t="str">
        <f>CONCATENATE("",E1-2," Expenditure Amounts")</f>
        <v>2011 Expenditure Amounts</v>
      </c>
      <c r="C59" s="778" t="str">
        <f>CONCATENATE("Note: If the ",E1-2," budget was amended, then the")</f>
        <v>Note: If the 2011 budget was amended, then the</v>
      </c>
      <c r="D59" s="779"/>
      <c r="E59" s="779"/>
    </row>
    <row r="60" spans="1:5" ht="15.75">
      <c r="A60" s="115" t="s">
        <v>263</v>
      </c>
      <c r="B60" s="115" t="s">
        <v>264</v>
      </c>
      <c r="C60" s="116" t="s">
        <v>265</v>
      </c>
      <c r="D60" s="117"/>
      <c r="E60" s="117"/>
    </row>
    <row r="61" spans="1:5" ht="15.75">
      <c r="A61" s="118" t="str">
        <f>inputPrYr!B17</f>
        <v>General</v>
      </c>
      <c r="B61" s="49">
        <v>2266985</v>
      </c>
      <c r="C61" s="116" t="s">
        <v>266</v>
      </c>
      <c r="D61" s="117"/>
      <c r="E61" s="117"/>
    </row>
    <row r="62" spans="1:5" ht="15.75">
      <c r="A62" s="118" t="str">
        <f>inputPrYr!B18</f>
        <v>Debt Service</v>
      </c>
      <c r="B62" s="49">
        <v>1871700</v>
      </c>
      <c r="C62" s="116"/>
      <c r="D62" s="117"/>
      <c r="E62" s="117"/>
    </row>
    <row r="63" spans="1:5" ht="15.75">
      <c r="A63" s="118" t="str">
        <f>inputPrYr!B19</f>
        <v>Library</v>
      </c>
      <c r="B63" s="49">
        <v>237790</v>
      </c>
      <c r="C63" s="85"/>
      <c r="D63" s="85"/>
      <c r="E63" s="85"/>
    </row>
    <row r="64" spans="1:5" ht="15.75">
      <c r="A64" s="118" t="str">
        <f>inputPrYr!B21</f>
        <v>Employee Benefit</v>
      </c>
      <c r="B64" s="49">
        <v>638825</v>
      </c>
      <c r="C64" s="85"/>
      <c r="D64" s="85"/>
      <c r="E64" s="85"/>
    </row>
    <row r="65" spans="1:5" ht="15.75">
      <c r="A65" s="118" t="str">
        <f>inputPrYr!B22</f>
        <v>Emergency Equipment</v>
      </c>
      <c r="B65" s="49">
        <v>119400</v>
      </c>
      <c r="C65" s="85"/>
      <c r="D65" s="85"/>
      <c r="E65" s="85"/>
    </row>
    <row r="66" spans="1:5" ht="15.75">
      <c r="A66" s="118"/>
      <c r="B66" s="49"/>
      <c r="C66" s="85"/>
      <c r="D66" s="85"/>
      <c r="E66" s="85"/>
    </row>
    <row r="67" spans="1:5" ht="15.75">
      <c r="A67" s="118"/>
      <c r="B67" s="49"/>
      <c r="C67" s="85"/>
      <c r="D67" s="85"/>
      <c r="E67" s="85"/>
    </row>
    <row r="68" spans="1:5" ht="15.75">
      <c r="A68" s="118"/>
      <c r="B68" s="49"/>
      <c r="C68" s="85"/>
      <c r="D68" s="85"/>
      <c r="E68" s="85"/>
    </row>
    <row r="69" spans="1:5" ht="15.75">
      <c r="A69" s="118"/>
      <c r="B69" s="49"/>
      <c r="C69" s="85"/>
      <c r="D69" s="85"/>
      <c r="E69" s="85"/>
    </row>
    <row r="70" spans="1:5" ht="15.75">
      <c r="A70" s="118"/>
      <c r="B70" s="49"/>
      <c r="C70" s="85"/>
      <c r="D70" s="85"/>
      <c r="E70" s="85"/>
    </row>
    <row r="71" spans="1:5" ht="15.75">
      <c r="A71" s="118"/>
      <c r="B71" s="49"/>
      <c r="C71" s="85"/>
      <c r="D71" s="85"/>
      <c r="E71" s="85"/>
    </row>
    <row r="72" spans="1:5" ht="15.75">
      <c r="A72" s="118"/>
      <c r="B72" s="49"/>
      <c r="C72" s="85"/>
      <c r="D72" s="85"/>
      <c r="E72" s="85"/>
    </row>
    <row r="73" spans="1:5" ht="15.75">
      <c r="A73" s="118"/>
      <c r="B73" s="49"/>
      <c r="C73" s="85"/>
      <c r="D73" s="85"/>
      <c r="E73" s="85"/>
    </row>
    <row r="74" spans="1:5" ht="15.75">
      <c r="A74" s="118" t="str">
        <f>inputPrYr!B34</f>
        <v>Special Highway</v>
      </c>
      <c r="B74" s="49">
        <v>824400</v>
      </c>
      <c r="C74" s="85"/>
      <c r="D74" s="85"/>
      <c r="E74" s="85"/>
    </row>
    <row r="75" spans="1:5" ht="15.75">
      <c r="A75" s="118" t="str">
        <f>inputPrYr!B35</f>
        <v>Equipment Reserve</v>
      </c>
      <c r="B75" s="49">
        <v>50000</v>
      </c>
      <c r="C75" s="85"/>
      <c r="D75" s="85"/>
      <c r="E75" s="85"/>
    </row>
    <row r="76" spans="1:5" ht="15.75">
      <c r="A76" s="118" t="str">
        <f>inputPrYr!B36</f>
        <v>ADSAP</v>
      </c>
      <c r="B76" s="49">
        <v>2000</v>
      </c>
      <c r="C76" s="85"/>
      <c r="D76" s="85"/>
      <c r="E76" s="85"/>
    </row>
    <row r="77" spans="1:5" ht="15.75">
      <c r="A77" s="118" t="str">
        <f>inputPrYr!B37</f>
        <v>Active Aging</v>
      </c>
      <c r="B77" s="49">
        <v>5000</v>
      </c>
      <c r="C77" s="85"/>
      <c r="D77" s="85"/>
      <c r="E77" s="85"/>
    </row>
    <row r="78" spans="1:5" ht="15.75">
      <c r="A78" s="118" t="str">
        <f>inputPrYr!B38</f>
        <v>Special Alcohol &amp; Drug</v>
      </c>
      <c r="B78" s="49">
        <v>1000</v>
      </c>
      <c r="C78" s="85"/>
      <c r="D78" s="85"/>
      <c r="E78" s="85"/>
    </row>
    <row r="79" spans="1:5" ht="15.75">
      <c r="A79" s="118" t="str">
        <f>inputPrYr!B39</f>
        <v>Special Park &amp; Recreation</v>
      </c>
      <c r="B79" s="49">
        <v>600</v>
      </c>
      <c r="C79" s="85"/>
      <c r="D79" s="85"/>
      <c r="E79" s="85"/>
    </row>
    <row r="80" spans="1:5" ht="15.75">
      <c r="A80" s="118" t="str">
        <f>inputPrYr!B40</f>
        <v>Drug Tax Distribution</v>
      </c>
      <c r="B80" s="49">
        <v>4000</v>
      </c>
      <c r="C80" s="85"/>
      <c r="D80" s="85"/>
      <c r="E80" s="85"/>
    </row>
    <row r="81" spans="1:5" ht="15.75">
      <c r="A81" s="118"/>
      <c r="B81" s="49"/>
      <c r="C81" s="85"/>
      <c r="D81" s="85"/>
      <c r="E81" s="85"/>
    </row>
    <row r="82" spans="1:5" ht="15.75">
      <c r="A82" s="118" t="str">
        <f>inputPrYr!B44</f>
        <v>Water Utility</v>
      </c>
      <c r="B82" s="49">
        <v>1478370</v>
      </c>
      <c r="C82" s="85"/>
      <c r="D82" s="85"/>
      <c r="E82" s="85"/>
    </row>
    <row r="83" spans="1:5" ht="15.75">
      <c r="A83" s="118" t="str">
        <f>inputPrYr!B45</f>
        <v>Sewer Utility</v>
      </c>
      <c r="B83" s="49">
        <v>1029700</v>
      </c>
      <c r="C83" s="85"/>
      <c r="D83" s="85"/>
      <c r="E83" s="85"/>
    </row>
    <row r="84" spans="1:5" ht="15.75">
      <c r="A84" s="118" t="str">
        <f>inputPrYr!B46</f>
        <v>Storm Water Utility</v>
      </c>
      <c r="B84" s="49">
        <v>57500</v>
      </c>
      <c r="C84" s="85"/>
      <c r="D84" s="85"/>
      <c r="E84" s="85"/>
    </row>
    <row r="85" spans="1:5" ht="15.75">
      <c r="A85" s="118" t="str">
        <f>inputPrYr!B47</f>
        <v>Solid Waste Utility</v>
      </c>
      <c r="B85" s="49">
        <v>350000</v>
      </c>
      <c r="C85" s="85"/>
      <c r="D85" s="85"/>
      <c r="E85" s="85"/>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54"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F33" sqref="F33"/>
    </sheetView>
  </sheetViews>
  <sheetFormatPr defaultColWidth="8.796875" defaultRowHeight="15"/>
  <cols>
    <col min="1" max="1" width="11.59765625" style="8" customWidth="1"/>
    <col min="2" max="2" width="7.3984375" style="8" customWidth="1"/>
    <col min="3" max="3" width="11.59765625" style="8" customWidth="1"/>
    <col min="4" max="4" width="7.3984375" style="8" customWidth="1"/>
    <col min="5" max="5" width="11.59765625" style="8" customWidth="1"/>
    <col min="6" max="6" width="7.3984375" style="8" customWidth="1"/>
    <col min="7" max="7" width="11.59765625" style="8" customWidth="1"/>
    <col min="8" max="8" width="7.3984375" style="8" customWidth="1"/>
    <col min="9" max="9" width="11.59765625" style="8" customWidth="1"/>
    <col min="10" max="16384" width="8.8984375" style="8" customWidth="1"/>
  </cols>
  <sheetData>
    <row r="1" spans="1:11" ht="15.75">
      <c r="A1" s="86">
        <f>inputPrYr!$C$2</f>
        <v>0</v>
      </c>
      <c r="B1" s="268"/>
      <c r="C1" s="86"/>
      <c r="D1" s="86"/>
      <c r="E1" s="86"/>
      <c r="F1" s="269" t="s">
        <v>182</v>
      </c>
      <c r="G1" s="86"/>
      <c r="H1" s="86"/>
      <c r="I1" s="86"/>
      <c r="J1" s="86"/>
      <c r="K1" s="86">
        <f>inputPrYr!$C$5</f>
        <v>2013</v>
      </c>
    </row>
    <row r="2" spans="1:11" ht="15.75">
      <c r="A2" s="86"/>
      <c r="B2" s="86"/>
      <c r="C2" s="86"/>
      <c r="D2" s="86"/>
      <c r="E2" s="86"/>
      <c r="F2" s="268" t="str">
        <f>CONCATENATE("(Only the actual budget year for ",K1-2," is to be shown)")</f>
        <v>(Only the actual budget year for 2011 is to be shown)</v>
      </c>
      <c r="G2" s="86"/>
      <c r="H2" s="86"/>
      <c r="I2" s="86"/>
      <c r="J2" s="86"/>
      <c r="K2" s="86"/>
    </row>
    <row r="3" spans="1:11" ht="15.75">
      <c r="A3" s="86" t="s">
        <v>213</v>
      </c>
      <c r="B3" s="86"/>
      <c r="C3" s="86"/>
      <c r="D3" s="86"/>
      <c r="E3" s="86"/>
      <c r="F3" s="268"/>
      <c r="G3" s="86"/>
      <c r="H3" s="86"/>
      <c r="I3" s="86"/>
      <c r="J3" s="86"/>
      <c r="K3" s="86"/>
    </row>
    <row r="4" spans="1:11" ht="15.75">
      <c r="A4" s="86" t="s">
        <v>189</v>
      </c>
      <c r="B4" s="86"/>
      <c r="C4" s="86" t="s">
        <v>190</v>
      </c>
      <c r="D4" s="86"/>
      <c r="E4" s="86" t="s">
        <v>191</v>
      </c>
      <c r="F4" s="268"/>
      <c r="G4" s="86" t="s">
        <v>192</v>
      </c>
      <c r="H4" s="86"/>
      <c r="I4" s="86" t="s">
        <v>193</v>
      </c>
      <c r="J4" s="86"/>
      <c r="K4" s="86"/>
    </row>
    <row r="5" spans="1:11" ht="15.75">
      <c r="A5" s="841">
        <f>inputPrYr!$B57</f>
        <v>0</v>
      </c>
      <c r="B5" s="842"/>
      <c r="C5" s="841">
        <f>inputPrYr!$B58</f>
        <v>0</v>
      </c>
      <c r="D5" s="842"/>
      <c r="E5" s="841">
        <f>inputPrYr!$B59</f>
        <v>0</v>
      </c>
      <c r="F5" s="842"/>
      <c r="G5" s="841">
        <f>inputPrYr!$B60</f>
        <v>0</v>
      </c>
      <c r="H5" s="842"/>
      <c r="I5" s="841">
        <f>inputPrYr!$B61</f>
        <v>0</v>
      </c>
      <c r="J5" s="842"/>
      <c r="K5" s="107"/>
    </row>
    <row r="6" spans="1:11" ht="15.75">
      <c r="A6" s="272" t="s">
        <v>178</v>
      </c>
      <c r="B6" s="273"/>
      <c r="C6" s="274" t="s">
        <v>178</v>
      </c>
      <c r="D6" s="275"/>
      <c r="E6" s="274" t="s">
        <v>178</v>
      </c>
      <c r="F6" s="276"/>
      <c r="G6" s="274" t="s">
        <v>178</v>
      </c>
      <c r="H6" s="271"/>
      <c r="I6" s="274" t="s">
        <v>178</v>
      </c>
      <c r="J6" s="86"/>
      <c r="K6" s="277" t="s">
        <v>331</v>
      </c>
    </row>
    <row r="7" spans="1:11" ht="15.75">
      <c r="A7" s="278" t="s">
        <v>177</v>
      </c>
      <c r="B7" s="279"/>
      <c r="C7" s="280" t="s">
        <v>177</v>
      </c>
      <c r="D7" s="279"/>
      <c r="E7" s="280" t="s">
        <v>177</v>
      </c>
      <c r="F7" s="279"/>
      <c r="G7" s="280" t="s">
        <v>177</v>
      </c>
      <c r="H7" s="279"/>
      <c r="I7" s="280" t="s">
        <v>177</v>
      </c>
      <c r="J7" s="279"/>
      <c r="K7" s="281">
        <f>SUM(B7+D7+F7+H7+J7)</f>
        <v>0</v>
      </c>
    </row>
    <row r="8" spans="1:11" ht="15.75">
      <c r="A8" s="282" t="s">
        <v>146</v>
      </c>
      <c r="B8" s="283"/>
      <c r="C8" s="282" t="s">
        <v>146</v>
      </c>
      <c r="D8" s="284"/>
      <c r="E8" s="282" t="s">
        <v>146</v>
      </c>
      <c r="F8" s="268"/>
      <c r="G8" s="282" t="s">
        <v>146</v>
      </c>
      <c r="H8" s="86"/>
      <c r="I8" s="282" t="s">
        <v>146</v>
      </c>
      <c r="J8" s="86"/>
      <c r="K8" s="268"/>
    </row>
    <row r="9" spans="1:11" ht="15.75">
      <c r="A9" s="285"/>
      <c r="B9" s="279"/>
      <c r="C9" s="285"/>
      <c r="D9" s="279"/>
      <c r="E9" s="285"/>
      <c r="F9" s="279"/>
      <c r="G9" s="285"/>
      <c r="H9" s="279"/>
      <c r="I9" s="285"/>
      <c r="J9" s="279"/>
      <c r="K9" s="268"/>
    </row>
    <row r="10" spans="1:11" ht="15.75">
      <c r="A10" s="285"/>
      <c r="B10" s="279"/>
      <c r="C10" s="285"/>
      <c r="D10" s="279"/>
      <c r="E10" s="285"/>
      <c r="F10" s="279"/>
      <c r="G10" s="285"/>
      <c r="H10" s="279"/>
      <c r="I10" s="285"/>
      <c r="J10" s="279"/>
      <c r="K10" s="268"/>
    </row>
    <row r="11" spans="1:11" ht="15.75">
      <c r="A11" s="285"/>
      <c r="B11" s="279"/>
      <c r="C11" s="286"/>
      <c r="D11" s="287"/>
      <c r="E11" s="286"/>
      <c r="F11" s="287"/>
      <c r="G11" s="286"/>
      <c r="H11" s="287"/>
      <c r="I11" s="288"/>
      <c r="J11" s="279"/>
      <c r="K11" s="268"/>
    </row>
    <row r="12" spans="1:11" ht="15.75">
      <c r="A12" s="285"/>
      <c r="B12" s="289"/>
      <c r="C12" s="285"/>
      <c r="D12" s="290"/>
      <c r="E12" s="291"/>
      <c r="F12" s="290"/>
      <c r="G12" s="291"/>
      <c r="H12" s="290"/>
      <c r="I12" s="291"/>
      <c r="J12" s="279"/>
      <c r="K12" s="268"/>
    </row>
    <row r="13" spans="1:11" ht="15.75">
      <c r="A13" s="292"/>
      <c r="B13" s="293"/>
      <c r="C13" s="294"/>
      <c r="D13" s="293"/>
      <c r="E13" s="294"/>
      <c r="F13" s="293"/>
      <c r="G13" s="294"/>
      <c r="H13" s="293"/>
      <c r="I13" s="288"/>
      <c r="J13" s="279"/>
      <c r="K13" s="268"/>
    </row>
    <row r="14" spans="1:11" ht="15.75">
      <c r="A14" s="285"/>
      <c r="B14" s="279"/>
      <c r="C14" s="291"/>
      <c r="D14" s="290"/>
      <c r="E14" s="291"/>
      <c r="F14" s="290"/>
      <c r="G14" s="291"/>
      <c r="H14" s="290"/>
      <c r="I14" s="291"/>
      <c r="J14" s="279"/>
      <c r="K14" s="268"/>
    </row>
    <row r="15" spans="1:11" ht="15.75">
      <c r="A15" s="285"/>
      <c r="B15" s="279"/>
      <c r="C15" s="291"/>
      <c r="D15" s="290"/>
      <c r="E15" s="291"/>
      <c r="F15" s="290"/>
      <c r="G15" s="291"/>
      <c r="H15" s="290"/>
      <c r="I15" s="291"/>
      <c r="J15" s="279"/>
      <c r="K15" s="268"/>
    </row>
    <row r="16" spans="1:11" ht="15.75">
      <c r="A16" s="285"/>
      <c r="B16" s="293"/>
      <c r="C16" s="285"/>
      <c r="D16" s="293"/>
      <c r="E16" s="285"/>
      <c r="F16" s="279"/>
      <c r="G16" s="291"/>
      <c r="H16" s="293"/>
      <c r="I16" s="285"/>
      <c r="J16" s="290"/>
      <c r="K16" s="268"/>
    </row>
    <row r="17" spans="1:11" ht="15.75">
      <c r="A17" s="282" t="s">
        <v>30</v>
      </c>
      <c r="B17" s="281">
        <f>SUM(B9:B16)</f>
        <v>0</v>
      </c>
      <c r="C17" s="282" t="s">
        <v>30</v>
      </c>
      <c r="D17" s="295">
        <f>SUM(D9:D16)</f>
        <v>0</v>
      </c>
      <c r="E17" s="282" t="s">
        <v>30</v>
      </c>
      <c r="F17" s="296">
        <f>SUM(F9:F16)</f>
        <v>0</v>
      </c>
      <c r="G17" s="282" t="s">
        <v>30</v>
      </c>
      <c r="H17" s="295">
        <f>SUM(H9:H16)</f>
        <v>0</v>
      </c>
      <c r="I17" s="282" t="s">
        <v>30</v>
      </c>
      <c r="J17" s="295">
        <f>SUM(J9:J16)</f>
        <v>0</v>
      </c>
      <c r="K17" s="281">
        <f>SUM(B17+D17+F17+H17+J17)</f>
        <v>0</v>
      </c>
    </row>
    <row r="18" spans="1:11" ht="15.75">
      <c r="A18" s="282" t="s">
        <v>31</v>
      </c>
      <c r="B18" s="281">
        <f>SUM(B7+B17)</f>
        <v>0</v>
      </c>
      <c r="C18" s="282" t="s">
        <v>31</v>
      </c>
      <c r="D18" s="281">
        <f>SUM(D7+D17)</f>
        <v>0</v>
      </c>
      <c r="E18" s="282" t="s">
        <v>31</v>
      </c>
      <c r="F18" s="281">
        <f>SUM(F7+F17)</f>
        <v>0</v>
      </c>
      <c r="G18" s="282" t="s">
        <v>31</v>
      </c>
      <c r="H18" s="281">
        <f>SUM(H7+H17)</f>
        <v>0</v>
      </c>
      <c r="I18" s="282" t="s">
        <v>31</v>
      </c>
      <c r="J18" s="281">
        <f>SUM(J7+J17)</f>
        <v>0</v>
      </c>
      <c r="K18" s="281">
        <f>SUM(B18+D18+F18+H18+J18)</f>
        <v>0</v>
      </c>
    </row>
    <row r="19" spans="1:11" ht="15.75">
      <c r="A19" s="282" t="s">
        <v>33</v>
      </c>
      <c r="B19" s="283"/>
      <c r="C19" s="282" t="s">
        <v>33</v>
      </c>
      <c r="D19" s="284"/>
      <c r="E19" s="282" t="s">
        <v>33</v>
      </c>
      <c r="F19" s="268"/>
      <c r="G19" s="282" t="s">
        <v>33</v>
      </c>
      <c r="H19" s="86"/>
      <c r="I19" s="282" t="s">
        <v>33</v>
      </c>
      <c r="J19" s="86"/>
      <c r="K19" s="268"/>
    </row>
    <row r="20" spans="1:11" ht="15.75">
      <c r="A20" s="285"/>
      <c r="B20" s="279"/>
      <c r="C20" s="291"/>
      <c r="D20" s="279"/>
      <c r="E20" s="291"/>
      <c r="F20" s="279"/>
      <c r="G20" s="291"/>
      <c r="H20" s="279"/>
      <c r="I20" s="291"/>
      <c r="J20" s="279"/>
      <c r="K20" s="268"/>
    </row>
    <row r="21" spans="1:11" ht="15.75">
      <c r="A21" s="285"/>
      <c r="B21" s="279"/>
      <c r="C21" s="291"/>
      <c r="D21" s="290"/>
      <c r="E21" s="291"/>
      <c r="F21" s="290"/>
      <c r="G21" s="291"/>
      <c r="H21" s="290"/>
      <c r="I21" s="291"/>
      <c r="J21" s="297"/>
      <c r="K21" s="268"/>
    </row>
    <row r="22" spans="1:11" ht="15.75">
      <c r="A22" s="285"/>
      <c r="B22" s="298"/>
      <c r="C22" s="294"/>
      <c r="D22" s="293"/>
      <c r="E22" s="294"/>
      <c r="F22" s="293"/>
      <c r="G22" s="294"/>
      <c r="H22" s="293"/>
      <c r="I22" s="288"/>
      <c r="J22" s="279"/>
      <c r="K22" s="268"/>
    </row>
    <row r="23" spans="1:11" ht="15.75">
      <c r="A23" s="285"/>
      <c r="B23" s="279"/>
      <c r="C23" s="291"/>
      <c r="D23" s="290"/>
      <c r="E23" s="291"/>
      <c r="F23" s="290"/>
      <c r="G23" s="291"/>
      <c r="H23" s="290"/>
      <c r="I23" s="291"/>
      <c r="J23" s="279"/>
      <c r="K23" s="268"/>
    </row>
    <row r="24" spans="1:11" ht="15.75">
      <c r="A24" s="285"/>
      <c r="B24" s="298"/>
      <c r="C24" s="294"/>
      <c r="D24" s="293"/>
      <c r="E24" s="294"/>
      <c r="F24" s="293"/>
      <c r="G24" s="294"/>
      <c r="H24" s="293"/>
      <c r="I24" s="288"/>
      <c r="J24" s="279"/>
      <c r="K24" s="268"/>
    </row>
    <row r="25" spans="1:11" ht="15.75">
      <c r="A25" s="285"/>
      <c r="B25" s="279"/>
      <c r="C25" s="291"/>
      <c r="D25" s="290"/>
      <c r="E25" s="291"/>
      <c r="F25" s="290"/>
      <c r="G25" s="291"/>
      <c r="H25" s="290"/>
      <c r="I25" s="291"/>
      <c r="J25" s="279"/>
      <c r="K25" s="268"/>
    </row>
    <row r="26" spans="1:11" ht="15.75">
      <c r="A26" s="285"/>
      <c r="B26" s="279"/>
      <c r="C26" s="291"/>
      <c r="D26" s="290"/>
      <c r="E26" s="291"/>
      <c r="F26" s="290"/>
      <c r="G26" s="291"/>
      <c r="H26" s="290"/>
      <c r="I26" s="291"/>
      <c r="J26" s="279"/>
      <c r="K26" s="268"/>
    </row>
    <row r="27" spans="1:11" ht="15.75">
      <c r="A27" s="285"/>
      <c r="B27" s="297"/>
      <c r="C27" s="285"/>
      <c r="D27" s="289"/>
      <c r="E27" s="285"/>
      <c r="F27" s="290"/>
      <c r="G27" s="291"/>
      <c r="H27" s="290"/>
      <c r="I27" s="291"/>
      <c r="J27" s="279"/>
      <c r="K27" s="268"/>
    </row>
    <row r="28" spans="1:11" ht="15.75">
      <c r="A28" s="282" t="s">
        <v>37</v>
      </c>
      <c r="B28" s="281">
        <f>SUM(B20:B27)</f>
        <v>0</v>
      </c>
      <c r="C28" s="282" t="s">
        <v>37</v>
      </c>
      <c r="D28" s="281">
        <f>SUM(D20:D27)</f>
        <v>0</v>
      </c>
      <c r="E28" s="282" t="s">
        <v>37</v>
      </c>
      <c r="F28" s="384">
        <f>SUM(F20:F27)</f>
        <v>0</v>
      </c>
      <c r="G28" s="282" t="s">
        <v>37</v>
      </c>
      <c r="H28" s="384">
        <f>SUM(H20:H27)</f>
        <v>0</v>
      </c>
      <c r="I28" s="282" t="s">
        <v>37</v>
      </c>
      <c r="J28" s="281">
        <f>SUM(J20:J27)</f>
        <v>0</v>
      </c>
      <c r="K28" s="281">
        <f>SUM(B28+D28+F28+H28+J28)</f>
        <v>0</v>
      </c>
    </row>
    <row r="29" spans="1:12" ht="15.75">
      <c r="A29" s="282" t="s">
        <v>177</v>
      </c>
      <c r="B29" s="281">
        <f>SUM(B18-B28)</f>
        <v>0</v>
      </c>
      <c r="C29" s="282" t="s">
        <v>177</v>
      </c>
      <c r="D29" s="281">
        <f>SUM(D18-D28)</f>
        <v>0</v>
      </c>
      <c r="E29" s="282" t="s">
        <v>177</v>
      </c>
      <c r="F29" s="281">
        <f>SUM(F18-F28)</f>
        <v>0</v>
      </c>
      <c r="G29" s="282" t="s">
        <v>177</v>
      </c>
      <c r="H29" s="281">
        <f>SUM(H18-H28)</f>
        <v>0</v>
      </c>
      <c r="I29" s="282" t="s">
        <v>177</v>
      </c>
      <c r="J29" s="281">
        <f>SUM(J18-J28)</f>
        <v>0</v>
      </c>
      <c r="K29" s="299">
        <f>SUM(B29+D29+F29+H29+J29)</f>
        <v>0</v>
      </c>
      <c r="L29" s="300" t="s">
        <v>249</v>
      </c>
    </row>
    <row r="30" spans="1:12" ht="15.75">
      <c r="A30" s="282"/>
      <c r="B30" s="323">
        <f>IF(B29&lt;0,"See Tab B","")</f>
      </c>
      <c r="C30" s="282"/>
      <c r="D30" s="323">
        <f>IF(D29&lt;0,"See Tab B","")</f>
      </c>
      <c r="E30" s="282"/>
      <c r="F30" s="323">
        <f>IF(F29&lt;0,"See Tab B","")</f>
      </c>
      <c r="G30" s="86"/>
      <c r="H30" s="323">
        <f>IF(H29&lt;0,"See Tab B","")</f>
      </c>
      <c r="I30" s="86"/>
      <c r="J30" s="323">
        <f>IF(J29&lt;0,"See Tab B","")</f>
      </c>
      <c r="K30" s="299">
        <f>SUM(K7+K17-K28)</f>
        <v>0</v>
      </c>
      <c r="L30" s="300" t="s">
        <v>249</v>
      </c>
    </row>
    <row r="31" spans="1:11" ht="15.75">
      <c r="A31" s="86"/>
      <c r="B31" s="301"/>
      <c r="C31" s="86"/>
      <c r="D31" s="268"/>
      <c r="E31" s="86"/>
      <c r="F31" s="86"/>
      <c r="G31" s="19" t="s">
        <v>250</v>
      </c>
      <c r="H31" s="19"/>
      <c r="I31" s="19"/>
      <c r="J31" s="19"/>
      <c r="K31" s="86"/>
    </row>
    <row r="32" spans="1:11" ht="15.75">
      <c r="A32" s="86"/>
      <c r="B32" s="301"/>
      <c r="C32" s="86"/>
      <c r="D32" s="86"/>
      <c r="E32" s="86"/>
      <c r="F32" s="86"/>
      <c r="G32" s="86"/>
      <c r="H32" s="86"/>
      <c r="I32" s="86"/>
      <c r="J32" s="86"/>
      <c r="K32" s="86"/>
    </row>
    <row r="33" spans="1:11" ht="15.75">
      <c r="A33" s="86"/>
      <c r="B33" s="301"/>
      <c r="C33" s="86"/>
      <c r="D33" s="86"/>
      <c r="E33" s="245" t="s">
        <v>40</v>
      </c>
      <c r="F33" s="250"/>
      <c r="G33" s="86"/>
      <c r="H33" s="86"/>
      <c r="I33" s="86"/>
      <c r="J33" s="86"/>
      <c r="K33" s="86"/>
    </row>
    <row r="34" ht="15.75">
      <c r="B34" s="302"/>
    </row>
    <row r="35" ht="15.75">
      <c r="B35" s="302"/>
    </row>
    <row r="36" ht="15.75">
      <c r="B36" s="302"/>
    </row>
    <row r="37" ht="15.75">
      <c r="B37" s="302"/>
    </row>
    <row r="38" ht="15.75">
      <c r="B38" s="302"/>
    </row>
    <row r="39" ht="15.75">
      <c r="B39" s="302"/>
    </row>
    <row r="40" ht="15.75">
      <c r="B40" s="302"/>
    </row>
    <row r="41" ht="15.75">
      <c r="B41" s="302"/>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3" customWidth="1"/>
    <col min="2" max="16384" width="8.8984375" style="83" customWidth="1"/>
  </cols>
  <sheetData>
    <row r="1" ht="18.75">
      <c r="A1" s="466" t="s">
        <v>368</v>
      </c>
    </row>
    <row r="2" ht="15.75">
      <c r="A2" s="1"/>
    </row>
    <row r="3" ht="57" customHeight="1">
      <c r="A3" s="467" t="s">
        <v>717</v>
      </c>
    </row>
    <row r="4" ht="15.75">
      <c r="A4" s="468"/>
    </row>
    <row r="5" ht="15.75">
      <c r="A5" s="1"/>
    </row>
    <row r="6" ht="44.25" customHeight="1">
      <c r="A6" s="467" t="s">
        <v>718</v>
      </c>
    </row>
    <row r="7" ht="15.75">
      <c r="A7" s="1"/>
    </row>
    <row r="8" ht="15.75">
      <c r="A8" s="468"/>
    </row>
    <row r="9" ht="46.5" customHeight="1">
      <c r="A9" s="467" t="s">
        <v>719</v>
      </c>
    </row>
    <row r="10" ht="15.75">
      <c r="A10" s="1"/>
    </row>
    <row r="11" ht="15.75">
      <c r="A11" s="468"/>
    </row>
    <row r="12" ht="60" customHeight="1">
      <c r="A12" s="467" t="s">
        <v>720</v>
      </c>
    </row>
    <row r="13" ht="15.75">
      <c r="A13" s="1"/>
    </row>
    <row r="14" ht="15.75">
      <c r="A14" s="1"/>
    </row>
    <row r="15" ht="61.5" customHeight="1">
      <c r="A15" s="467" t="s">
        <v>721</v>
      </c>
    </row>
    <row r="16" ht="15.75">
      <c r="A16" s="1"/>
    </row>
    <row r="17" ht="15.75">
      <c r="A17" s="1"/>
    </row>
    <row r="18" ht="59.25" customHeight="1">
      <c r="A18" s="467" t="s">
        <v>722</v>
      </c>
    </row>
    <row r="19" ht="15.75">
      <c r="A19" s="1"/>
    </row>
    <row r="20" ht="15.75">
      <c r="A20" s="1"/>
    </row>
    <row r="21" ht="61.5" customHeight="1">
      <c r="A21" s="467" t="s">
        <v>723</v>
      </c>
    </row>
    <row r="22" ht="15.75">
      <c r="A22" s="468"/>
    </row>
    <row r="23" ht="15.75">
      <c r="A23" s="468"/>
    </row>
    <row r="24" ht="63" customHeight="1">
      <c r="A24" s="467" t="s">
        <v>724</v>
      </c>
    </row>
    <row r="25" ht="15.75">
      <c r="A25" s="1"/>
    </row>
    <row r="26" ht="15.75">
      <c r="A26" s="1"/>
    </row>
    <row r="27" ht="52.5" customHeight="1">
      <c r="A27" s="469" t="s">
        <v>725</v>
      </c>
    </row>
    <row r="28" ht="15.75">
      <c r="A28" s="1"/>
    </row>
    <row r="29" ht="15.75">
      <c r="A29" s="1"/>
    </row>
    <row r="30" ht="44.25" customHeight="1">
      <c r="A30" s="467" t="s">
        <v>726</v>
      </c>
    </row>
    <row r="31" ht="15.75">
      <c r="A31" s="1"/>
    </row>
    <row r="32" ht="15.75">
      <c r="A32" s="1"/>
    </row>
    <row r="33" ht="42.75" customHeight="1">
      <c r="A33" s="467" t="s">
        <v>727</v>
      </c>
    </row>
    <row r="34" ht="15.75">
      <c r="A34" s="468"/>
    </row>
    <row r="35" ht="15.75">
      <c r="A35" s="468"/>
    </row>
    <row r="36" ht="38.25" customHeight="1">
      <c r="A36" s="467" t="s">
        <v>728</v>
      </c>
    </row>
    <row r="37" ht="15.75">
      <c r="A37" s="468"/>
    </row>
    <row r="38" ht="15.75">
      <c r="A38" s="1"/>
    </row>
    <row r="39" ht="75.75" customHeight="1">
      <c r="A39" s="467" t="s">
        <v>729</v>
      </c>
    </row>
    <row r="40" ht="15.75">
      <c r="A40" s="1"/>
    </row>
    <row r="41" ht="15.75">
      <c r="A41" s="1"/>
    </row>
    <row r="42" ht="57.75" customHeight="1">
      <c r="A42" s="467" t="s">
        <v>730</v>
      </c>
    </row>
    <row r="43" ht="15.75">
      <c r="A43" s="468"/>
    </row>
    <row r="44" ht="15.75">
      <c r="A44" s="1"/>
    </row>
    <row r="45" ht="57.75" customHeight="1">
      <c r="A45" s="467" t="s">
        <v>731</v>
      </c>
    </row>
    <row r="46" ht="15.75">
      <c r="A46" s="1"/>
    </row>
    <row r="47" ht="15.75">
      <c r="A47" s="1"/>
    </row>
    <row r="48" ht="41.25" customHeight="1">
      <c r="A48" s="467" t="s">
        <v>732</v>
      </c>
    </row>
    <row r="49" ht="15.75">
      <c r="A49" s="1"/>
    </row>
    <row r="50" ht="15.75">
      <c r="A50" s="1"/>
    </row>
    <row r="51" ht="75" customHeight="1">
      <c r="A51" s="467" t="s">
        <v>733</v>
      </c>
    </row>
    <row r="52" ht="15.75">
      <c r="A52" s="468"/>
    </row>
    <row r="53" ht="15.75">
      <c r="A53" s="468"/>
    </row>
    <row r="54" ht="57.75" customHeight="1">
      <c r="A54" s="467" t="s">
        <v>734</v>
      </c>
    </row>
    <row r="55" ht="15.75">
      <c r="A55" s="1"/>
    </row>
    <row r="56" ht="15.75">
      <c r="A56" s="1"/>
    </row>
    <row r="57" ht="44.25" customHeight="1">
      <c r="A57" s="467" t="s">
        <v>735</v>
      </c>
    </row>
    <row r="58" ht="15.75">
      <c r="A58" s="1"/>
    </row>
    <row r="59" ht="15.75">
      <c r="A59" s="1"/>
    </row>
    <row r="60" ht="60" customHeight="1">
      <c r="A60" s="467" t="s">
        <v>736</v>
      </c>
    </row>
    <row r="61" ht="15.75">
      <c r="A61" s="468"/>
    </row>
    <row r="62" ht="15.75">
      <c r="A62" s="468"/>
    </row>
    <row r="63" ht="57.75" customHeight="1">
      <c r="A63" s="467" t="s">
        <v>737</v>
      </c>
    </row>
    <row r="64" ht="15.75">
      <c r="A64" s="1"/>
    </row>
    <row r="65" ht="15.75">
      <c r="A65" s="1"/>
    </row>
    <row r="66" ht="60" customHeight="1">
      <c r="A66" s="467" t="s">
        <v>738</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M61"/>
  <sheetViews>
    <sheetView zoomScale="75" zoomScaleNormal="75" zoomScalePageLayoutView="0" workbookViewId="0" topLeftCell="A43">
      <selection activeCell="D61" sqref="D61"/>
    </sheetView>
  </sheetViews>
  <sheetFormatPr defaultColWidth="8.796875" defaultRowHeight="15"/>
  <cols>
    <col min="1" max="1" width="20.796875" style="8" customWidth="1"/>
    <col min="2" max="2" width="15.796875" style="8" customWidth="1"/>
    <col min="3" max="3" width="10.796875" style="8" customWidth="1"/>
    <col min="4" max="4" width="15.796875" style="8" customWidth="1"/>
    <col min="5" max="5" width="10.796875" style="8" customWidth="1"/>
    <col min="6" max="6" width="15.796875" style="8" customWidth="1"/>
    <col min="7" max="7" width="12.796875" style="8" customWidth="1"/>
    <col min="8" max="8" width="10.796875" style="8" customWidth="1"/>
    <col min="9" max="9" width="8.8984375" style="8" customWidth="1"/>
    <col min="10" max="10" width="12.3984375" style="8" customWidth="1"/>
    <col min="11" max="11" width="12.296875" style="8" customWidth="1"/>
    <col min="12" max="12" width="10.59765625" style="8" customWidth="1"/>
    <col min="13" max="13" width="12.09765625" style="8" customWidth="1"/>
    <col min="14" max="16384" width="8.8984375" style="8" customWidth="1"/>
  </cols>
  <sheetData>
    <row r="1" spans="1:8" ht="15.75">
      <c r="A1" s="86"/>
      <c r="B1" s="86"/>
      <c r="C1" s="86"/>
      <c r="D1" s="86"/>
      <c r="E1" s="86"/>
      <c r="F1" s="86"/>
      <c r="G1" s="86"/>
      <c r="H1" s="86">
        <f>inputPrYr!$C$5</f>
        <v>2013</v>
      </c>
    </row>
    <row r="2" spans="1:9" ht="15.75">
      <c r="A2" s="799" t="s">
        <v>86</v>
      </c>
      <c r="B2" s="799"/>
      <c r="C2" s="799"/>
      <c r="D2" s="799"/>
      <c r="E2" s="799"/>
      <c r="F2" s="799"/>
      <c r="G2" s="799"/>
      <c r="H2" s="799"/>
      <c r="I2" s="303"/>
    </row>
    <row r="3" spans="1:8" ht="15.75">
      <c r="A3" s="22"/>
      <c r="B3" s="22"/>
      <c r="C3" s="22"/>
      <c r="D3" s="22"/>
      <c r="E3" s="22"/>
      <c r="F3" s="22"/>
      <c r="G3" s="22"/>
      <c r="H3" s="22"/>
    </row>
    <row r="4" spans="1:8" ht="15.75">
      <c r="A4" s="791" t="s">
        <v>43</v>
      </c>
      <c r="B4" s="791"/>
      <c r="C4" s="791"/>
      <c r="D4" s="791"/>
      <c r="E4" s="791"/>
      <c r="F4" s="791"/>
      <c r="G4" s="791"/>
      <c r="H4" s="791"/>
    </row>
    <row r="5" spans="1:8" ht="15.75">
      <c r="A5" s="789" t="str">
        <f>inputPrYr!D2</f>
        <v>Valley Center</v>
      </c>
      <c r="B5" s="789"/>
      <c r="C5" s="789"/>
      <c r="D5" s="789"/>
      <c r="E5" s="789"/>
      <c r="F5" s="789"/>
      <c r="G5" s="789"/>
      <c r="H5" s="789"/>
    </row>
    <row r="6" spans="1:8" ht="15.75">
      <c r="A6" s="853" t="str">
        <f>CONCATENATE("will meet on ",inputBudSum!B7," at ",inputBudSum!B9," at ",inputBudSum!B11," for the purpose of")</f>
        <v>will meet on August 21, 2012 at 7:00 PM at City Hall, 121 S. Meridian for the purpose of</v>
      </c>
      <c r="B6" s="853"/>
      <c r="C6" s="853"/>
      <c r="D6" s="853"/>
      <c r="E6" s="853"/>
      <c r="F6" s="853"/>
      <c r="G6" s="853"/>
      <c r="H6" s="853"/>
    </row>
    <row r="7" spans="1:8" ht="15.75">
      <c r="A7" s="791" t="s">
        <v>608</v>
      </c>
      <c r="B7" s="791"/>
      <c r="C7" s="791"/>
      <c r="D7" s="791"/>
      <c r="E7" s="791"/>
      <c r="F7" s="791"/>
      <c r="G7" s="791"/>
      <c r="H7" s="791"/>
    </row>
    <row r="8" spans="1:8" ht="15.75">
      <c r="A8" s="852" t="str">
        <f>CONCATENATE("Detailed budget information is available at ",inputBudSum!B14," and will be available at this hearing.")</f>
        <v>Detailed budget information is available at City Hall, 121 S. Meridian and will be available at this hearing.</v>
      </c>
      <c r="B8" s="852"/>
      <c r="C8" s="852"/>
      <c r="D8" s="852"/>
      <c r="E8" s="852"/>
      <c r="F8" s="852"/>
      <c r="G8" s="852"/>
      <c r="H8" s="852"/>
    </row>
    <row r="9" spans="1:8" ht="15.75">
      <c r="A9" s="32" t="s">
        <v>87</v>
      </c>
      <c r="B9" s="33"/>
      <c r="C9" s="33"/>
      <c r="D9" s="33"/>
      <c r="E9" s="33"/>
      <c r="F9" s="33"/>
      <c r="G9" s="33"/>
      <c r="H9" s="33"/>
    </row>
    <row r="10" spans="1:8" ht="15.75">
      <c r="A10" s="34" t="str">
        <f>CONCATENATE("Proposed Budget ",H1," Expenditures and Amount of  ",H1-1," Ad Valorem Tax establish the maximum limits of the ",H1," budget.")</f>
        <v>Proposed Budget 2013 Expenditures and Amount of  2012 Ad Valorem Tax establish the maximum limits of the 2013 budget.</v>
      </c>
      <c r="B10" s="33"/>
      <c r="C10" s="33"/>
      <c r="D10" s="33"/>
      <c r="E10" s="33"/>
      <c r="F10" s="33"/>
      <c r="G10" s="33"/>
      <c r="H10" s="33"/>
    </row>
    <row r="11" spans="1:8" ht="15.75">
      <c r="A11" s="34" t="s">
        <v>150</v>
      </c>
      <c r="B11" s="33"/>
      <c r="C11" s="33"/>
      <c r="D11" s="33"/>
      <c r="E11" s="33"/>
      <c r="F11" s="33"/>
      <c r="G11" s="33"/>
      <c r="H11" s="33"/>
    </row>
    <row r="12" spans="1:8" ht="15.75">
      <c r="A12" s="22"/>
      <c r="B12" s="258"/>
      <c r="C12" s="258"/>
      <c r="D12" s="258"/>
      <c r="E12" s="258"/>
      <c r="F12" s="258"/>
      <c r="G12" s="258"/>
      <c r="H12" s="258"/>
    </row>
    <row r="13" spans="1:8" ht="15.75">
      <c r="A13" s="22"/>
      <c r="B13" s="304" t="str">
        <f>CONCATENATE("Prior Year Actual for ",H1-2,"")</f>
        <v>Prior Year Actual for 2011</v>
      </c>
      <c r="C13" s="122"/>
      <c r="D13" s="304" t="str">
        <f>CONCATENATE("Current Year Estimate for ",H1-1,"")</f>
        <v>Current Year Estimate for 2012</v>
      </c>
      <c r="E13" s="122"/>
      <c r="F13" s="120" t="str">
        <f>CONCATENATE("Proposed Budget for ",H1,"")</f>
        <v>Proposed Budget for 2013</v>
      </c>
      <c r="G13" s="121"/>
      <c r="H13" s="122"/>
    </row>
    <row r="14" spans="1:8" ht="21" customHeight="1">
      <c r="A14" s="22"/>
      <c r="B14" s="247"/>
      <c r="C14" s="125" t="s">
        <v>44</v>
      </c>
      <c r="D14" s="125"/>
      <c r="E14" s="125" t="s">
        <v>44</v>
      </c>
      <c r="F14" s="391" t="s">
        <v>264</v>
      </c>
      <c r="G14" s="125" t="str">
        <f>CONCATENATE("Amount of ",H1-1,"")</f>
        <v>Amount of 2012</v>
      </c>
      <c r="H14" s="125" t="s">
        <v>211</v>
      </c>
    </row>
    <row r="15" spans="1:8" ht="15.75">
      <c r="A15" s="47" t="s">
        <v>45</v>
      </c>
      <c r="B15" s="129" t="s">
        <v>46</v>
      </c>
      <c r="C15" s="129" t="s">
        <v>47</v>
      </c>
      <c r="D15" s="129" t="s">
        <v>46</v>
      </c>
      <c r="E15" s="129" t="s">
        <v>47</v>
      </c>
      <c r="F15" s="392" t="s">
        <v>632</v>
      </c>
      <c r="G15" s="130" t="s">
        <v>25</v>
      </c>
      <c r="H15" s="129" t="s">
        <v>47</v>
      </c>
    </row>
    <row r="16" spans="1:8" ht="15.75">
      <c r="A16" s="68" t="str">
        <f>inputPrYr!B17</f>
        <v>General</v>
      </c>
      <c r="B16" s="193">
        <f>IF(general!$C$111&lt;&gt;0,general!$C$111,"  ")</f>
        <v>2226650</v>
      </c>
      <c r="C16" s="59">
        <f>IF(inputPrYr!D64&gt;0,inputPrYr!D64,"  ")</f>
        <v>18.142</v>
      </c>
      <c r="D16" s="193">
        <f>IF(general!$D$111&lt;&gt;0,general!$D$111,"  ")</f>
        <v>2246650</v>
      </c>
      <c r="E16" s="59">
        <f>IF(inputOth!D21&gt;0,inputOth!D21,"  ")</f>
        <v>16.27</v>
      </c>
      <c r="F16" s="193">
        <f>IF(general!$E$111&lt;&gt;0,general!$E$111,"  ")</f>
        <v>2235160</v>
      </c>
      <c r="G16" s="193">
        <f>IF(general!$E$118&lt;&gt;0,general!$E$118,"  ")</f>
        <v>779519</v>
      </c>
      <c r="H16" s="59">
        <f>IF(general!E118&gt;0,ROUND(G16/$F$48*1000,3),"  ")</f>
        <v>18.094</v>
      </c>
    </row>
    <row r="17" spans="1:8" ht="15.75">
      <c r="A17" s="68" t="str">
        <f>IF(inputPrYr!$B18&gt;"  ",(inputPrYr!$B18),"  ")</f>
        <v>Debt Service</v>
      </c>
      <c r="B17" s="193">
        <f>IF('DebtSvs-Library'!C33&lt;&gt;0,'DebtSvs-Library'!C33,"  ")</f>
        <v>1805300</v>
      </c>
      <c r="C17" s="59">
        <f>IF(inputPrYr!D65&gt;0,inputPrYr!D65,"  ")</f>
        <v>11.983</v>
      </c>
      <c r="D17" s="193">
        <f>IF('DebtSvs-Library'!D33&lt;&gt;0,'DebtSvs-Library'!D33,"  ")</f>
        <v>1816340</v>
      </c>
      <c r="E17" s="59">
        <f>IF(inputOth!D22&gt;0,inputOth!D22,"  ")</f>
        <v>17.151</v>
      </c>
      <c r="F17" s="193">
        <f>IF('DebtSvs-Library'!E33&lt;&gt;0,'DebtSvs-Library'!E33,"  ")</f>
        <v>2064545</v>
      </c>
      <c r="G17" s="193">
        <f>IF('DebtSvs-Library'!E40&lt;&gt;0,'DebtSvs-Library'!E40," ")</f>
        <v>699970</v>
      </c>
      <c r="H17" s="59">
        <f>IF('DebtSvs-Library'!E40&gt;0,ROUND(G17/$F$48*1000,3)," ")</f>
        <v>16.248</v>
      </c>
    </row>
    <row r="18" spans="1:8" ht="15.75">
      <c r="A18" s="68" t="str">
        <f>IF(inputPrYr!$B19&gt;"  ",(inputPrYr!$B19),"  ")</f>
        <v>Library</v>
      </c>
      <c r="B18" s="193">
        <f>IF('DebtSvs-Library'!C73&lt;&gt;0,'DebtSvs-Library'!C73,"  ")</f>
        <v>222640</v>
      </c>
      <c r="C18" s="59">
        <f>IF(inputPrYr!D66&gt;0,inputPrYr!D66,"  ")</f>
        <v>4.494</v>
      </c>
      <c r="D18" s="193">
        <f>IF('DebtSvs-Library'!D73&lt;&gt;0,'DebtSvs-Library'!D73,"  ")</f>
        <v>223600</v>
      </c>
      <c r="E18" s="59">
        <f>IF(inputOth!D23&gt;0,inputOth!D23,"  ")</f>
        <v>4.497</v>
      </c>
      <c r="F18" s="193">
        <f>IF('DebtSvs-Library'!E73&lt;&gt;0,'DebtSvs-Library'!E73,"  ")</f>
        <v>231700</v>
      </c>
      <c r="G18" s="193">
        <f>IF('DebtSvs-Library'!E80&lt;&gt;0,'DebtSvs-Library'!E80," ")</f>
        <v>193882</v>
      </c>
      <c r="H18" s="59">
        <f>IF('DebtSvs-Library'!E80&gt;0,ROUND(G18/$F$48*1000,3)," ")</f>
        <v>4.5</v>
      </c>
    </row>
    <row r="19" spans="1:8" ht="15.75">
      <c r="A19" s="68" t="str">
        <f>IF(inputPrYr!$B21&gt;"  ",(inputPrYr!$B21),"  ")</f>
        <v>Employee Benefit</v>
      </c>
      <c r="B19" s="193">
        <f>IF('levy page9'!$C$33&gt;0,'levy page9'!$C$33,"  ")</f>
        <v>591400</v>
      </c>
      <c r="C19" s="59">
        <f>IF(inputPrYr!D67&gt;0,inputPrYr!D67,"  ")</f>
        <v>12.831</v>
      </c>
      <c r="D19" s="193">
        <f>IF('levy page9'!$D$33&gt;0,'levy page9'!$D$33,"  ")</f>
        <v>657000</v>
      </c>
      <c r="E19" s="59">
        <f>IF(inputOth!D24&gt;0,inputOth!D24,"  ")</f>
        <v>12.286</v>
      </c>
      <c r="F19" s="193">
        <f>IF('levy page9'!$E$33&gt;0,'levy page9'!$E$33,"  ")</f>
        <v>686000</v>
      </c>
      <c r="G19" s="193">
        <f>IF('levy page9'!$E$40&lt;&gt;0,'levy page9'!$E$40,"  ")</f>
        <v>593106</v>
      </c>
      <c r="H19" s="59">
        <f>IF('levy page9'!E40&lt;&gt;0,ROUND(G19/$F$48*1000,3),"  ")</f>
        <v>13.767</v>
      </c>
    </row>
    <row r="20" spans="1:8" ht="15.75">
      <c r="A20" s="68" t="str">
        <f>IF(inputPrYr!$B22&gt;"  ",(inputPrYr!$B22),"  ")</f>
        <v>Emergency Equipment</v>
      </c>
      <c r="B20" s="193">
        <f>IF('levy page9'!$C$73&gt;0,'levy page9'!$C$73,"  ")</f>
        <v>55640</v>
      </c>
      <c r="C20" s="59">
        <f>IF(inputPrYr!D68&gt;0,inputPrYr!D68,"  ")</f>
        <v>0.998</v>
      </c>
      <c r="D20" s="193">
        <f>IF('levy page9'!$D$73&gt;0,'levy page9'!$D$73,"  ")</f>
        <v>72000</v>
      </c>
      <c r="E20" s="59">
        <f>IF(inputOth!D25&gt;0,inputOth!D25,"  ")</f>
        <v>0.968</v>
      </c>
      <c r="F20" s="193">
        <f>IF('levy page9'!$E$73&gt;0,'levy page9'!$E$73,"  ")</f>
        <v>47700</v>
      </c>
      <c r="G20" s="193">
        <f>IF('levy page9'!$E$80&lt;&gt;0,'levy page9'!$E$80,"  ")</f>
        <v>43080</v>
      </c>
      <c r="H20" s="59">
        <f>IF('levy page9'!E80&lt;&gt;0,ROUND(G20/$F$48*1000,3),"  ")</f>
        <v>1</v>
      </c>
    </row>
    <row r="21" spans="1:8" ht="15.75">
      <c r="A21" s="68" t="str">
        <f>IF(inputPrYr!$B23&gt;"  ",(inputPrYr!$B23),"  ")</f>
        <v>  </v>
      </c>
      <c r="B21" s="193" t="str">
        <f>IF('levy page10'!$C$33&gt;0,'levy page10'!$C$33,"  ")</f>
        <v>  </v>
      </c>
      <c r="C21" s="59" t="str">
        <f>IF(inputPrYr!D69&gt;0,inputPrYr!D69,"  ")</f>
        <v>  </v>
      </c>
      <c r="D21" s="193" t="str">
        <f>IF('levy page10'!$D$33&gt;0,'levy page10'!$D$33,"  ")</f>
        <v>  </v>
      </c>
      <c r="E21" s="59" t="str">
        <f>IF(inputOth!D26&gt;0,inputOth!D26,"  ")</f>
        <v>  </v>
      </c>
      <c r="F21" s="193" t="str">
        <f>IF('levy page10'!$E$33&gt;0,'levy page10'!$E$33,"  ")</f>
        <v>  </v>
      </c>
      <c r="G21" s="193" t="str">
        <f>IF('levy page10'!$E$40&lt;&gt;0,'levy page10'!$E$40,"  ")</f>
        <v>  </v>
      </c>
      <c r="H21" s="59" t="str">
        <f>IF('levy page10'!E40&lt;&gt;0,ROUND(G21/$F$48*1000,3),"  ")</f>
        <v>  </v>
      </c>
    </row>
    <row r="22" spans="1:8" ht="15.75">
      <c r="A22" s="68" t="str">
        <f>IF(inputPrYr!$B24&gt;"  ",(inputPrYr!$B24),"  ")</f>
        <v>  </v>
      </c>
      <c r="B22" s="193" t="str">
        <f>IF('levy page10'!$C$73&gt;0,'levy page10'!$C$73,"  ")</f>
        <v>  </v>
      </c>
      <c r="C22" s="59" t="str">
        <f>IF(inputPrYr!D70&gt;0,inputPrYr!D70,"  ")</f>
        <v>  </v>
      </c>
      <c r="D22" s="193" t="str">
        <f>IF('levy page10'!$D$73&gt;0,'levy page10'!$D$73,"  ")</f>
        <v>  </v>
      </c>
      <c r="E22" s="59" t="str">
        <f>IF(inputOth!D27&gt;0,inputOth!D27,"  ")</f>
        <v>  </v>
      </c>
      <c r="F22" s="193" t="str">
        <f>IF('levy page10'!$E$73&gt;0,'levy page10'!$E$73,"  ")</f>
        <v>  </v>
      </c>
      <c r="G22" s="193" t="str">
        <f>IF('levy page10'!$E$80&lt;&gt;0,'levy page10'!$E$80,"  ")</f>
        <v>  </v>
      </c>
      <c r="H22" s="59" t="str">
        <f>IF('levy page10'!E80&lt;&gt;0,ROUND(G22/$F$48*1000,3),"  ")</f>
        <v>  </v>
      </c>
    </row>
    <row r="23" spans="1:8" ht="15.75">
      <c r="A23" s="68" t="str">
        <f>IF(inputPrYr!$B25&gt;"  ",(inputPrYr!$B25),"  ")</f>
        <v>  </v>
      </c>
      <c r="B23" s="193" t="str">
        <f>IF('levy page11'!$C$33&gt;0,'levy page11'!$C$33,"  ")</f>
        <v>  </v>
      </c>
      <c r="C23" s="59" t="str">
        <f>IF(inputPrYr!D71&gt;0,inputPrYr!D71,"  ")</f>
        <v>  </v>
      </c>
      <c r="D23" s="193" t="str">
        <f>IF('levy page11'!$D$33&gt;0,'levy page11'!$D$33,"  ")</f>
        <v>  </v>
      </c>
      <c r="E23" s="59" t="str">
        <f>IF(inputOth!D28&gt;0,inputOth!D28,"  ")</f>
        <v>  </v>
      </c>
      <c r="F23" s="193" t="str">
        <f>IF('levy page11'!$E$33&gt;0,'levy page11'!$E$33,"  ")</f>
        <v>  </v>
      </c>
      <c r="G23" s="193" t="str">
        <f>IF('levy page11'!$E$40&lt;&gt;0,'levy page11'!$E$40,"  ")</f>
        <v>  </v>
      </c>
      <c r="H23" s="59" t="str">
        <f>IF('levy page11'!E40&lt;&gt;0,ROUND(G23/$F$48*1000,3),"  ")</f>
        <v>  </v>
      </c>
    </row>
    <row r="24" spans="1:8" ht="15.75">
      <c r="A24" s="68" t="str">
        <f>IF(inputPrYr!$B26&gt;"  ",(inputPrYr!$B26),"  ")</f>
        <v>  </v>
      </c>
      <c r="B24" s="193" t="str">
        <f>IF('levy page11'!$C$73&gt;0,'levy page11'!$C$73,"  ")</f>
        <v>  </v>
      </c>
      <c r="C24" s="59" t="str">
        <f>IF(inputPrYr!D72&gt;0,inputPrYr!D72,"  ")</f>
        <v>  </v>
      </c>
      <c r="D24" s="193" t="str">
        <f>IF('levy page11'!$D$73&gt;0,'levy page11'!$D$73,"  ")</f>
        <v>  </v>
      </c>
      <c r="E24" s="59" t="str">
        <f>IF(inputOth!D29&gt;0,inputOth!D29,"  ")</f>
        <v>  </v>
      </c>
      <c r="F24" s="193" t="str">
        <f>IF('levy page11'!$E$73&gt;0,'levy page11'!$E$73,"  ")</f>
        <v>  </v>
      </c>
      <c r="G24" s="193" t="str">
        <f>IF('levy page11'!$E$80&lt;&gt;0,'levy page11'!$E$80,"  ")</f>
        <v>  </v>
      </c>
      <c r="H24" s="59" t="str">
        <f>IF('levy page11'!E80&lt;&gt;0,ROUND(G24/$F$48*1000,3),"  ")</f>
        <v>  </v>
      </c>
    </row>
    <row r="25" spans="1:8" ht="15.75">
      <c r="A25" s="68" t="str">
        <f>IF(inputPrYr!$B27&gt;"  ",(inputPrYr!$B27),"  ")</f>
        <v>  </v>
      </c>
      <c r="B25" s="193" t="str">
        <f>IF('levy page12'!$C$33&gt;0,'levy page12'!$C$33,"  ")</f>
        <v>  </v>
      </c>
      <c r="C25" s="59" t="str">
        <f>IF(inputPrYr!D73&gt;0,inputPrYr!D73,"  ")</f>
        <v>  </v>
      </c>
      <c r="D25" s="193" t="str">
        <f>IF('levy page12'!$D$33&gt;0,'levy page12'!$D$33,"  ")</f>
        <v>  </v>
      </c>
      <c r="E25" s="59" t="str">
        <f>IF(inputOth!D30&gt;0,inputOth!D30,"  ")</f>
        <v>  </v>
      </c>
      <c r="F25" s="193" t="str">
        <f>IF('levy page12'!$E$33&gt;0,'levy page12'!$E$33,"  ")</f>
        <v>  </v>
      </c>
      <c r="G25" s="193" t="str">
        <f>IF('levy page12'!$E$40&lt;&gt;0,'levy page12'!$E$40,"  ")</f>
        <v>  </v>
      </c>
      <c r="H25" s="59" t="str">
        <f>IF('levy page12'!E40&lt;&gt;0,ROUND(G25/$F$48*1000,3),"  ")</f>
        <v>  </v>
      </c>
    </row>
    <row r="26" spans="1:8" ht="15.75">
      <c r="A26" s="68" t="str">
        <f>IF(inputPrYr!$B28&gt;"  ",(inputPrYr!$B28),"  ")</f>
        <v>  </v>
      </c>
      <c r="B26" s="193" t="str">
        <f>IF('levy page12'!$C$73&gt;0,'levy page12'!$C$73,"  ")</f>
        <v>  </v>
      </c>
      <c r="C26" s="59" t="str">
        <f>IF(inputPrYr!D74&gt;0,inputPrYr!D74,"  ")</f>
        <v>  </v>
      </c>
      <c r="D26" s="193" t="str">
        <f>IF('levy page12'!$D$73&gt;0,'levy page12'!$D$73,"  ")</f>
        <v>  </v>
      </c>
      <c r="E26" s="59" t="str">
        <f>IF(inputOth!D31&gt;0,inputOth!D31,"  ")</f>
        <v>  </v>
      </c>
      <c r="F26" s="193" t="str">
        <f>IF('levy page12'!$E$73&gt;0,'levy page12'!$E$73,"  ")</f>
        <v>  </v>
      </c>
      <c r="G26" s="193" t="str">
        <f>IF('levy page12'!$E$80&lt;&gt;0,'levy page12'!$E$80,"  ")</f>
        <v>  </v>
      </c>
      <c r="H26" s="59" t="str">
        <f>IF('levy page12'!E80&lt;&gt;0,ROUND(G26/$F$48*1000,3),"  ")</f>
        <v>  </v>
      </c>
    </row>
    <row r="27" spans="1:8" ht="15.75">
      <c r="A27" s="68" t="str">
        <f>IF(inputPrYr!$B29&gt;"  ",(inputPrYr!$B29),"  ")</f>
        <v>  </v>
      </c>
      <c r="B27" s="193" t="str">
        <f>IF('levy page13'!$C$33&gt;0,'levy page13'!$C$33,"  ")</f>
        <v>  </v>
      </c>
      <c r="C27" s="59" t="str">
        <f>IF(inputPrYr!D75&gt;0,inputPrYr!D75,"  ")</f>
        <v>  </v>
      </c>
      <c r="D27" s="193" t="str">
        <f>IF('levy page13'!$D$33&gt;0,'levy page13'!$D$33,"  ")</f>
        <v>  </v>
      </c>
      <c r="E27" s="59" t="str">
        <f>IF(inputOth!D32&gt;0,inputOth!D32,"  ")</f>
        <v>  </v>
      </c>
      <c r="F27" s="193" t="str">
        <f>IF('levy page13'!$E$33&gt;0,'levy page13'!$E$33,"  ")</f>
        <v>  </v>
      </c>
      <c r="G27" s="193" t="str">
        <f>IF('levy page13'!$E$40&lt;&gt;0,'levy page13'!$E$40,"  ")</f>
        <v>  </v>
      </c>
      <c r="H27" s="59" t="str">
        <f>IF('levy page13'!E40&lt;&gt;0,ROUND(G27/$F$48*1000,3),"  ")</f>
        <v>  </v>
      </c>
    </row>
    <row r="28" spans="1:8" ht="15.75">
      <c r="A28" s="68" t="str">
        <f>IF(inputPrYr!$B30&gt;"  ",(inputPrYr!$B30),"  ")</f>
        <v>  </v>
      </c>
      <c r="B28" s="193" t="str">
        <f>IF('levy page13'!$C$73&gt;0,'levy page13'!$C$73,"  ")</f>
        <v>  </v>
      </c>
      <c r="C28" s="59" t="str">
        <f>IF(inputPrYr!D76&gt;0,inputPrYr!D76,"  ")</f>
        <v>  </v>
      </c>
      <c r="D28" s="193" t="str">
        <f>IF('levy page13'!$D$73&gt;0,'levy page13'!$D$73,"  ")</f>
        <v>  </v>
      </c>
      <c r="E28" s="59" t="str">
        <f>IF(inputOth!D33&gt;0,inputOth!D33,"  ")</f>
        <v>  </v>
      </c>
      <c r="F28" s="193" t="str">
        <f>IF('levy page13'!$E$73&gt;0,'levy page13'!$E$73,"  ")</f>
        <v>  </v>
      </c>
      <c r="G28" s="193" t="str">
        <f>IF('levy page13'!$E$80&lt;&gt;0,'levy page13'!$E$80,"  ")</f>
        <v>  </v>
      </c>
      <c r="H28" s="59" t="str">
        <f>IF('levy page13'!E80&lt;&gt;0,ROUND(G28/$F$48*1000,3),"  ")</f>
        <v>  </v>
      </c>
    </row>
    <row r="29" spans="1:8" ht="15.75">
      <c r="A29" s="68" t="str">
        <f>IF(inputPrYr!$B34&gt;"  ",(inputPrYr!$B34),"  ")</f>
        <v>Special Highway</v>
      </c>
      <c r="B29" s="193">
        <f>IF('Sp Hiway'!$C$28&gt;0,'Sp Hiway'!$C$28,"  ")</f>
        <v>726190</v>
      </c>
      <c r="C29" s="48"/>
      <c r="D29" s="193">
        <f>IF('Sp Hiway'!$D$28&gt;0,'Sp Hiway'!$D$28,"  ")</f>
        <v>826400</v>
      </c>
      <c r="E29" s="48"/>
      <c r="F29" s="193">
        <f>IF('Sp Hiway'!$E$28&gt;0,'Sp Hiway'!$E$28,"  ")</f>
        <v>839400</v>
      </c>
      <c r="G29" s="193"/>
      <c r="H29" s="48"/>
    </row>
    <row r="30" spans="1:8" ht="15.75">
      <c r="A30" s="68" t="str">
        <f>IF(inputPrYr!$B35&gt;"  ",(inputPrYr!$B35),"  ")</f>
        <v>Equipment Reserve</v>
      </c>
      <c r="B30" s="193">
        <f>IF('Sp Hiway'!$C$59&gt;0,'Sp Hiway'!$C$59,"  ")</f>
        <v>120360</v>
      </c>
      <c r="C30" s="48"/>
      <c r="D30" s="193">
        <f>IF('Sp Hiway'!$D$59&gt;0,'Sp Hiway'!$D$59,"  ")</f>
        <v>49500</v>
      </c>
      <c r="E30" s="48"/>
      <c r="F30" s="193">
        <f>IF('Sp Hiway'!$E$59&gt;0,'Sp Hiway'!$E$59,"  ")</f>
        <v>10000</v>
      </c>
      <c r="G30" s="193"/>
      <c r="H30" s="48"/>
    </row>
    <row r="31" spans="1:8" ht="15.75">
      <c r="A31" s="68" t="str">
        <f>IF(inputPrYr!$B36&gt;"  ",(inputPrYr!$B36),"  ")</f>
        <v>ADSAP</v>
      </c>
      <c r="B31" s="193" t="str">
        <f>IF(nolevypage15!$C$28&gt;0,nolevypage15!$C$28,"  ")</f>
        <v>  </v>
      </c>
      <c r="C31" s="48"/>
      <c r="D31" s="193" t="str">
        <f>IF(nolevypage15!$D$28&gt;0,nolevypage15!$D$28,"  ")</f>
        <v>  </v>
      </c>
      <c r="E31" s="48"/>
      <c r="F31" s="193">
        <f>IF(nolevypage15!$E$28&gt;0,nolevypage15!$E$28,"  ")</f>
        <v>1000</v>
      </c>
      <c r="G31" s="193"/>
      <c r="H31" s="48"/>
    </row>
    <row r="32" spans="1:13" ht="15.75">
      <c r="A32" s="68" t="str">
        <f>IF(inputPrYr!$B37&gt;"  ",(inputPrYr!$B37),"  ")</f>
        <v>Active Aging</v>
      </c>
      <c r="B32" s="193">
        <f>IF(nolevypage15!$C$59&gt;0,nolevypage15!$C$59,"  ")</f>
        <v>5000</v>
      </c>
      <c r="C32" s="48"/>
      <c r="D32" s="193">
        <f>IF(nolevypage15!$D$59&gt;0,nolevypage15!$D$59,"  ")</f>
        <v>5000</v>
      </c>
      <c r="E32" s="48"/>
      <c r="F32" s="193">
        <f>IF(nolevypage15!$E$59&gt;0,nolevypage15!$E$59,"  ")</f>
        <v>5000</v>
      </c>
      <c r="G32" s="193"/>
      <c r="H32" s="48"/>
      <c r="J32" s="843" t="str">
        <f>CONCATENATE("Estimated Value Of One Mill For ",H1,"")</f>
        <v>Estimated Value Of One Mill For 2013</v>
      </c>
      <c r="K32" s="844"/>
      <c r="L32" s="844"/>
      <c r="M32" s="845"/>
    </row>
    <row r="33" spans="1:13" ht="15.75">
      <c r="A33" s="68" t="str">
        <f>IF(inputPrYr!$B38&gt;"  ",(inputPrYr!$B38),"  ")</f>
        <v>Special Alcohol &amp; Drug</v>
      </c>
      <c r="B33" s="193" t="str">
        <f>IF(nolevypage16!$C$28&gt;0,nolevypage16!$C$28,"  ")</f>
        <v>  </v>
      </c>
      <c r="C33" s="48"/>
      <c r="D33" s="193">
        <f>IF(nolevypage16!$D$28&gt;0,nolevypage16!$D$28,"  ")</f>
        <v>1000</v>
      </c>
      <c r="E33" s="48"/>
      <c r="F33" s="193">
        <f>IF(nolevypage16!$E$28&gt;0,nolevypage16!$E$28,"  ")</f>
        <v>1000</v>
      </c>
      <c r="G33" s="193"/>
      <c r="H33" s="48"/>
      <c r="J33" s="496"/>
      <c r="K33" s="497"/>
      <c r="L33" s="497"/>
      <c r="M33" s="498"/>
    </row>
    <row r="34" spans="1:13" ht="15.75">
      <c r="A34" s="68" t="str">
        <f>IF(inputPrYr!$B39&gt;"  ",(inputPrYr!$B39),"  ")</f>
        <v>Special Park &amp; Recreation</v>
      </c>
      <c r="B34" s="193" t="str">
        <f>IF(nolevypage16!$C$59&gt;0,nolevypage16!$C$59,"  ")</f>
        <v>  </v>
      </c>
      <c r="C34" s="48"/>
      <c r="D34" s="193">
        <f>IF(nolevypage16!$D$59&gt;0,nolevypage16!$D$59,"  ")</f>
        <v>1000</v>
      </c>
      <c r="E34" s="48"/>
      <c r="F34" s="193">
        <f>IF(nolevypage16!$E$59&gt;0,nolevypage16!$E$59,"  ")</f>
        <v>1000</v>
      </c>
      <c r="G34" s="193"/>
      <c r="H34" s="48"/>
      <c r="J34" s="499" t="s">
        <v>746</v>
      </c>
      <c r="K34" s="500"/>
      <c r="L34" s="500"/>
      <c r="M34" s="501">
        <f>ROUND(F48/1000,0)</f>
        <v>43082</v>
      </c>
    </row>
    <row r="35" spans="1:8" ht="15.75">
      <c r="A35" s="68" t="str">
        <f>IF(inputPrYr!$B40&gt;"  ",(inputPrYr!$B40),"  ")</f>
        <v>Drug Tax Distribution</v>
      </c>
      <c r="B35" s="193" t="str">
        <f>IF(nolevypage17!$C$28&gt;0,nolevypage17!$C$28,"  ")</f>
        <v>  </v>
      </c>
      <c r="C35" s="48"/>
      <c r="D35" s="193">
        <f>IF(nolevypage17!$D$28&gt;0,nolevypage17!$D$28,"  ")</f>
        <v>1000</v>
      </c>
      <c r="E35" s="48"/>
      <c r="F35" s="193">
        <f>IF(nolevypage17!$E$28&gt;0,nolevypage17!$E$28,"  ")</f>
        <v>1000</v>
      </c>
      <c r="G35" s="193"/>
      <c r="H35" s="48"/>
    </row>
    <row r="36" spans="1:13" ht="15.75">
      <c r="A36" s="68" t="str">
        <f>IF(inputPrYr!$B41&gt;"  ",(inputPrYr!$B41),"  ")</f>
        <v>  </v>
      </c>
      <c r="B36" s="193" t="str">
        <f>IF(nolevypage17!$C$60&gt;0,nolevypage17!$C$60,"  ")</f>
        <v>  </v>
      </c>
      <c r="C36" s="48"/>
      <c r="D36" s="193" t="str">
        <f>IF(nolevypage17!$D$60&gt;0,nolevypage17!$D$60,"  ")</f>
        <v>  </v>
      </c>
      <c r="E36" s="48"/>
      <c r="F36" s="193" t="str">
        <f>IF(nolevypage17!$E$60&gt;0,nolevypage17!$E$60,"  ")</f>
        <v>  </v>
      </c>
      <c r="G36" s="193"/>
      <c r="H36" s="48"/>
      <c r="J36" s="843" t="str">
        <f>CONCATENATE("Want The Mill Rate The Same As For ",H1-1,"?")</f>
        <v>Want The Mill Rate The Same As For 2012?</v>
      </c>
      <c r="K36" s="844"/>
      <c r="L36" s="844"/>
      <c r="M36" s="845"/>
    </row>
    <row r="37" spans="1:13" ht="15.75">
      <c r="A37" s="68" t="str">
        <f>IF(inputPrYr!$B44&gt;"  ",(inputPrYr!$B44),"  ")</f>
        <v>Water Utility</v>
      </c>
      <c r="B37" s="193">
        <f>IF(SinNoLevy18!$C$47&gt;0,SinNoLevy18!$C$47,"  ")</f>
        <v>1391610</v>
      </c>
      <c r="C37" s="48"/>
      <c r="D37" s="193">
        <f>IF(SinNoLevy18!$D$47&gt;0,SinNoLevy18!$D$47,"  ")</f>
        <v>1243670</v>
      </c>
      <c r="E37" s="48"/>
      <c r="F37" s="193">
        <f>IF(SinNoLevy18!$E$47&gt;0,SinNoLevy18!$E$47,"  ")</f>
        <v>1316800</v>
      </c>
      <c r="G37" s="193"/>
      <c r="H37" s="48"/>
      <c r="J37" s="503"/>
      <c r="K37" s="497"/>
      <c r="L37" s="497"/>
      <c r="M37" s="504"/>
    </row>
    <row r="38" spans="1:13" ht="15.75">
      <c r="A38" s="68" t="str">
        <f>IF(inputPrYr!$B45&gt;"  ",(inputPrYr!$B45),"  ")</f>
        <v>Sewer Utility</v>
      </c>
      <c r="B38" s="193">
        <f>IF(SinNoLevy19!$C$47&gt;0,SinNoLevy19!$C$47,"  ")</f>
        <v>932610</v>
      </c>
      <c r="C38" s="48"/>
      <c r="D38" s="193">
        <f>IF(SinNoLevy19!$D$47&gt;0,SinNoLevy19!$D$47,"  ")</f>
        <v>1009100</v>
      </c>
      <c r="E38" s="48"/>
      <c r="F38" s="193">
        <f>IF(SinNoLevy19!$E$47&gt;0,SinNoLevy19!$E$47,"  ")</f>
        <v>1036600</v>
      </c>
      <c r="G38" s="193"/>
      <c r="H38" s="48"/>
      <c r="J38" s="503" t="str">
        <f>CONCATENATE("",H1-1," Mill Rate Was:")</f>
        <v>2012 Mill Rate Was:</v>
      </c>
      <c r="K38" s="497"/>
      <c r="L38" s="497"/>
      <c r="M38" s="505">
        <f>E43</f>
        <v>51.172</v>
      </c>
    </row>
    <row r="39" spans="1:13" ht="15.75">
      <c r="A39" s="68" t="str">
        <f>IF(inputPrYr!$B46&gt;"  ",(inputPrYr!$B46),"  ")</f>
        <v>Storm Water Utility</v>
      </c>
      <c r="B39" s="193">
        <f>IF(SinNoLevy20!$C$47&gt;0,SinNoLevy20!$C$47,"  ")</f>
        <v>45620</v>
      </c>
      <c r="C39" s="48"/>
      <c r="D39" s="193">
        <f>IF(SinNoLevy20!$D$47&gt;0,SinNoLevy20!$D$47,"  ")</f>
        <v>46620</v>
      </c>
      <c r="E39" s="48"/>
      <c r="F39" s="193">
        <f>IF(SinNoLevy20!$E$47&gt;0,SinNoLevy20!$E$47,"  ")</f>
        <v>45350</v>
      </c>
      <c r="G39" s="193"/>
      <c r="H39" s="48"/>
      <c r="J39" s="506" t="str">
        <f>CONCATENATE("",H1," Tax Levy Fund Expenditures Must Be")</f>
        <v>2013 Tax Levy Fund Expenditures Must Be</v>
      </c>
      <c r="K39" s="507"/>
      <c r="L39" s="507"/>
      <c r="M39" s="504"/>
    </row>
    <row r="40" spans="1:13" ht="15.75">
      <c r="A40" s="68" t="str">
        <f>IF(inputPrYr!$B47&gt;"  ",(inputPrYr!$B47),"  ")</f>
        <v>Solid Waste Utility</v>
      </c>
      <c r="B40" s="193">
        <f>IF(SinNoLevy21!$C$47&gt;0,SinNoLevy21!$C$47,"  ")</f>
        <v>306770</v>
      </c>
      <c r="C40" s="48"/>
      <c r="D40" s="193">
        <f>IF(SinNoLevy21!$D$47&gt;0,SinNoLevy21!$D$47,"  ")</f>
        <v>299900</v>
      </c>
      <c r="E40" s="48"/>
      <c r="F40" s="193">
        <f>IF(SinNoLevy21!$E$47&gt;0,SinNoLevy21!$E$47,"  ")</f>
        <v>332500</v>
      </c>
      <c r="G40" s="193"/>
      <c r="H40" s="48"/>
      <c r="J40" s="506">
        <f>IF(M40&gt;0,"Increased By:","")</f>
      </c>
      <c r="K40" s="507"/>
      <c r="L40" s="507"/>
      <c r="M40" s="547">
        <f>IF(M47&lt;0,M47*-1,0)</f>
        <v>0</v>
      </c>
    </row>
    <row r="41" spans="1:13" ht="15.75">
      <c r="A41" s="68" t="str">
        <f>IF(inputPrYr!$B51&gt;" ",(NonBudA!$A3),"  ")</f>
        <v>Non-Budgeted Funds-A</v>
      </c>
      <c r="B41" s="193">
        <f>IF(NonBudA!$K$28&gt;0,NonBudA!$K$28,"  ")</f>
        <v>510470</v>
      </c>
      <c r="C41" s="48"/>
      <c r="D41" s="193"/>
      <c r="E41" s="48"/>
      <c r="F41" s="193"/>
      <c r="G41" s="193"/>
      <c r="H41" s="48"/>
      <c r="J41" s="548" t="str">
        <f>IF(M41&lt;0,"Reduced By:","")</f>
        <v>Reduced By:</v>
      </c>
      <c r="K41" s="549"/>
      <c r="L41" s="549"/>
      <c r="M41" s="550">
        <f>IF(M47&gt;0,M47*-1,0)</f>
        <v>-104987</v>
      </c>
    </row>
    <row r="42" spans="1:13" ht="15.75">
      <c r="A42" s="68" t="str">
        <f>IF(inputPrYr!$B57&gt;" ",(NonBudB!$A3),"  ")</f>
        <v>  </v>
      </c>
      <c r="B42" s="415" t="str">
        <f>IF(NonBudB!$K$28&gt;0,NonBudB!$K$28,"  ")</f>
        <v>  </v>
      </c>
      <c r="C42" s="133"/>
      <c r="D42" s="415"/>
      <c r="E42" s="133"/>
      <c r="F42" s="415"/>
      <c r="G42" s="415"/>
      <c r="H42" s="133"/>
      <c r="J42" s="510"/>
      <c r="K42" s="510"/>
      <c r="L42" s="510"/>
      <c r="M42" s="510"/>
    </row>
    <row r="43" spans="1:13" ht="15.75">
      <c r="A43" s="124" t="s">
        <v>750</v>
      </c>
      <c r="B43" s="381">
        <f>SUM(B16:B42)</f>
        <v>8940260</v>
      </c>
      <c r="C43" s="385">
        <f>SUM(C16:C28)</f>
        <v>48.448</v>
      </c>
      <c r="D43" s="381">
        <f>SUM(D16:D42)</f>
        <v>8498780</v>
      </c>
      <c r="E43" s="385">
        <f>SUM(E16:E28)</f>
        <v>51.172</v>
      </c>
      <c r="F43" s="381">
        <f>SUM(F16:F42)</f>
        <v>8854755</v>
      </c>
      <c r="G43" s="381">
        <f>SUM(G16:G42)</f>
        <v>2309557</v>
      </c>
      <c r="H43" s="408">
        <f>SUM(H16:H28)</f>
        <v>53.608999999999995</v>
      </c>
      <c r="J43" s="843" t="str">
        <f>CONCATENATE("Impact On Keeping The Same Mill Rate As For ",H1-1,"")</f>
        <v>Impact On Keeping The Same Mill Rate As For 2012</v>
      </c>
      <c r="K43" s="848"/>
      <c r="L43" s="848"/>
      <c r="M43" s="849"/>
    </row>
    <row r="44" spans="1:13" ht="15.75">
      <c r="A44" s="29" t="s">
        <v>48</v>
      </c>
      <c r="B44" s="414">
        <f>transfers!C28</f>
        <v>922860</v>
      </c>
      <c r="C44" s="519"/>
      <c r="D44" s="414">
        <f>transfers!D28</f>
        <v>948730</v>
      </c>
      <c r="E44" s="519"/>
      <c r="F44" s="414">
        <f>transfers!E28</f>
        <v>902400</v>
      </c>
      <c r="G44" s="58"/>
      <c r="H44" s="52"/>
      <c r="I44" s="494"/>
      <c r="J44" s="503"/>
      <c r="K44" s="497"/>
      <c r="L44" s="497"/>
      <c r="M44" s="504"/>
    </row>
    <row r="45" spans="1:13" ht="16.5" thickBot="1">
      <c r="A45" s="29" t="s">
        <v>49</v>
      </c>
      <c r="B45" s="382">
        <f>B43-B44</f>
        <v>8017400</v>
      </c>
      <c r="C45" s="22"/>
      <c r="D45" s="382">
        <f>D43-D44</f>
        <v>7550050</v>
      </c>
      <c r="E45" s="22"/>
      <c r="F45" s="382">
        <f>F43-F44</f>
        <v>7952355</v>
      </c>
      <c r="G45" s="22"/>
      <c r="H45" s="22"/>
      <c r="J45" s="503" t="str">
        <f>CONCATENATE("",H1," Ad Valorem Tax Revenue:")</f>
        <v>2013 Ad Valorem Tax Revenue:</v>
      </c>
      <c r="K45" s="497"/>
      <c r="L45" s="497"/>
      <c r="M45" s="498">
        <f>G43</f>
        <v>2309557</v>
      </c>
    </row>
    <row r="46" spans="1:13" ht="16.5" thickTop="1">
      <c r="A46" s="29" t="s">
        <v>50</v>
      </c>
      <c r="B46" s="414">
        <f>inputPrYr!E79</f>
        <v>2121666</v>
      </c>
      <c r="C46" s="151"/>
      <c r="D46" s="414">
        <f>inputPrYr!E31</f>
        <v>2261493</v>
      </c>
      <c r="E46" s="151"/>
      <c r="F46" s="305" t="s">
        <v>13</v>
      </c>
      <c r="G46" s="22"/>
      <c r="H46" s="22"/>
      <c r="J46" s="503" t="str">
        <f>CONCATENATE("",H1-1," Ad Valorem Tax Revenue:")</f>
        <v>2012 Ad Valorem Tax Revenue:</v>
      </c>
      <c r="K46" s="497"/>
      <c r="L46" s="497"/>
      <c r="M46" s="511">
        <f>ROUND(F48*M38/1000,0)</f>
        <v>2204570</v>
      </c>
    </row>
    <row r="47" spans="1:13" ht="15.75">
      <c r="A47" s="29" t="s">
        <v>51</v>
      </c>
      <c r="B47" s="415"/>
      <c r="C47" s="22"/>
      <c r="D47" s="415"/>
      <c r="E47" s="169"/>
      <c r="F47" s="133"/>
      <c r="G47" s="22"/>
      <c r="H47" s="22"/>
      <c r="J47" s="508" t="s">
        <v>747</v>
      </c>
      <c r="K47" s="509"/>
      <c r="L47" s="509"/>
      <c r="M47" s="501">
        <f>SUM(M45-M46)</f>
        <v>104987</v>
      </c>
    </row>
    <row r="48" spans="1:13" ht="15.75">
      <c r="A48" s="29" t="s">
        <v>52</v>
      </c>
      <c r="B48" s="414">
        <f>inputPrYr!E80</f>
        <v>43792585</v>
      </c>
      <c r="C48" s="60"/>
      <c r="D48" s="414">
        <f>inputOth!E36</f>
        <v>44193447</v>
      </c>
      <c r="E48" s="60"/>
      <c r="F48" s="414">
        <f>inputOth!E7</f>
        <v>43081575</v>
      </c>
      <c r="G48" s="22"/>
      <c r="H48" s="22"/>
      <c r="J48" s="502"/>
      <c r="K48" s="502"/>
      <c r="L48" s="502"/>
      <c r="M48" s="510"/>
    </row>
    <row r="49" spans="1:13" ht="15.75">
      <c r="A49" s="29" t="s">
        <v>53</v>
      </c>
      <c r="B49" s="22"/>
      <c r="C49" s="22"/>
      <c r="D49" s="22"/>
      <c r="E49" s="22"/>
      <c r="F49" s="22"/>
      <c r="G49" s="22"/>
      <c r="H49" s="22"/>
      <c r="J49" s="843" t="s">
        <v>748</v>
      </c>
      <c r="K49" s="846"/>
      <c r="L49" s="846"/>
      <c r="M49" s="847"/>
    </row>
    <row r="50" spans="1:13" ht="15.75">
      <c r="A50" s="29" t="s">
        <v>54</v>
      </c>
      <c r="B50" s="306">
        <f>$H$1-3</f>
        <v>2010</v>
      </c>
      <c r="C50" s="22"/>
      <c r="D50" s="306">
        <f>$H$1-2</f>
        <v>2011</v>
      </c>
      <c r="E50" s="22"/>
      <c r="F50" s="306">
        <f>$H$1-1</f>
        <v>2012</v>
      </c>
      <c r="G50" s="22"/>
      <c r="H50" s="22"/>
      <c r="J50" s="503"/>
      <c r="K50" s="497"/>
      <c r="L50" s="497"/>
      <c r="M50" s="504"/>
    </row>
    <row r="51" spans="1:13" ht="15.75">
      <c r="A51" s="29" t="s">
        <v>55</v>
      </c>
      <c r="B51" s="183">
        <f>inputPrYr!D83</f>
        <v>12095000</v>
      </c>
      <c r="C51" s="22"/>
      <c r="D51" s="183">
        <f>inputPrYr!E83</f>
        <v>11570000</v>
      </c>
      <c r="E51" s="22"/>
      <c r="F51" s="183">
        <f>debt!G22</f>
        <v>10415000</v>
      </c>
      <c r="G51" s="22"/>
      <c r="H51" s="22"/>
      <c r="J51" s="503" t="str">
        <f>CONCATENATE("Current ",H1," Estimated Mill Rate:")</f>
        <v>Current 2013 Estimated Mill Rate:</v>
      </c>
      <c r="K51" s="497"/>
      <c r="L51" s="497"/>
      <c r="M51" s="505">
        <f>H43</f>
        <v>53.608999999999995</v>
      </c>
    </row>
    <row r="52" spans="1:13" ht="15.75">
      <c r="A52" s="29" t="s">
        <v>56</v>
      </c>
      <c r="B52" s="183">
        <f>inputPrYr!D84</f>
        <v>0</v>
      </c>
      <c r="C52" s="22"/>
      <c r="D52" s="183">
        <f>inputPrYr!E84</f>
        <v>0</v>
      </c>
      <c r="E52" s="22"/>
      <c r="F52" s="183">
        <f>debt!G32</f>
        <v>0</v>
      </c>
      <c r="G52" s="22"/>
      <c r="H52" s="22"/>
      <c r="J52" s="503" t="str">
        <f>CONCATENATE("Desired ",H1," Mill Rate:")</f>
        <v>Desired 2013 Mill Rate:</v>
      </c>
      <c r="K52" s="497"/>
      <c r="L52" s="497"/>
      <c r="M52" s="495">
        <v>55</v>
      </c>
    </row>
    <row r="53" spans="1:13" ht="15.75">
      <c r="A53" s="22" t="s">
        <v>74</v>
      </c>
      <c r="B53" s="183">
        <f>inputPrYr!D85</f>
        <v>6110687</v>
      </c>
      <c r="C53" s="22"/>
      <c r="D53" s="183">
        <f>inputPrYr!E85</f>
        <v>5492797</v>
      </c>
      <c r="E53" s="22"/>
      <c r="F53" s="183">
        <f>debt!G42</f>
        <v>5173771</v>
      </c>
      <c r="G53" s="22"/>
      <c r="H53" s="22"/>
      <c r="J53" s="503" t="s">
        <v>749</v>
      </c>
      <c r="K53" s="497"/>
      <c r="L53" s="497"/>
      <c r="M53" s="511">
        <f>ROUND(F48*M52/1000,0)</f>
        <v>2369487</v>
      </c>
    </row>
    <row r="54" spans="1:13" ht="15.75">
      <c r="A54" s="29" t="s">
        <v>151</v>
      </c>
      <c r="B54" s="183">
        <f>inputPrYr!D86</f>
        <v>68134</v>
      </c>
      <c r="C54" s="22"/>
      <c r="D54" s="183">
        <f>inputPrYr!E86</f>
        <v>47418</v>
      </c>
      <c r="E54" s="22"/>
      <c r="F54" s="183">
        <f>lpform!G28</f>
        <v>23147</v>
      </c>
      <c r="G54" s="22"/>
      <c r="H54" s="22"/>
      <c r="J54" s="508" t="str">
        <f>CONCATENATE("",H1," Tax Levy Fund Exp. Changed By:")</f>
        <v>2013 Tax Levy Fund Exp. Changed By:</v>
      </c>
      <c r="K54" s="509"/>
      <c r="L54" s="509"/>
      <c r="M54" s="501">
        <f>IF(M52=0,0,(M53-G43))</f>
        <v>59930</v>
      </c>
    </row>
    <row r="55" spans="1:8" ht="16.5" thickBot="1">
      <c r="A55" s="29" t="s">
        <v>57</v>
      </c>
      <c r="B55" s="512">
        <f>SUM(B51:B54)</f>
        <v>18273821</v>
      </c>
      <c r="C55" s="22"/>
      <c r="D55" s="512">
        <f>SUM(D51:D54)</f>
        <v>17110215</v>
      </c>
      <c r="E55" s="22"/>
      <c r="F55" s="512">
        <f>SUM(F51:F54)</f>
        <v>15611918</v>
      </c>
      <c r="G55" s="22"/>
      <c r="H55" s="22"/>
    </row>
    <row r="56" spans="1:8" ht="16.5" thickTop="1">
      <c r="A56" s="29" t="s">
        <v>58</v>
      </c>
      <c r="B56" s="22"/>
      <c r="C56" s="22"/>
      <c r="D56" s="22"/>
      <c r="E56" s="22"/>
      <c r="F56" s="22"/>
      <c r="G56" s="22"/>
      <c r="H56" s="22"/>
    </row>
    <row r="57" spans="1:8" ht="15.75">
      <c r="A57" s="22"/>
      <c r="B57" s="22"/>
      <c r="C57" s="22"/>
      <c r="D57" s="22"/>
      <c r="E57" s="22"/>
      <c r="F57" s="22"/>
      <c r="G57" s="22"/>
      <c r="H57" s="22"/>
    </row>
    <row r="58" spans="1:8" ht="15.75">
      <c r="A58" s="850" t="str">
        <f>inputBudSum!B3</f>
        <v>Kristine Polian</v>
      </c>
      <c r="B58" s="851"/>
      <c r="C58" s="22"/>
      <c r="D58" s="22"/>
      <c r="E58" s="22"/>
      <c r="F58" s="22"/>
      <c r="G58" s="22"/>
      <c r="H58" s="22"/>
    </row>
    <row r="59" spans="1:8" ht="15.75">
      <c r="A59" s="147" t="s">
        <v>210</v>
      </c>
      <c r="B59" s="674" t="str">
        <f>inputBudSum!B5</f>
        <v>City Clerk</v>
      </c>
      <c r="C59" s="389"/>
      <c r="D59" s="22"/>
      <c r="E59" s="22"/>
      <c r="F59" s="22"/>
      <c r="G59" s="22"/>
      <c r="H59" s="22"/>
    </row>
    <row r="60" spans="1:8" ht="15.75">
      <c r="A60" s="22"/>
      <c r="B60" s="22"/>
      <c r="C60" s="22"/>
      <c r="D60" s="22"/>
      <c r="E60" s="22"/>
      <c r="F60" s="22"/>
      <c r="G60" s="22"/>
      <c r="H60" s="22"/>
    </row>
    <row r="61" spans="1:8" ht="15.75">
      <c r="A61" s="22"/>
      <c r="B61" s="22"/>
      <c r="C61" s="119" t="s">
        <v>32</v>
      </c>
      <c r="D61" s="250">
        <v>20</v>
      </c>
      <c r="E61" s="22"/>
      <c r="F61" s="22"/>
      <c r="G61" s="22"/>
      <c r="H61" s="22"/>
    </row>
  </sheetData>
  <sheetProtection sheet="1"/>
  <mergeCells count="11">
    <mergeCell ref="A6:H6"/>
    <mergeCell ref="J32:M32"/>
    <mergeCell ref="J36:M36"/>
    <mergeCell ref="J49:M49"/>
    <mergeCell ref="J43:M43"/>
    <mergeCell ref="A58:B58"/>
    <mergeCell ref="A2:H2"/>
    <mergeCell ref="A5:H5"/>
    <mergeCell ref="A7:H7"/>
    <mergeCell ref="A8:H8"/>
    <mergeCell ref="A4:H4"/>
  </mergeCells>
  <printOptions/>
  <pageMargins left="0.5" right="0.5" top="1" bottom="0.5" header="0.5" footer="0.5"/>
  <pageSetup blackAndWhite="1" fitToHeight="1" fitToWidth="1" horizontalDpi="120" verticalDpi="120" orientation="portrait" scale="65" r:id="rId1"/>
  <headerFooter alignWithMargins="0">
    <oddHeader>&amp;RState of Kansas
City
</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44" sqref="F44"/>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51" t="str">
        <f>inputPrYr!D2</f>
        <v>Valley Center</v>
      </c>
      <c r="B1" s="22"/>
      <c r="C1" s="22"/>
      <c r="D1" s="22"/>
      <c r="E1" s="22"/>
      <c r="F1" s="22">
        <f>inputPrYr!C5</f>
        <v>2013</v>
      </c>
    </row>
    <row r="2" spans="1:6" ht="15.75">
      <c r="A2" s="22"/>
      <c r="B2" s="22"/>
      <c r="C2" s="22"/>
      <c r="D2" s="22"/>
      <c r="E2" s="22"/>
      <c r="F2" s="22"/>
    </row>
    <row r="3" spans="1:6" ht="15.75">
      <c r="A3" s="22"/>
      <c r="B3" s="800" t="str">
        <f>CONCATENATE("",F1," Neighborhood Revitalization Rebate")</f>
        <v>2013 Neighborhood Revitalization Rebate</v>
      </c>
      <c r="C3" s="855"/>
      <c r="D3" s="855"/>
      <c r="E3" s="855"/>
      <c r="F3" s="22"/>
    </row>
    <row r="4" spans="1:6" ht="15.75">
      <c r="A4" s="22"/>
      <c r="B4" s="22"/>
      <c r="C4" s="22"/>
      <c r="D4" s="22"/>
      <c r="E4" s="22"/>
      <c r="F4" s="78"/>
    </row>
    <row r="5" spans="1:6" ht="51.75" customHeight="1">
      <c r="A5" s="22"/>
      <c r="B5" s="308" t="str">
        <f>CONCATENATE("Budgeted Funds          for ",F1,"")</f>
        <v>Budgeted Funds          for 2013</v>
      </c>
      <c r="C5" s="308" t="str">
        <f>CONCATENATE("",F1-1," Ad Valorem before Rebate**")</f>
        <v>2012 Ad Valorem before Rebate**</v>
      </c>
      <c r="D5" s="309" t="str">
        <f>CONCATENATE("",F1-1," Mil Rate before Rebate")</f>
        <v>2012 Mil Rate before Rebate</v>
      </c>
      <c r="E5" s="310" t="str">
        <f>CONCATENATE("Estimate ",F1," NR Rebate")</f>
        <v>Estimate 2013 NR Rebate</v>
      </c>
      <c r="F5" s="78"/>
    </row>
    <row r="6" spans="1:6" ht="18" customHeight="1">
      <c r="A6" s="22"/>
      <c r="B6" s="47" t="s">
        <v>330</v>
      </c>
      <c r="C6" s="311"/>
      <c r="D6" s="312">
        <f>IF(C6&gt;0,C6/$D$24,"")</f>
      </c>
      <c r="E6" s="183">
        <f aca="true" t="shared" si="0" ref="E6:E17">IF(C6&gt;0,ROUND(D6*$D$28,0),"")</f>
      </c>
      <c r="F6" s="78"/>
    </row>
    <row r="7" spans="1:6" ht="15.75">
      <c r="A7" s="22"/>
      <c r="B7" s="47" t="str">
        <f>inputPrYr!B18</f>
        <v>Debt Service</v>
      </c>
      <c r="C7" s="311"/>
      <c r="D7" s="312">
        <f aca="true" t="shared" si="1" ref="D7:D17">IF(C7&gt;0,C7/$D$24,"")</f>
      </c>
      <c r="E7" s="183">
        <f t="shared" si="0"/>
      </c>
      <c r="F7" s="78"/>
    </row>
    <row r="8" spans="1:6" ht="15.75">
      <c r="A8" s="22"/>
      <c r="B8" s="68" t="str">
        <f>IF((inputPrYr!$B19&gt;"  "),(inputPrYr!$B19),"  ")</f>
        <v>Library</v>
      </c>
      <c r="C8" s="311"/>
      <c r="D8" s="312">
        <f t="shared" si="1"/>
      </c>
      <c r="E8" s="183">
        <f t="shared" si="0"/>
      </c>
      <c r="F8" s="78"/>
    </row>
    <row r="9" spans="1:6" ht="15.75">
      <c r="A9" s="22"/>
      <c r="B9" s="68" t="str">
        <f>IF((inputPrYr!$B21&gt;"  "),(inputPrYr!$B21),"  ")</f>
        <v>Employee Benefit</v>
      </c>
      <c r="C9" s="311"/>
      <c r="D9" s="312">
        <f t="shared" si="1"/>
      </c>
      <c r="E9" s="183">
        <f t="shared" si="0"/>
      </c>
      <c r="F9" s="78"/>
    </row>
    <row r="10" spans="1:6" ht="15.75">
      <c r="A10" s="22"/>
      <c r="B10" s="68" t="str">
        <f>IF((inputPrYr!$B22&gt;"  "),(inputPrYr!$B22),"  ")</f>
        <v>Emergency Equipment</v>
      </c>
      <c r="C10" s="311"/>
      <c r="D10" s="312">
        <f t="shared" si="1"/>
      </c>
      <c r="E10" s="183">
        <f t="shared" si="0"/>
      </c>
      <c r="F10" s="78"/>
    </row>
    <row r="11" spans="1:6" ht="15.75">
      <c r="A11" s="22"/>
      <c r="B11" s="68" t="str">
        <f>IF((inputPrYr!$B23&gt;"  "),(inputPrYr!$B23),"  ")</f>
        <v>  </v>
      </c>
      <c r="C11" s="311"/>
      <c r="D11" s="312">
        <f t="shared" si="1"/>
      </c>
      <c r="E11" s="183">
        <f t="shared" si="0"/>
      </c>
      <c r="F11" s="78"/>
    </row>
    <row r="12" spans="1:6" ht="15.75">
      <c r="A12" s="22"/>
      <c r="B12" s="68" t="str">
        <f>IF((inputPrYr!$B24&gt;"  "),(inputPrYr!$B24),"  ")</f>
        <v>  </v>
      </c>
      <c r="C12" s="313"/>
      <c r="D12" s="312">
        <f t="shared" si="1"/>
      </c>
      <c r="E12" s="183">
        <f t="shared" si="0"/>
      </c>
      <c r="F12" s="78"/>
    </row>
    <row r="13" spans="1:6" ht="15.75">
      <c r="A13" s="22"/>
      <c r="B13" s="68" t="str">
        <f>IF((inputPrYr!$B25&gt;"  "),(inputPrYr!$B25),"  ")</f>
        <v>  </v>
      </c>
      <c r="C13" s="313"/>
      <c r="D13" s="312">
        <f t="shared" si="1"/>
      </c>
      <c r="E13" s="183">
        <f t="shared" si="0"/>
      </c>
      <c r="F13" s="78"/>
    </row>
    <row r="14" spans="1:6" ht="15.75">
      <c r="A14" s="22"/>
      <c r="B14" s="68" t="str">
        <f>IF((inputPrYr!$B26&gt;"  "),(inputPrYr!$B26),"  ")</f>
        <v>  </v>
      </c>
      <c r="C14" s="313"/>
      <c r="D14" s="312">
        <f t="shared" si="1"/>
      </c>
      <c r="E14" s="183">
        <f t="shared" si="0"/>
      </c>
      <c r="F14" s="78"/>
    </row>
    <row r="15" spans="1:6" ht="15.75">
      <c r="A15" s="22"/>
      <c r="B15" s="68" t="str">
        <f>IF((inputPrYr!$B27&gt;"  "),(inputPrYr!$B27),"  ")</f>
        <v>  </v>
      </c>
      <c r="C15" s="313"/>
      <c r="D15" s="312">
        <f t="shared" si="1"/>
      </c>
      <c r="E15" s="183">
        <f t="shared" si="0"/>
      </c>
      <c r="F15" s="78"/>
    </row>
    <row r="16" spans="1:6" ht="15.75">
      <c r="A16" s="22"/>
      <c r="B16" s="68" t="str">
        <f>IF((inputPrYr!$B28&gt;"  "),(inputPrYr!$B28),"  ")</f>
        <v>  </v>
      </c>
      <c r="C16" s="313"/>
      <c r="D16" s="312">
        <f t="shared" si="1"/>
      </c>
      <c r="E16" s="183">
        <f t="shared" si="0"/>
      </c>
      <c r="F16" s="78"/>
    </row>
    <row r="17" spans="1:6" ht="15.75">
      <c r="A17" s="22"/>
      <c r="B17" s="68" t="str">
        <f>IF((inputPrYr!$B29&gt;"  "),(inputPrYr!$B29),"  ")</f>
        <v>  </v>
      </c>
      <c r="C17" s="313"/>
      <c r="D17" s="312">
        <f t="shared" si="1"/>
      </c>
      <c r="E17" s="183">
        <f t="shared" si="0"/>
      </c>
      <c r="F17" s="78"/>
    </row>
    <row r="18" spans="1:6" ht="15.75">
      <c r="A18" s="22"/>
      <c r="B18" s="68" t="str">
        <f>IF((inputPrYr!$B30&gt;"  "),(inputPrYr!$B30),"  ")</f>
        <v>  </v>
      </c>
      <c r="C18" s="313"/>
      <c r="D18" s="312">
        <f>IF(C18&gt;0,C18/$D$24,"")</f>
      </c>
      <c r="E18" s="183">
        <f>IF(C18&gt;0,ROUND(D18*$D$28,0),"")</f>
      </c>
      <c r="F18" s="78"/>
    </row>
    <row r="19" spans="1:6" ht="17.25" customHeight="1" thickBot="1">
      <c r="A19" s="22"/>
      <c r="B19" s="48" t="s">
        <v>19</v>
      </c>
      <c r="C19" s="314">
        <f>SUM(C6:C18)</f>
        <v>0</v>
      </c>
      <c r="D19" s="315">
        <f>SUM(D6:D18)</f>
        <v>0</v>
      </c>
      <c r="E19" s="314">
        <f>SUM(E6:E18)</f>
        <v>0</v>
      </c>
      <c r="F19" s="78"/>
    </row>
    <row r="20" spans="1:6" ht="16.5" thickTop="1">
      <c r="A20" s="22"/>
      <c r="B20" s="22"/>
      <c r="C20" s="22"/>
      <c r="D20" s="22"/>
      <c r="E20" s="22"/>
      <c r="F20" s="78"/>
    </row>
    <row r="21" spans="1:6" ht="15.75">
      <c r="A21" s="22"/>
      <c r="B21" s="22"/>
      <c r="C21" s="22"/>
      <c r="D21" s="22"/>
      <c r="E21" s="22"/>
      <c r="F21" s="78"/>
    </row>
    <row r="22" spans="1:6" ht="18.75" customHeight="1">
      <c r="A22" s="856" t="str">
        <f>CONCATENATE("",F1-1," July 1 Valuation:")</f>
        <v>2012 July 1 Valuation:</v>
      </c>
      <c r="B22" s="823"/>
      <c r="C22" s="856"/>
      <c r="D22" s="307">
        <f>inputOth!E7</f>
        <v>43081575</v>
      </c>
      <c r="E22" s="22"/>
      <c r="F22" s="78"/>
    </row>
    <row r="23" spans="1:6" ht="15.75">
      <c r="A23" s="22"/>
      <c r="B23" s="22"/>
      <c r="C23" s="22"/>
      <c r="D23" s="22"/>
      <c r="E23" s="22"/>
      <c r="F23" s="78"/>
    </row>
    <row r="24" spans="1:6" ht="15.75">
      <c r="A24" s="22"/>
      <c r="B24" s="856" t="s">
        <v>364</v>
      </c>
      <c r="C24" s="856"/>
      <c r="D24" s="316">
        <f>IF(D22&gt;0,(D22*0.001),"")</f>
        <v>43081.575000000004</v>
      </c>
      <c r="E24" s="22"/>
      <c r="F24" s="78"/>
    </row>
    <row r="25" spans="1:6" ht="15.75">
      <c r="A25" s="22"/>
      <c r="B25" s="119"/>
      <c r="C25" s="119"/>
      <c r="D25" s="317"/>
      <c r="E25" s="22"/>
      <c r="F25" s="78"/>
    </row>
    <row r="26" spans="1:6" ht="15.75">
      <c r="A26" s="854" t="s">
        <v>365</v>
      </c>
      <c r="B26" s="793"/>
      <c r="C26" s="793"/>
      <c r="D26" s="318">
        <f>inputOth!E17</f>
        <v>0</v>
      </c>
      <c r="E26" s="85"/>
      <c r="F26" s="85"/>
    </row>
    <row r="27" spans="1:6" ht="15">
      <c r="A27" s="85"/>
      <c r="B27" s="85"/>
      <c r="C27" s="85"/>
      <c r="D27" s="319"/>
      <c r="E27" s="85"/>
      <c r="F27" s="85"/>
    </row>
    <row r="28" spans="1:6" ht="15.75">
      <c r="A28" s="85"/>
      <c r="B28" s="854" t="s">
        <v>366</v>
      </c>
      <c r="C28" s="823"/>
      <c r="D28" s="320">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346"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346" t="s">
        <v>609</v>
      </c>
      <c r="B33" s="85"/>
      <c r="C33" s="85"/>
      <c r="D33" s="85"/>
      <c r="E33" s="85"/>
      <c r="F33" s="85"/>
    </row>
    <row r="34" spans="1:6" ht="15.75">
      <c r="A34" s="346"/>
      <c r="B34" s="85"/>
      <c r="C34" s="85"/>
      <c r="D34" s="85"/>
      <c r="E34" s="85"/>
      <c r="F34" s="85"/>
    </row>
    <row r="35" spans="1:6" ht="15.75">
      <c r="A35" s="346"/>
      <c r="B35" s="85"/>
      <c r="C35" s="85"/>
      <c r="D35" s="85"/>
      <c r="E35" s="85"/>
      <c r="F35" s="85"/>
    </row>
    <row r="36" spans="1:6" ht="15.75">
      <c r="A36" s="346"/>
      <c r="B36" s="85"/>
      <c r="C36" s="85"/>
      <c r="D36" s="85"/>
      <c r="E36" s="85"/>
      <c r="F36" s="85"/>
    </row>
    <row r="37" spans="1:6" ht="15.75">
      <c r="A37" s="346"/>
      <c r="B37" s="85"/>
      <c r="C37" s="85"/>
      <c r="D37" s="85"/>
      <c r="E37" s="85"/>
      <c r="F37" s="85"/>
    </row>
    <row r="38" spans="1:6" ht="15.75">
      <c r="A38" s="346"/>
      <c r="B38" s="85"/>
      <c r="C38" s="85"/>
      <c r="D38" s="85"/>
      <c r="E38" s="85"/>
      <c r="F38" s="85"/>
    </row>
    <row r="39" spans="1:6" ht="15">
      <c r="A39" s="85"/>
      <c r="B39" s="85"/>
      <c r="C39" s="85"/>
      <c r="D39" s="85"/>
      <c r="E39" s="85"/>
      <c r="F39" s="85"/>
    </row>
    <row r="40" spans="1:6" ht="15.75">
      <c r="A40" s="85"/>
      <c r="B40" s="245" t="s">
        <v>40</v>
      </c>
      <c r="C40" s="250">
        <v>21</v>
      </c>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5"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dimension ref="A1:N41"/>
  <sheetViews>
    <sheetView zoomScalePageLayoutView="0" workbookViewId="0" topLeftCell="A35">
      <selection activeCell="H23" sqref="H23"/>
    </sheetView>
  </sheetViews>
  <sheetFormatPr defaultColWidth="8.796875" defaultRowHeight="15"/>
  <sheetData>
    <row r="1" spans="1:7" ht="16.5" customHeight="1">
      <c r="A1" s="857" t="s">
        <v>1087</v>
      </c>
      <c r="B1" s="857"/>
      <c r="C1" s="857"/>
      <c r="D1" s="857"/>
      <c r="E1" s="857"/>
      <c r="F1" s="857"/>
      <c r="G1" s="857"/>
    </row>
    <row r="2" spans="1:7" ht="16.5" customHeight="1">
      <c r="A2" s="857"/>
      <c r="B2" s="857"/>
      <c r="C2" s="857"/>
      <c r="D2" s="857"/>
      <c r="E2" s="857"/>
      <c r="F2" s="857"/>
      <c r="G2" s="857"/>
    </row>
    <row r="3" spans="1:7" ht="16.5" customHeight="1">
      <c r="A3" s="858"/>
      <c r="B3" s="858"/>
      <c r="C3" s="858"/>
      <c r="D3" s="858"/>
      <c r="E3" s="858"/>
      <c r="F3" s="858"/>
      <c r="G3" s="858"/>
    </row>
    <row r="4" spans="1:7" ht="16.5" customHeight="1">
      <c r="A4" s="859" t="str">
        <f>CONCATENATE("AN ORDINANCE ATTESTING TO AN INCREASE IN TAX REVENUES FOR BUDGET YEAR ",(inputPrYr!C5)," FOR THE  ",(inputPrYr!$D$2),".")</f>
        <v>AN ORDINANCE ATTESTING TO AN INCREASE IN TAX REVENUES FOR BUDGET YEAR 2013 FOR THE  Valley Center.</v>
      </c>
      <c r="B4" s="859"/>
      <c r="C4" s="859"/>
      <c r="D4" s="859"/>
      <c r="E4" s="859"/>
      <c r="F4" s="859"/>
      <c r="G4" s="859"/>
    </row>
    <row r="5" spans="1:7" ht="16.5" customHeight="1">
      <c r="A5" s="859"/>
      <c r="B5" s="859"/>
      <c r="C5" s="859"/>
      <c r="D5" s="859"/>
      <c r="E5" s="859"/>
      <c r="F5" s="859"/>
      <c r="G5" s="859"/>
    </row>
    <row r="6" spans="1:7" ht="16.5" customHeight="1">
      <c r="A6" s="857"/>
      <c r="B6" s="857"/>
      <c r="C6" s="857"/>
      <c r="D6" s="857"/>
      <c r="E6" s="857"/>
      <c r="F6" s="857"/>
      <c r="G6" s="857"/>
    </row>
    <row r="7" spans="1:14" ht="16.5" customHeight="1">
      <c r="A7" s="859" t="str">
        <f>CONCATENATE("WHEREAS ",(inputPrYr!$D$2)," must continue to provide services to protect the health, safety, and welfare of the citizens of this community; and")</f>
        <v>WHEREAS Valley Center must continue to provide services to protect the health, safety, and welfare of the citizens of this community; and</v>
      </c>
      <c r="B7" s="859"/>
      <c r="C7" s="859"/>
      <c r="D7" s="859"/>
      <c r="E7" s="859"/>
      <c r="F7" s="859"/>
      <c r="G7" s="859"/>
      <c r="H7" s="2"/>
      <c r="I7" s="2"/>
      <c r="J7" s="2"/>
      <c r="K7" s="2"/>
      <c r="L7" s="2"/>
      <c r="M7" s="2"/>
      <c r="N7" s="2"/>
    </row>
    <row r="8" spans="1:14" ht="16.5" customHeight="1">
      <c r="A8" s="859"/>
      <c r="B8" s="859"/>
      <c r="C8" s="859"/>
      <c r="D8" s="859"/>
      <c r="E8" s="859"/>
      <c r="F8" s="859"/>
      <c r="G8" s="859"/>
      <c r="H8" s="2"/>
      <c r="I8" s="2"/>
      <c r="J8" s="2"/>
      <c r="K8" s="2"/>
      <c r="L8" s="2"/>
      <c r="M8" s="2"/>
      <c r="N8" s="2"/>
    </row>
    <row r="9" spans="1:7" ht="16.5" customHeight="1">
      <c r="A9" s="4"/>
      <c r="B9" s="4"/>
      <c r="C9" s="4"/>
      <c r="D9" s="4"/>
      <c r="E9" s="4"/>
      <c r="F9" s="4"/>
      <c r="G9" s="4"/>
    </row>
    <row r="10" spans="1:7" ht="16.5" customHeight="1">
      <c r="A10" s="859" t="s">
        <v>153</v>
      </c>
      <c r="B10" s="859"/>
      <c r="C10" s="859"/>
      <c r="D10" s="859"/>
      <c r="E10" s="859"/>
      <c r="F10" s="859"/>
      <c r="G10" s="859"/>
    </row>
    <row r="11" spans="1:7" ht="16.5" customHeight="1">
      <c r="A11" s="859"/>
      <c r="B11" s="859"/>
      <c r="C11" s="859"/>
      <c r="D11" s="859"/>
      <c r="E11" s="859"/>
      <c r="F11" s="859"/>
      <c r="G11" s="859"/>
    </row>
    <row r="12" spans="1:7" ht="16.5" customHeight="1">
      <c r="A12" s="4"/>
      <c r="B12" s="4"/>
      <c r="C12" s="4"/>
      <c r="D12" s="4"/>
      <c r="E12" s="4"/>
      <c r="F12" s="4"/>
      <c r="G12" s="4"/>
    </row>
    <row r="13" spans="1:14" ht="16.5" customHeight="1">
      <c r="A13" s="859" t="str">
        <f>CONCATENATE("NOW THEREFORE, be it ordained by the Governing Body of the ",(inputPrYr!$D$2),":")</f>
        <v>NOW THEREFORE, be it ordained by the Governing Body of the Valley Center:</v>
      </c>
      <c r="B13" s="859"/>
      <c r="C13" s="859"/>
      <c r="D13" s="859"/>
      <c r="E13" s="859"/>
      <c r="F13" s="859"/>
      <c r="G13" s="859"/>
      <c r="H13" s="2"/>
      <c r="I13" s="2"/>
      <c r="J13" s="2"/>
      <c r="K13" s="2"/>
      <c r="L13" s="2"/>
      <c r="M13" s="2"/>
      <c r="N13" s="2"/>
    </row>
    <row r="14" spans="1:14" ht="16.5" customHeight="1">
      <c r="A14" s="859"/>
      <c r="B14" s="859"/>
      <c r="C14" s="859"/>
      <c r="D14" s="859"/>
      <c r="E14" s="859"/>
      <c r="F14" s="859"/>
      <c r="G14" s="859"/>
      <c r="H14" s="2"/>
      <c r="I14" s="2"/>
      <c r="J14" s="2"/>
      <c r="K14" s="2"/>
      <c r="L14" s="2"/>
      <c r="M14" s="2"/>
      <c r="N14" s="2"/>
    </row>
    <row r="15" spans="1:14" ht="16.5" customHeight="1">
      <c r="A15" s="859" t="str">
        <f>CONCATENATE("Section One.  In accordance with state law, the ",(inputPrYr!$D$2),"  has scheduled a public hearing and has prepared the proposed budget necessary to fund city services from January 1, ",(inputPrYr!C5)," until December 31, ",(inputPrYr!C5),".")</f>
        <v>Section One.  In accordance with state law, the Valley Center  has scheduled a public hearing and has prepared the proposed budget necessary to fund city services from January 1, 2013 until December 31, 2013.</v>
      </c>
      <c r="B15" s="859"/>
      <c r="C15" s="859"/>
      <c r="D15" s="859"/>
      <c r="E15" s="859"/>
      <c r="F15" s="859"/>
      <c r="G15" s="859"/>
      <c r="H15" s="2"/>
      <c r="I15" s="2"/>
      <c r="J15" s="2"/>
      <c r="K15" s="2"/>
      <c r="L15" s="2"/>
      <c r="M15" s="2"/>
      <c r="N15" s="2"/>
    </row>
    <row r="16" spans="1:14" ht="16.5" customHeight="1">
      <c r="A16" s="859"/>
      <c r="B16" s="859"/>
      <c r="C16" s="859"/>
      <c r="D16" s="859"/>
      <c r="E16" s="859"/>
      <c r="F16" s="859"/>
      <c r="G16" s="859"/>
      <c r="H16" s="2"/>
      <c r="I16" s="2"/>
      <c r="J16" s="2"/>
      <c r="K16" s="2"/>
      <c r="L16" s="2"/>
      <c r="M16" s="2"/>
      <c r="N16" s="2"/>
    </row>
    <row r="17" spans="1:14" ht="16.5" customHeight="1">
      <c r="A17" s="859"/>
      <c r="B17" s="859"/>
      <c r="C17" s="859"/>
      <c r="D17" s="859"/>
      <c r="E17" s="859"/>
      <c r="F17" s="859"/>
      <c r="G17" s="859"/>
      <c r="H17" s="3"/>
      <c r="I17" s="3"/>
      <c r="J17" s="3"/>
      <c r="K17" s="3"/>
      <c r="L17" s="3"/>
      <c r="M17" s="3"/>
      <c r="N17" s="3"/>
    </row>
    <row r="18" spans="1:7" ht="16.5" customHeight="1">
      <c r="A18" s="6"/>
      <c r="B18" s="6"/>
      <c r="C18" s="6"/>
      <c r="D18" s="6"/>
      <c r="E18" s="6"/>
      <c r="F18" s="6"/>
      <c r="G18" s="6"/>
    </row>
    <row r="19" spans="1:7" ht="16.5" customHeight="1">
      <c r="A19" s="861" t="s">
        <v>217</v>
      </c>
      <c r="B19" s="861"/>
      <c r="C19" s="861"/>
      <c r="D19" s="861"/>
      <c r="E19" s="861"/>
      <c r="F19" s="861"/>
      <c r="G19" s="861"/>
    </row>
    <row r="20" spans="1:7" ht="16.5" customHeight="1">
      <c r="A20" s="861" t="s">
        <v>218</v>
      </c>
      <c r="B20" s="861"/>
      <c r="C20" s="861"/>
      <c r="D20" s="861"/>
      <c r="E20" s="861"/>
      <c r="F20" s="861"/>
      <c r="G20" s="861"/>
    </row>
    <row r="21" spans="1:7" ht="16.5" customHeight="1">
      <c r="A21" s="861" t="str">
        <f>CONCATENATE("necessary to budget property tax revenues in an amount exceeding the levy in the ",(inputPrYr!C5-1),"")</f>
        <v>necessary to budget property tax revenues in an amount exceeding the levy in the 2012</v>
      </c>
      <c r="B21" s="861"/>
      <c r="C21" s="861"/>
      <c r="D21" s="861"/>
      <c r="E21" s="861"/>
      <c r="F21" s="861"/>
      <c r="G21" s="861"/>
    </row>
    <row r="22" spans="1:7" ht="16.5" customHeight="1">
      <c r="A22" s="5" t="s">
        <v>219</v>
      </c>
      <c r="B22" s="5"/>
      <c r="C22" s="5"/>
      <c r="D22" s="5"/>
      <c r="E22" s="5"/>
      <c r="F22" s="5"/>
      <c r="G22" s="5"/>
    </row>
    <row r="23" spans="1:7" ht="16.5" customHeight="1">
      <c r="A23" s="6"/>
      <c r="B23" s="6"/>
      <c r="C23" s="6"/>
      <c r="D23" s="6"/>
      <c r="E23" s="6"/>
      <c r="F23" s="6"/>
      <c r="G23" s="6"/>
    </row>
    <row r="24" spans="1:7" ht="16.5" customHeight="1">
      <c r="A24" s="859" t="s">
        <v>154</v>
      </c>
      <c r="B24" s="859"/>
      <c r="C24" s="859"/>
      <c r="D24" s="859"/>
      <c r="E24" s="859"/>
      <c r="F24" s="859"/>
      <c r="G24" s="859"/>
    </row>
    <row r="25" spans="1:7" ht="16.5" customHeight="1">
      <c r="A25" s="859"/>
      <c r="B25" s="859"/>
      <c r="C25" s="859"/>
      <c r="D25" s="859"/>
      <c r="E25" s="859"/>
      <c r="F25" s="859"/>
      <c r="G25" s="859"/>
    </row>
    <row r="26" spans="1:7" ht="16.5" customHeight="1">
      <c r="A26" s="6"/>
      <c r="B26" s="6"/>
      <c r="C26" s="6"/>
      <c r="D26" s="6"/>
      <c r="E26" s="6"/>
      <c r="F26" s="6"/>
      <c r="G26" s="6"/>
    </row>
    <row r="27" spans="1:7" ht="16.5" customHeight="1">
      <c r="A27" s="859" t="str">
        <f>CONCATENATE("Passed and approved by the Governing Body on this 21st day of August, ",(inputPrYr!C5-1),".")</f>
        <v>Passed and approved by the Governing Body on this 21st day of August, 2012.</v>
      </c>
      <c r="B27" s="859"/>
      <c r="C27" s="859"/>
      <c r="D27" s="859"/>
      <c r="E27" s="859"/>
      <c r="F27" s="859"/>
      <c r="G27" s="859"/>
    </row>
    <row r="28" spans="1:7" ht="16.5" customHeight="1">
      <c r="A28" s="859"/>
      <c r="B28" s="859"/>
      <c r="C28" s="859"/>
      <c r="D28" s="859"/>
      <c r="E28" s="859"/>
      <c r="F28" s="859"/>
      <c r="G28" s="859"/>
    </row>
    <row r="29" spans="1:7" ht="16.5" customHeight="1">
      <c r="A29" s="1"/>
      <c r="B29" s="1"/>
      <c r="C29" s="1"/>
      <c r="D29" s="1"/>
      <c r="E29" s="1"/>
      <c r="F29" s="1"/>
      <c r="G29" s="1"/>
    </row>
    <row r="30" spans="1:7" ht="16.5" customHeight="1">
      <c r="A30" s="860" t="s">
        <v>155</v>
      </c>
      <c r="B30" s="860"/>
      <c r="C30" s="860"/>
      <c r="D30" s="860"/>
      <c r="E30" s="860"/>
      <c r="F30" s="860"/>
      <c r="G30" s="860"/>
    </row>
    <row r="31" spans="1:7" ht="16.5" customHeight="1">
      <c r="A31" s="860" t="s">
        <v>156</v>
      </c>
      <c r="B31" s="860"/>
      <c r="C31" s="860"/>
      <c r="D31" s="860"/>
      <c r="E31" s="860"/>
      <c r="F31" s="860"/>
      <c r="G31" s="860"/>
    </row>
    <row r="32" spans="1:7" ht="16.5" customHeight="1">
      <c r="A32" s="1" t="s">
        <v>157</v>
      </c>
      <c r="B32" s="1"/>
      <c r="C32" s="1"/>
      <c r="D32" s="1"/>
      <c r="E32" s="1"/>
      <c r="F32" s="1"/>
      <c r="G32" s="1"/>
    </row>
    <row r="33" spans="1:7" ht="16.5" customHeight="1">
      <c r="A33" s="1"/>
      <c r="B33" s="1" t="s">
        <v>158</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159</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160</v>
      </c>
      <c r="B40" s="1"/>
      <c r="C40" s="1"/>
      <c r="D40" s="1"/>
      <c r="E40" s="1"/>
      <c r="F40" s="1"/>
      <c r="G40" s="1"/>
    </row>
    <row r="41" spans="1:7" ht="15.75">
      <c r="A41" s="1"/>
      <c r="B41" s="1"/>
      <c r="C41" s="1"/>
      <c r="D41" s="1"/>
      <c r="E41" s="1"/>
      <c r="F41" s="1"/>
      <c r="G41" s="1"/>
    </row>
  </sheetData>
  <sheetProtection/>
  <mergeCells count="16">
    <mergeCell ref="A10:G11"/>
    <mergeCell ref="A13:G14"/>
    <mergeCell ref="A30:G30"/>
    <mergeCell ref="A31:G31"/>
    <mergeCell ref="A15:G17"/>
    <mergeCell ref="A24:G25"/>
    <mergeCell ref="A27:G28"/>
    <mergeCell ref="A19:G19"/>
    <mergeCell ref="A20:G20"/>
    <mergeCell ref="A21:G21"/>
    <mergeCell ref="A1:G1"/>
    <mergeCell ref="A2:G2"/>
    <mergeCell ref="A3:G3"/>
    <mergeCell ref="A4:G5"/>
    <mergeCell ref="A6:G6"/>
    <mergeCell ref="A7:G8"/>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387</v>
      </c>
      <c r="B3" s="333"/>
      <c r="C3" s="333"/>
      <c r="D3" s="333"/>
      <c r="E3" s="333"/>
      <c r="F3" s="333"/>
      <c r="G3" s="333"/>
      <c r="H3" s="333"/>
      <c r="I3" s="333"/>
      <c r="J3" s="333"/>
      <c r="K3" s="333"/>
      <c r="L3" s="333"/>
    </row>
    <row r="5" ht="15">
      <c r="A5" s="334" t="s">
        <v>388</v>
      </c>
    </row>
    <row r="6" ht="15">
      <c r="A6" s="334" t="str">
        <f>CONCATENATE(inputPrYr!C5-2," 'total expenditures' exceed your ",inputPrYr!C5-2," 'budget authority.'")</f>
        <v>2011 'total expenditures' exceed your 2011 'budget authority.'</v>
      </c>
    </row>
    <row r="7" ht="15">
      <c r="A7" s="334"/>
    </row>
    <row r="8" ht="15">
      <c r="A8" s="334" t="s">
        <v>389</v>
      </c>
    </row>
    <row r="9" ht="15">
      <c r="A9" s="334" t="s">
        <v>390</v>
      </c>
    </row>
    <row r="10" ht="15">
      <c r="A10" s="334" t="s">
        <v>391</v>
      </c>
    </row>
    <row r="11" ht="15">
      <c r="A11" s="334"/>
    </row>
    <row r="12" ht="15">
      <c r="A12" s="334"/>
    </row>
    <row r="13" ht="15">
      <c r="A13" s="335" t="s">
        <v>392</v>
      </c>
    </row>
    <row r="15" ht="15">
      <c r="A15" s="334" t="s">
        <v>393</v>
      </c>
    </row>
    <row r="16" ht="15">
      <c r="A16" s="334" t="str">
        <f>CONCATENATE("(i.e. an audit has not been completed, or the ",inputPrYr!C5," adopted")</f>
        <v>(i.e. an audit has not been completed, or the 2013 adopted</v>
      </c>
    </row>
    <row r="17" ht="15">
      <c r="A17" s="334" t="s">
        <v>394</v>
      </c>
    </row>
    <row r="18" ht="15">
      <c r="A18" s="334" t="s">
        <v>395</v>
      </c>
    </row>
    <row r="19" ht="15">
      <c r="A19" s="334" t="s">
        <v>396</v>
      </c>
    </row>
    <row r="21" ht="15">
      <c r="A21" s="335" t="s">
        <v>397</v>
      </c>
    </row>
    <row r="22" ht="15">
      <c r="A22" s="335"/>
    </row>
    <row r="23" ht="15">
      <c r="A23" s="334" t="s">
        <v>398</v>
      </c>
    </row>
    <row r="24" ht="15">
      <c r="A24" s="334" t="s">
        <v>399</v>
      </c>
    </row>
    <row r="25" ht="15">
      <c r="A25" s="334" t="str">
        <f>CONCATENATE("particular fund.  If your ",inputPrYr!C5-2," budget was amended, did you")</f>
        <v>particular fund.  If your 2011 budget was amended, did you</v>
      </c>
    </row>
    <row r="26" ht="15">
      <c r="A26" s="334" t="s">
        <v>400</v>
      </c>
    </row>
    <row r="27" ht="15">
      <c r="A27" s="334"/>
    </row>
    <row r="28" ht="15">
      <c r="A28" s="334" t="str">
        <f>CONCATENATE("Next, look to see if any of your ",inputPrYr!C5-2," expenditures can be")</f>
        <v>Next, look to see if any of your 2011 expenditures can be</v>
      </c>
    </row>
    <row r="29" ht="15">
      <c r="A29" s="334" t="s">
        <v>401</v>
      </c>
    </row>
    <row r="30" ht="15">
      <c r="A30" s="334" t="s">
        <v>402</v>
      </c>
    </row>
    <row r="31" ht="15">
      <c r="A31" s="334" t="s">
        <v>403</v>
      </c>
    </row>
    <row r="32" ht="15">
      <c r="A32" s="334"/>
    </row>
    <row r="33" ht="15">
      <c r="A33" s="334" t="str">
        <f>CONCATENATE("Additionally, do your ",inputPrYr!C5-2," receipts contain a reimbursement")</f>
        <v>Additionally, do your 2011 receipts contain a reimbursement</v>
      </c>
    </row>
    <row r="34" ht="15">
      <c r="A34" s="334" t="s">
        <v>404</v>
      </c>
    </row>
    <row r="35" ht="15">
      <c r="A35" s="334" t="s">
        <v>405</v>
      </c>
    </row>
    <row r="36" ht="15">
      <c r="A36" s="334"/>
    </row>
    <row r="37" ht="15">
      <c r="A37" s="334" t="s">
        <v>406</v>
      </c>
    </row>
    <row r="38" ht="15">
      <c r="A38" s="334" t="s">
        <v>407</v>
      </c>
    </row>
    <row r="39" ht="15">
      <c r="A39" s="334" t="s">
        <v>408</v>
      </c>
    </row>
    <row r="40" ht="15">
      <c r="A40" s="334" t="s">
        <v>409</v>
      </c>
    </row>
    <row r="41" ht="15">
      <c r="A41" s="334" t="s">
        <v>410</v>
      </c>
    </row>
    <row r="42" ht="15">
      <c r="A42" s="334" t="s">
        <v>411</v>
      </c>
    </row>
    <row r="43" ht="15">
      <c r="A43" s="334" t="s">
        <v>412</v>
      </c>
    </row>
    <row r="44" ht="15">
      <c r="A44" s="334" t="s">
        <v>413</v>
      </c>
    </row>
    <row r="45" ht="15">
      <c r="A45" s="334"/>
    </row>
    <row r="46" ht="15">
      <c r="A46" s="334" t="s">
        <v>414</v>
      </c>
    </row>
    <row r="47" ht="15">
      <c r="A47" s="334" t="s">
        <v>415</v>
      </c>
    </row>
    <row r="48" ht="15">
      <c r="A48" s="334" t="s">
        <v>416</v>
      </c>
    </row>
    <row r="49" ht="15">
      <c r="A49" s="334"/>
    </row>
    <row r="50" ht="15">
      <c r="A50" s="334" t="s">
        <v>417</v>
      </c>
    </row>
    <row r="51" ht="15">
      <c r="A51" s="334" t="s">
        <v>418</v>
      </c>
    </row>
    <row r="52" ht="15">
      <c r="A52" s="334" t="s">
        <v>419</v>
      </c>
    </row>
    <row r="53" ht="15">
      <c r="A53" s="334"/>
    </row>
    <row r="54" ht="15">
      <c r="A54" s="335" t="s">
        <v>420</v>
      </c>
    </row>
    <row r="55" ht="15">
      <c r="A55" s="334"/>
    </row>
    <row r="56" ht="15">
      <c r="A56" s="334" t="s">
        <v>421</v>
      </c>
    </row>
    <row r="57" ht="15">
      <c r="A57" s="334" t="s">
        <v>422</v>
      </c>
    </row>
    <row r="58" ht="15">
      <c r="A58" s="334" t="s">
        <v>423</v>
      </c>
    </row>
    <row r="59" ht="15">
      <c r="A59" s="334" t="s">
        <v>424</v>
      </c>
    </row>
    <row r="60" ht="15">
      <c r="A60" s="334" t="s">
        <v>425</v>
      </c>
    </row>
    <row r="61" ht="15">
      <c r="A61" s="334" t="s">
        <v>426</v>
      </c>
    </row>
    <row r="62" ht="15">
      <c r="A62" s="334" t="s">
        <v>427</v>
      </c>
    </row>
    <row r="63" ht="15">
      <c r="A63" s="334" t="s">
        <v>428</v>
      </c>
    </row>
    <row r="64" ht="15">
      <c r="A64" s="334" t="s">
        <v>429</v>
      </c>
    </row>
    <row r="65" ht="15">
      <c r="A65" s="334" t="s">
        <v>430</v>
      </c>
    </row>
    <row r="66" ht="15">
      <c r="A66" s="334" t="s">
        <v>431</v>
      </c>
    </row>
    <row r="67" ht="15">
      <c r="A67" s="334" t="s">
        <v>432</v>
      </c>
    </row>
    <row r="68" ht="15">
      <c r="A68" s="334" t="s">
        <v>433</v>
      </c>
    </row>
    <row r="69" ht="15">
      <c r="A69" s="334"/>
    </row>
    <row r="70" ht="15">
      <c r="A70" s="334" t="s">
        <v>434</v>
      </c>
    </row>
    <row r="71" ht="15">
      <c r="A71" s="334" t="s">
        <v>435</v>
      </c>
    </row>
    <row r="72" ht="15">
      <c r="A72" s="334" t="s">
        <v>436</v>
      </c>
    </row>
    <row r="73" ht="15">
      <c r="A73" s="334"/>
    </row>
    <row r="74" ht="15">
      <c r="A74" s="335" t="str">
        <f>CONCATENATE("What if the ",inputPrYr!C5-2," financial records have been closed?")</f>
        <v>What if the 2011 financial records have been closed?</v>
      </c>
    </row>
    <row r="76" ht="15">
      <c r="A76" s="334" t="s">
        <v>437</v>
      </c>
    </row>
    <row r="77" ht="15">
      <c r="A77" s="334" t="str">
        <f>CONCATENATE("(i.e. an audit for ",inputPrYr!C5-2," has been completed, or the ",inputPrYr!C5)</f>
        <v>(i.e. an audit for 2011 has been completed, or the 2013</v>
      </c>
    </row>
    <row r="78" ht="15">
      <c r="A78" s="334" t="s">
        <v>438</v>
      </c>
    </row>
    <row r="79" ht="15">
      <c r="A79" s="334" t="s">
        <v>439</v>
      </c>
    </row>
    <row r="80" ht="15">
      <c r="A80" s="334"/>
    </row>
    <row r="81" ht="15">
      <c r="A81" s="334" t="s">
        <v>440</v>
      </c>
    </row>
    <row r="82" ht="15">
      <c r="A82" s="334" t="s">
        <v>441</v>
      </c>
    </row>
    <row r="83" ht="15">
      <c r="A83" s="334" t="s">
        <v>442</v>
      </c>
    </row>
    <row r="84" ht="15">
      <c r="A84" s="334"/>
    </row>
    <row r="85" ht="15">
      <c r="A85" s="334"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33" t="s">
        <v>444</v>
      </c>
      <c r="B3" s="333"/>
      <c r="C3" s="333"/>
      <c r="D3" s="333"/>
      <c r="E3" s="333"/>
      <c r="F3" s="333"/>
      <c r="G3" s="333"/>
      <c r="H3" s="336"/>
      <c r="I3" s="336"/>
      <c r="J3" s="336"/>
    </row>
    <row r="5" ht="15">
      <c r="A5" s="334" t="s">
        <v>445</v>
      </c>
    </row>
    <row r="6" ht="15">
      <c r="A6" t="str">
        <f>CONCATENATE(inputPrYr!C5-2," expenditures show that you finished the year with a ")</f>
        <v>2011 expenditures show that you finished the year with a </v>
      </c>
    </row>
    <row r="7" ht="15">
      <c r="A7" t="s">
        <v>446</v>
      </c>
    </row>
    <row r="9" ht="15">
      <c r="A9" t="s">
        <v>447</v>
      </c>
    </row>
    <row r="10" ht="15">
      <c r="A10" t="s">
        <v>448</v>
      </c>
    </row>
    <row r="11" ht="15">
      <c r="A11" t="s">
        <v>449</v>
      </c>
    </row>
    <row r="13" ht="15">
      <c r="A13" s="335" t="s">
        <v>450</v>
      </c>
    </row>
    <row r="14" ht="15">
      <c r="A14" s="335"/>
    </row>
    <row r="15" ht="15">
      <c r="A15" s="334" t="s">
        <v>451</v>
      </c>
    </row>
    <row r="16" ht="15">
      <c r="A16" s="334" t="s">
        <v>452</v>
      </c>
    </row>
    <row r="17" ht="15">
      <c r="A17" s="334" t="s">
        <v>453</v>
      </c>
    </row>
    <row r="18" ht="15">
      <c r="A18" s="334"/>
    </row>
    <row r="19" ht="15">
      <c r="A19" s="335" t="s">
        <v>454</v>
      </c>
    </row>
    <row r="20" ht="15">
      <c r="A20" s="335"/>
    </row>
    <row r="21" ht="15">
      <c r="A21" s="334" t="s">
        <v>455</v>
      </c>
    </row>
    <row r="22" ht="15">
      <c r="A22" s="334" t="s">
        <v>456</v>
      </c>
    </row>
    <row r="23" ht="15">
      <c r="A23" s="334" t="s">
        <v>457</v>
      </c>
    </row>
    <row r="24" ht="15">
      <c r="A24" s="334"/>
    </row>
    <row r="25" ht="15">
      <c r="A25" s="335" t="s">
        <v>458</v>
      </c>
    </row>
    <row r="26" ht="15">
      <c r="A26" s="335"/>
    </row>
    <row r="27" ht="15">
      <c r="A27" s="334" t="s">
        <v>459</v>
      </c>
    </row>
    <row r="28" ht="15">
      <c r="A28" s="334" t="s">
        <v>460</v>
      </c>
    </row>
    <row r="29" ht="15">
      <c r="A29" s="334" t="s">
        <v>461</v>
      </c>
    </row>
    <row r="30" ht="15">
      <c r="A30" s="334"/>
    </row>
    <row r="31" ht="15">
      <c r="A31" s="335" t="s">
        <v>462</v>
      </c>
    </row>
    <row r="32" ht="15">
      <c r="A32" s="335"/>
    </row>
    <row r="33" spans="1:8" ht="15">
      <c r="A33" s="334" t="str">
        <f>CONCATENATE("If your financial records for ",inputPrYr!C5-2," are not closed")</f>
        <v>If your financial records for 2011 are not closed</v>
      </c>
      <c r="B33" s="334"/>
      <c r="C33" s="334"/>
      <c r="D33" s="334"/>
      <c r="E33" s="334"/>
      <c r="F33" s="334"/>
      <c r="G33" s="334"/>
      <c r="H33" s="334"/>
    </row>
    <row r="34" spans="1:8" ht="15">
      <c r="A34" s="334" t="str">
        <f>CONCATENATE("(i.e. an audit has not been completed, or the ",inputPrYr!C5," adopted ")</f>
        <v>(i.e. an audit has not been completed, or the 2013 adopted </v>
      </c>
      <c r="B34" s="334"/>
      <c r="C34" s="334"/>
      <c r="D34" s="334"/>
      <c r="E34" s="334"/>
      <c r="F34" s="334"/>
      <c r="G34" s="334"/>
      <c r="H34" s="334"/>
    </row>
    <row r="35" spans="1:8" ht="15">
      <c r="A35" s="334" t="s">
        <v>463</v>
      </c>
      <c r="B35" s="334"/>
      <c r="C35" s="334"/>
      <c r="D35" s="334"/>
      <c r="E35" s="334"/>
      <c r="F35" s="334"/>
      <c r="G35" s="334"/>
      <c r="H35" s="334"/>
    </row>
    <row r="36" spans="1:8" ht="15">
      <c r="A36" s="334" t="s">
        <v>464</v>
      </c>
      <c r="B36" s="334"/>
      <c r="C36" s="334"/>
      <c r="D36" s="334"/>
      <c r="E36" s="334"/>
      <c r="F36" s="334"/>
      <c r="G36" s="334"/>
      <c r="H36" s="334"/>
    </row>
    <row r="37" spans="1:8" ht="15">
      <c r="A37" s="334" t="s">
        <v>465</v>
      </c>
      <c r="B37" s="334"/>
      <c r="C37" s="334"/>
      <c r="D37" s="334"/>
      <c r="E37" s="334"/>
      <c r="F37" s="334"/>
      <c r="G37" s="334"/>
      <c r="H37" s="334"/>
    </row>
    <row r="38" spans="1:8" ht="15">
      <c r="A38" s="334" t="s">
        <v>466</v>
      </c>
      <c r="B38" s="334"/>
      <c r="C38" s="334"/>
      <c r="D38" s="334"/>
      <c r="E38" s="334"/>
      <c r="F38" s="334"/>
      <c r="G38" s="334"/>
      <c r="H38" s="334"/>
    </row>
    <row r="39" spans="1:8" ht="15">
      <c r="A39" s="334" t="s">
        <v>467</v>
      </c>
      <c r="B39" s="334"/>
      <c r="C39" s="334"/>
      <c r="D39" s="334"/>
      <c r="E39" s="334"/>
      <c r="F39" s="334"/>
      <c r="G39" s="334"/>
      <c r="H39" s="334"/>
    </row>
    <row r="40" spans="1:8" ht="15">
      <c r="A40" s="334"/>
      <c r="B40" s="334"/>
      <c r="C40" s="334"/>
      <c r="D40" s="334"/>
      <c r="E40" s="334"/>
      <c r="F40" s="334"/>
      <c r="G40" s="334"/>
      <c r="H40" s="334"/>
    </row>
    <row r="41" spans="1:8" ht="15">
      <c r="A41" s="334" t="s">
        <v>468</v>
      </c>
      <c r="B41" s="334"/>
      <c r="C41" s="334"/>
      <c r="D41" s="334"/>
      <c r="E41" s="334"/>
      <c r="F41" s="334"/>
      <c r="G41" s="334"/>
      <c r="H41" s="334"/>
    </row>
    <row r="42" spans="1:8" ht="15">
      <c r="A42" s="334" t="s">
        <v>469</v>
      </c>
      <c r="B42" s="334"/>
      <c r="C42" s="334"/>
      <c r="D42" s="334"/>
      <c r="E42" s="334"/>
      <c r="F42" s="334"/>
      <c r="G42" s="334"/>
      <c r="H42" s="334"/>
    </row>
    <row r="43" spans="1:8" ht="15">
      <c r="A43" s="334" t="s">
        <v>470</v>
      </c>
      <c r="B43" s="334"/>
      <c r="C43" s="334"/>
      <c r="D43" s="334"/>
      <c r="E43" s="334"/>
      <c r="F43" s="334"/>
      <c r="G43" s="334"/>
      <c r="H43" s="334"/>
    </row>
    <row r="44" spans="1:8" ht="15">
      <c r="A44" s="334" t="s">
        <v>471</v>
      </c>
      <c r="B44" s="334"/>
      <c r="C44" s="334"/>
      <c r="D44" s="334"/>
      <c r="E44" s="334"/>
      <c r="F44" s="334"/>
      <c r="G44" s="334"/>
      <c r="H44" s="334"/>
    </row>
    <row r="45" spans="1:8" ht="15">
      <c r="A45" s="334"/>
      <c r="B45" s="334"/>
      <c r="C45" s="334"/>
      <c r="D45" s="334"/>
      <c r="E45" s="334"/>
      <c r="F45" s="334"/>
      <c r="G45" s="334"/>
      <c r="H45" s="334"/>
    </row>
    <row r="46" spans="1:8" ht="15">
      <c r="A46" s="334" t="s">
        <v>472</v>
      </c>
      <c r="B46" s="334"/>
      <c r="C46" s="334"/>
      <c r="D46" s="334"/>
      <c r="E46" s="334"/>
      <c r="F46" s="334"/>
      <c r="G46" s="334"/>
      <c r="H46" s="334"/>
    </row>
    <row r="47" spans="1:8" ht="15">
      <c r="A47" s="334" t="s">
        <v>473</v>
      </c>
      <c r="B47" s="334"/>
      <c r="C47" s="334"/>
      <c r="D47" s="334"/>
      <c r="E47" s="334"/>
      <c r="F47" s="334"/>
      <c r="G47" s="334"/>
      <c r="H47" s="334"/>
    </row>
    <row r="48" spans="1:8" ht="15">
      <c r="A48" s="334" t="s">
        <v>474</v>
      </c>
      <c r="B48" s="334"/>
      <c r="C48" s="334"/>
      <c r="D48" s="334"/>
      <c r="E48" s="334"/>
      <c r="F48" s="334"/>
      <c r="G48" s="334"/>
      <c r="H48" s="334"/>
    </row>
    <row r="49" spans="1:8" ht="15">
      <c r="A49" s="334" t="s">
        <v>475</v>
      </c>
      <c r="B49" s="334"/>
      <c r="C49" s="334"/>
      <c r="D49" s="334"/>
      <c r="E49" s="334"/>
      <c r="F49" s="334"/>
      <c r="G49" s="334"/>
      <c r="H49" s="334"/>
    </row>
    <row r="50" spans="1:8" ht="15">
      <c r="A50" s="334" t="s">
        <v>476</v>
      </c>
      <c r="B50" s="334"/>
      <c r="C50" s="334"/>
      <c r="D50" s="334"/>
      <c r="E50" s="334"/>
      <c r="F50" s="334"/>
      <c r="G50" s="334"/>
      <c r="H50" s="334"/>
    </row>
    <row r="51" spans="1:8" ht="15">
      <c r="A51" s="334"/>
      <c r="B51" s="334"/>
      <c r="C51" s="334"/>
      <c r="D51" s="334"/>
      <c r="E51" s="334"/>
      <c r="F51" s="334"/>
      <c r="G51" s="334"/>
      <c r="H51" s="334"/>
    </row>
    <row r="52" spans="1:8" ht="15">
      <c r="A52" s="335" t="s">
        <v>477</v>
      </c>
      <c r="B52" s="335"/>
      <c r="C52" s="335"/>
      <c r="D52" s="335"/>
      <c r="E52" s="335"/>
      <c r="F52" s="335"/>
      <c r="G52" s="335"/>
      <c r="H52" s="334"/>
    </row>
    <row r="53" spans="1:8" ht="15">
      <c r="A53" s="335" t="s">
        <v>478</v>
      </c>
      <c r="B53" s="335"/>
      <c r="C53" s="335"/>
      <c r="D53" s="335"/>
      <c r="E53" s="335"/>
      <c r="F53" s="335"/>
      <c r="G53" s="335"/>
      <c r="H53" s="334"/>
    </row>
    <row r="54" spans="1:8" ht="15">
      <c r="A54" s="334"/>
      <c r="B54" s="334"/>
      <c r="C54" s="334"/>
      <c r="D54" s="334"/>
      <c r="E54" s="334"/>
      <c r="F54" s="334"/>
      <c r="G54" s="334"/>
      <c r="H54" s="334"/>
    </row>
    <row r="55" spans="1:8" ht="15">
      <c r="A55" s="334" t="s">
        <v>479</v>
      </c>
      <c r="B55" s="334"/>
      <c r="C55" s="334"/>
      <c r="D55" s="334"/>
      <c r="E55" s="334"/>
      <c r="F55" s="334"/>
      <c r="G55" s="334"/>
      <c r="H55" s="334"/>
    </row>
    <row r="56" spans="1:8" ht="15">
      <c r="A56" s="334" t="s">
        <v>480</v>
      </c>
      <c r="B56" s="334"/>
      <c r="C56" s="334"/>
      <c r="D56" s="334"/>
      <c r="E56" s="334"/>
      <c r="F56" s="334"/>
      <c r="G56" s="334"/>
      <c r="H56" s="334"/>
    </row>
    <row r="57" spans="1:8" ht="15">
      <c r="A57" s="334" t="s">
        <v>481</v>
      </c>
      <c r="B57" s="334"/>
      <c r="C57" s="334"/>
      <c r="D57" s="334"/>
      <c r="E57" s="334"/>
      <c r="F57" s="334"/>
      <c r="G57" s="334"/>
      <c r="H57" s="334"/>
    </row>
    <row r="58" spans="1:8" ht="15">
      <c r="A58" s="334" t="s">
        <v>482</v>
      </c>
      <c r="B58" s="334"/>
      <c r="C58" s="334"/>
      <c r="D58" s="334"/>
      <c r="E58" s="334"/>
      <c r="F58" s="334"/>
      <c r="G58" s="334"/>
      <c r="H58" s="334"/>
    </row>
    <row r="59" spans="1:8" ht="15">
      <c r="A59" s="334"/>
      <c r="B59" s="334"/>
      <c r="C59" s="334"/>
      <c r="D59" s="334"/>
      <c r="E59" s="334"/>
      <c r="F59" s="334"/>
      <c r="G59" s="334"/>
      <c r="H59" s="334"/>
    </row>
    <row r="60" spans="1:8" ht="15">
      <c r="A60" s="334" t="s">
        <v>483</v>
      </c>
      <c r="B60" s="334"/>
      <c r="C60" s="334"/>
      <c r="D60" s="334"/>
      <c r="E60" s="334"/>
      <c r="F60" s="334"/>
      <c r="G60" s="334"/>
      <c r="H60" s="334"/>
    </row>
    <row r="61" spans="1:8" ht="15">
      <c r="A61" s="334" t="s">
        <v>484</v>
      </c>
      <c r="B61" s="334"/>
      <c r="C61" s="334"/>
      <c r="D61" s="334"/>
      <c r="E61" s="334"/>
      <c r="F61" s="334"/>
      <c r="G61" s="334"/>
      <c r="H61" s="334"/>
    </row>
    <row r="62" spans="1:8" ht="15">
      <c r="A62" s="334" t="s">
        <v>485</v>
      </c>
      <c r="B62" s="334"/>
      <c r="C62" s="334"/>
      <c r="D62" s="334"/>
      <c r="E62" s="334"/>
      <c r="F62" s="334"/>
      <c r="G62" s="334"/>
      <c r="H62" s="334"/>
    </row>
    <row r="63" spans="1:8" ht="15">
      <c r="A63" s="334" t="s">
        <v>486</v>
      </c>
      <c r="B63" s="334"/>
      <c r="C63" s="334"/>
      <c r="D63" s="334"/>
      <c r="E63" s="334"/>
      <c r="F63" s="334"/>
      <c r="G63" s="334"/>
      <c r="H63" s="334"/>
    </row>
    <row r="64" spans="1:8" ht="15">
      <c r="A64" s="334" t="s">
        <v>487</v>
      </c>
      <c r="B64" s="334"/>
      <c r="C64" s="334"/>
      <c r="D64" s="334"/>
      <c r="E64" s="334"/>
      <c r="F64" s="334"/>
      <c r="G64" s="334"/>
      <c r="H64" s="334"/>
    </row>
    <row r="65" spans="1:8" ht="15">
      <c r="A65" s="334" t="s">
        <v>488</v>
      </c>
      <c r="B65" s="334"/>
      <c r="C65" s="334"/>
      <c r="D65" s="334"/>
      <c r="E65" s="334"/>
      <c r="F65" s="334"/>
      <c r="G65" s="334"/>
      <c r="H65" s="334"/>
    </row>
    <row r="66" spans="1:8" ht="15">
      <c r="A66" s="334"/>
      <c r="B66" s="334"/>
      <c r="C66" s="334"/>
      <c r="D66" s="334"/>
      <c r="E66" s="334"/>
      <c r="F66" s="334"/>
      <c r="G66" s="334"/>
      <c r="H66" s="334"/>
    </row>
    <row r="67" spans="1:8" ht="15">
      <c r="A67" s="334" t="s">
        <v>489</v>
      </c>
      <c r="B67" s="334"/>
      <c r="C67" s="334"/>
      <c r="D67" s="334"/>
      <c r="E67" s="334"/>
      <c r="F67" s="334"/>
      <c r="G67" s="334"/>
      <c r="H67" s="334"/>
    </row>
    <row r="68" spans="1:8" ht="15">
      <c r="A68" s="334" t="s">
        <v>490</v>
      </c>
      <c r="B68" s="334"/>
      <c r="C68" s="334"/>
      <c r="D68" s="334"/>
      <c r="E68" s="334"/>
      <c r="F68" s="334"/>
      <c r="G68" s="334"/>
      <c r="H68" s="334"/>
    </row>
    <row r="69" spans="1:8" ht="15">
      <c r="A69" s="334" t="s">
        <v>491</v>
      </c>
      <c r="B69" s="334"/>
      <c r="C69" s="334"/>
      <c r="D69" s="334"/>
      <c r="E69" s="334"/>
      <c r="F69" s="334"/>
      <c r="G69" s="334"/>
      <c r="H69" s="334"/>
    </row>
    <row r="70" spans="1:8" ht="15">
      <c r="A70" s="334" t="s">
        <v>492</v>
      </c>
      <c r="B70" s="334"/>
      <c r="C70" s="334"/>
      <c r="D70" s="334"/>
      <c r="E70" s="334"/>
      <c r="F70" s="334"/>
      <c r="G70" s="334"/>
      <c r="H70" s="334"/>
    </row>
    <row r="71" spans="1:8" ht="15">
      <c r="A71" s="334" t="s">
        <v>493</v>
      </c>
      <c r="B71" s="334"/>
      <c r="C71" s="334"/>
      <c r="D71" s="334"/>
      <c r="E71" s="334"/>
      <c r="F71" s="334"/>
      <c r="G71" s="334"/>
      <c r="H71" s="334"/>
    </row>
    <row r="72" spans="1:8" ht="15">
      <c r="A72" s="334" t="s">
        <v>494</v>
      </c>
      <c r="B72" s="334"/>
      <c r="C72" s="334"/>
      <c r="D72" s="334"/>
      <c r="E72" s="334"/>
      <c r="F72" s="334"/>
      <c r="G72" s="334"/>
      <c r="H72" s="334"/>
    </row>
    <row r="73" spans="1:8" ht="15">
      <c r="A73" s="334" t="s">
        <v>495</v>
      </c>
      <c r="B73" s="334"/>
      <c r="C73" s="334"/>
      <c r="D73" s="334"/>
      <c r="E73" s="334"/>
      <c r="F73" s="334"/>
      <c r="G73" s="334"/>
      <c r="H73" s="334"/>
    </row>
    <row r="74" spans="1:8" ht="15">
      <c r="A74" s="334"/>
      <c r="B74" s="334"/>
      <c r="C74" s="334"/>
      <c r="D74" s="334"/>
      <c r="E74" s="334"/>
      <c r="F74" s="334"/>
      <c r="G74" s="334"/>
      <c r="H74" s="334"/>
    </row>
    <row r="75" spans="1:8" ht="15">
      <c r="A75" s="334" t="s">
        <v>496</v>
      </c>
      <c r="B75" s="334"/>
      <c r="C75" s="334"/>
      <c r="D75" s="334"/>
      <c r="E75" s="334"/>
      <c r="F75" s="334"/>
      <c r="G75" s="334"/>
      <c r="H75" s="334"/>
    </row>
    <row r="76" spans="1:8" ht="15">
      <c r="A76" s="334" t="s">
        <v>497</v>
      </c>
      <c r="B76" s="334"/>
      <c r="C76" s="334"/>
      <c r="D76" s="334"/>
      <c r="E76" s="334"/>
      <c r="F76" s="334"/>
      <c r="G76" s="334"/>
      <c r="H76" s="334"/>
    </row>
    <row r="77" spans="1:8" ht="15">
      <c r="A77" s="334" t="s">
        <v>498</v>
      </c>
      <c r="B77" s="334"/>
      <c r="C77" s="334"/>
      <c r="D77" s="334"/>
      <c r="E77" s="334"/>
      <c r="F77" s="334"/>
      <c r="G77" s="334"/>
      <c r="H77" s="334"/>
    </row>
    <row r="78" spans="1:8" ht="15">
      <c r="A78" s="334"/>
      <c r="B78" s="334"/>
      <c r="C78" s="334"/>
      <c r="D78" s="334"/>
      <c r="E78" s="334"/>
      <c r="F78" s="334"/>
      <c r="G78" s="334"/>
      <c r="H78" s="334"/>
    </row>
    <row r="79" ht="15">
      <c r="A79" s="334" t="s">
        <v>443</v>
      </c>
    </row>
    <row r="80" ht="15">
      <c r="A80" s="335"/>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1" ht="15">
      <c r="A91"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3" ht="15">
      <c r="A103" s="334"/>
    </row>
    <row r="104" ht="15">
      <c r="A104" s="334"/>
    </row>
    <row r="105" ht="15">
      <c r="A105" s="334"/>
    </row>
    <row r="107" ht="15">
      <c r="A107" s="335"/>
    </row>
    <row r="108" ht="15">
      <c r="A108" s="335"/>
    </row>
    <row r="109" ht="15">
      <c r="A109" s="33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33" t="s">
        <v>499</v>
      </c>
      <c r="B3" s="333"/>
      <c r="C3" s="333"/>
      <c r="D3" s="333"/>
      <c r="E3" s="333"/>
      <c r="F3" s="333"/>
      <c r="G3" s="333"/>
      <c r="H3" s="333"/>
      <c r="I3" s="333"/>
      <c r="J3" s="333"/>
      <c r="K3" s="333"/>
      <c r="L3" s="333"/>
    </row>
    <row r="4" spans="1:12" ht="15">
      <c r="A4" s="333"/>
      <c r="B4" s="333"/>
      <c r="C4" s="333"/>
      <c r="D4" s="333"/>
      <c r="E4" s="333"/>
      <c r="F4" s="333"/>
      <c r="G4" s="333"/>
      <c r="H4" s="333"/>
      <c r="I4" s="333"/>
      <c r="J4" s="333"/>
      <c r="K4" s="333"/>
      <c r="L4" s="333"/>
    </row>
    <row r="5" spans="1:12" ht="15">
      <c r="A5" s="334" t="s">
        <v>388</v>
      </c>
      <c r="I5" s="333"/>
      <c r="J5" s="333"/>
      <c r="K5" s="333"/>
      <c r="L5" s="333"/>
    </row>
    <row r="6" spans="1:12" ht="15">
      <c r="A6" s="334" t="str">
        <f>CONCATENATE("estimated ",inputPrYr!C5-1," 'total expenditures' exceed your ",inputPrYr!C5-1,"")</f>
        <v>estimated 2012 'total expenditures' exceed your 2012</v>
      </c>
      <c r="I6" s="333"/>
      <c r="J6" s="333"/>
      <c r="K6" s="333"/>
      <c r="L6" s="333"/>
    </row>
    <row r="7" spans="1:12" ht="15">
      <c r="A7" s="337" t="s">
        <v>500</v>
      </c>
      <c r="I7" s="333"/>
      <c r="J7" s="333"/>
      <c r="K7" s="333"/>
      <c r="L7" s="333"/>
    </row>
    <row r="8" spans="1:12" ht="15">
      <c r="A8" s="334"/>
      <c r="I8" s="333"/>
      <c r="J8" s="333"/>
      <c r="K8" s="333"/>
      <c r="L8" s="333"/>
    </row>
    <row r="9" spans="1:12" ht="15">
      <c r="A9" s="334" t="s">
        <v>501</v>
      </c>
      <c r="I9" s="333"/>
      <c r="J9" s="333"/>
      <c r="K9" s="333"/>
      <c r="L9" s="333"/>
    </row>
    <row r="10" spans="1:12" ht="15">
      <c r="A10" s="334" t="s">
        <v>502</v>
      </c>
      <c r="I10" s="333"/>
      <c r="J10" s="333"/>
      <c r="K10" s="333"/>
      <c r="L10" s="333"/>
    </row>
    <row r="11" spans="1:12" ht="15">
      <c r="A11" s="334" t="s">
        <v>503</v>
      </c>
      <c r="I11" s="333"/>
      <c r="J11" s="333"/>
      <c r="K11" s="333"/>
      <c r="L11" s="333"/>
    </row>
    <row r="12" spans="1:12" ht="15">
      <c r="A12" s="334" t="s">
        <v>504</v>
      </c>
      <c r="I12" s="333"/>
      <c r="J12" s="333"/>
      <c r="K12" s="333"/>
      <c r="L12" s="333"/>
    </row>
    <row r="13" spans="1:12" ht="15">
      <c r="A13" s="334" t="s">
        <v>505</v>
      </c>
      <c r="I13" s="333"/>
      <c r="J13" s="333"/>
      <c r="K13" s="333"/>
      <c r="L13" s="333"/>
    </row>
    <row r="14" spans="1:12" ht="15">
      <c r="A14" s="333"/>
      <c r="B14" s="333"/>
      <c r="C14" s="333"/>
      <c r="D14" s="333"/>
      <c r="E14" s="333"/>
      <c r="F14" s="333"/>
      <c r="G14" s="333"/>
      <c r="H14" s="333"/>
      <c r="I14" s="333"/>
      <c r="J14" s="333"/>
      <c r="K14" s="333"/>
      <c r="L14" s="333"/>
    </row>
    <row r="15" ht="15">
      <c r="A15" s="335" t="s">
        <v>506</v>
      </c>
    </row>
    <row r="16" ht="15">
      <c r="A16" s="335" t="s">
        <v>507</v>
      </c>
    </row>
    <row r="17" ht="15">
      <c r="A17" s="335"/>
    </row>
    <row r="18" spans="1:7" ht="15">
      <c r="A18" s="334" t="s">
        <v>508</v>
      </c>
      <c r="B18" s="334"/>
      <c r="C18" s="334"/>
      <c r="D18" s="334"/>
      <c r="E18" s="334"/>
      <c r="F18" s="334"/>
      <c r="G18" s="334"/>
    </row>
    <row r="19" spans="1:7" ht="15">
      <c r="A19" s="334" t="str">
        <f>CONCATENATE("your ",inputPrYr!C5-1," numbers to see what steps might be necessary to")</f>
        <v>your 2012 numbers to see what steps might be necessary to</v>
      </c>
      <c r="B19" s="334"/>
      <c r="C19" s="334"/>
      <c r="D19" s="334"/>
      <c r="E19" s="334"/>
      <c r="F19" s="334"/>
      <c r="G19" s="334"/>
    </row>
    <row r="20" spans="1:7" ht="15">
      <c r="A20" s="334" t="s">
        <v>509</v>
      </c>
      <c r="B20" s="334"/>
      <c r="C20" s="334"/>
      <c r="D20" s="334"/>
      <c r="E20" s="334"/>
      <c r="F20" s="334"/>
      <c r="G20" s="334"/>
    </row>
    <row r="21" spans="1:7" ht="15">
      <c r="A21" s="334" t="s">
        <v>510</v>
      </c>
      <c r="B21" s="334"/>
      <c r="C21" s="334"/>
      <c r="D21" s="334"/>
      <c r="E21" s="334"/>
      <c r="F21" s="334"/>
      <c r="G21" s="334"/>
    </row>
    <row r="22" ht="15">
      <c r="A22" s="334"/>
    </row>
    <row r="23" ht="15">
      <c r="A23" s="335" t="s">
        <v>511</v>
      </c>
    </row>
    <row r="24" ht="15">
      <c r="A24" s="335"/>
    </row>
    <row r="25" ht="15">
      <c r="A25" s="334" t="s">
        <v>512</v>
      </c>
    </row>
    <row r="26" spans="1:6" ht="15">
      <c r="A26" s="334" t="s">
        <v>513</v>
      </c>
      <c r="B26" s="334"/>
      <c r="C26" s="334"/>
      <c r="D26" s="334"/>
      <c r="E26" s="334"/>
      <c r="F26" s="334"/>
    </row>
    <row r="27" spans="1:6" ht="15">
      <c r="A27" s="334" t="s">
        <v>514</v>
      </c>
      <c r="B27" s="334"/>
      <c r="C27" s="334"/>
      <c r="D27" s="334"/>
      <c r="E27" s="334"/>
      <c r="F27" s="334"/>
    </row>
    <row r="28" spans="1:6" ht="15">
      <c r="A28" s="334" t="s">
        <v>515</v>
      </c>
      <c r="B28" s="334"/>
      <c r="C28" s="334"/>
      <c r="D28" s="334"/>
      <c r="E28" s="334"/>
      <c r="F28" s="334"/>
    </row>
    <row r="29" spans="1:6" ht="15">
      <c r="A29" s="334"/>
      <c r="B29" s="334"/>
      <c r="C29" s="334"/>
      <c r="D29" s="334"/>
      <c r="E29" s="334"/>
      <c r="F29" s="334"/>
    </row>
    <row r="30" spans="1:7" ht="15">
      <c r="A30" s="335" t="s">
        <v>516</v>
      </c>
      <c r="B30" s="335"/>
      <c r="C30" s="335"/>
      <c r="D30" s="335"/>
      <c r="E30" s="335"/>
      <c r="F30" s="335"/>
      <c r="G30" s="335"/>
    </row>
    <row r="31" spans="1:7" ht="15">
      <c r="A31" s="335" t="s">
        <v>517</v>
      </c>
      <c r="B31" s="335"/>
      <c r="C31" s="335"/>
      <c r="D31" s="335"/>
      <c r="E31" s="335"/>
      <c r="F31" s="335"/>
      <c r="G31" s="335"/>
    </row>
    <row r="32" spans="1:6" ht="15">
      <c r="A32" s="334"/>
      <c r="B32" s="334"/>
      <c r="C32" s="334"/>
      <c r="D32" s="334"/>
      <c r="E32" s="334"/>
      <c r="F32" s="334"/>
    </row>
    <row r="33" spans="1:6" ht="15">
      <c r="A33" s="338" t="str">
        <f>CONCATENATE("Well, let's look to see if any of your ",inputPrYr!C5-1," expenditures can")</f>
        <v>Well, let's look to see if any of your 2012 expenditures can</v>
      </c>
      <c r="B33" s="334"/>
      <c r="C33" s="334"/>
      <c r="D33" s="334"/>
      <c r="E33" s="334"/>
      <c r="F33" s="334"/>
    </row>
    <row r="34" spans="1:6" ht="15">
      <c r="A34" s="338" t="s">
        <v>518</v>
      </c>
      <c r="B34" s="334"/>
      <c r="C34" s="334"/>
      <c r="D34" s="334"/>
      <c r="E34" s="334"/>
      <c r="F34" s="334"/>
    </row>
    <row r="35" spans="1:6" ht="15">
      <c r="A35" s="338" t="s">
        <v>402</v>
      </c>
      <c r="B35" s="334"/>
      <c r="C35" s="334"/>
      <c r="D35" s="334"/>
      <c r="E35" s="334"/>
      <c r="F35" s="334"/>
    </row>
    <row r="36" spans="1:6" ht="15">
      <c r="A36" s="338" t="s">
        <v>403</v>
      </c>
      <c r="B36" s="334"/>
      <c r="C36" s="334"/>
      <c r="D36" s="334"/>
      <c r="E36" s="334"/>
      <c r="F36" s="334"/>
    </row>
    <row r="37" spans="1:6" ht="15">
      <c r="A37" s="338"/>
      <c r="B37" s="334"/>
      <c r="C37" s="334"/>
      <c r="D37" s="334"/>
      <c r="E37" s="334"/>
      <c r="F37" s="334"/>
    </row>
    <row r="38" spans="1:6" ht="15">
      <c r="A38" s="338" t="str">
        <f>CONCATENATE("Additionally, do your ",inputPrYr!C5-1," receipts contain a reimbursement")</f>
        <v>Additionally, do your 2012 receipts contain a reimbursement</v>
      </c>
      <c r="B38" s="334"/>
      <c r="C38" s="334"/>
      <c r="D38" s="334"/>
      <c r="E38" s="334"/>
      <c r="F38" s="334"/>
    </row>
    <row r="39" spans="1:6" ht="15">
      <c r="A39" s="338" t="s">
        <v>404</v>
      </c>
      <c r="B39" s="334"/>
      <c r="C39" s="334"/>
      <c r="D39" s="334"/>
      <c r="E39" s="334"/>
      <c r="F39" s="334"/>
    </row>
    <row r="40" spans="1:6" ht="15">
      <c r="A40" s="338" t="s">
        <v>405</v>
      </c>
      <c r="B40" s="334"/>
      <c r="C40" s="334"/>
      <c r="D40" s="334"/>
      <c r="E40" s="334"/>
      <c r="F40" s="334"/>
    </row>
    <row r="41" spans="1:6" ht="15">
      <c r="A41" s="338"/>
      <c r="B41" s="334"/>
      <c r="C41" s="334"/>
      <c r="D41" s="334"/>
      <c r="E41" s="334"/>
      <c r="F41" s="334"/>
    </row>
    <row r="42" spans="1:6" ht="15">
      <c r="A42" s="338" t="s">
        <v>406</v>
      </c>
      <c r="B42" s="334"/>
      <c r="C42" s="334"/>
      <c r="D42" s="334"/>
      <c r="E42" s="334"/>
      <c r="F42" s="334"/>
    </row>
    <row r="43" spans="1:6" ht="15">
      <c r="A43" s="338" t="s">
        <v>407</v>
      </c>
      <c r="B43" s="334"/>
      <c r="C43" s="334"/>
      <c r="D43" s="334"/>
      <c r="E43" s="334"/>
      <c r="F43" s="334"/>
    </row>
    <row r="44" spans="1:6" ht="15">
      <c r="A44" s="338" t="s">
        <v>408</v>
      </c>
      <c r="B44" s="334"/>
      <c r="C44" s="334"/>
      <c r="D44" s="334"/>
      <c r="E44" s="334"/>
      <c r="F44" s="334"/>
    </row>
    <row r="45" spans="1:6" ht="15">
      <c r="A45" s="338" t="s">
        <v>519</v>
      </c>
      <c r="B45" s="334"/>
      <c r="C45" s="334"/>
      <c r="D45" s="334"/>
      <c r="E45" s="334"/>
      <c r="F45" s="334"/>
    </row>
    <row r="46" spans="1:6" ht="15">
      <c r="A46" s="338" t="s">
        <v>410</v>
      </c>
      <c r="B46" s="334"/>
      <c r="C46" s="334"/>
      <c r="D46" s="334"/>
      <c r="E46" s="334"/>
      <c r="F46" s="334"/>
    </row>
    <row r="47" spans="1:6" ht="15">
      <c r="A47" s="338" t="s">
        <v>520</v>
      </c>
      <c r="B47" s="334"/>
      <c r="C47" s="334"/>
      <c r="D47" s="334"/>
      <c r="E47" s="334"/>
      <c r="F47" s="334"/>
    </row>
    <row r="48" spans="1:6" ht="15">
      <c r="A48" s="338" t="s">
        <v>521</v>
      </c>
      <c r="B48" s="334"/>
      <c r="C48" s="334"/>
      <c r="D48" s="334"/>
      <c r="E48" s="334"/>
      <c r="F48" s="334"/>
    </row>
    <row r="49" spans="1:6" ht="15">
      <c r="A49" s="338" t="s">
        <v>413</v>
      </c>
      <c r="B49" s="334"/>
      <c r="C49" s="334"/>
      <c r="D49" s="334"/>
      <c r="E49" s="334"/>
      <c r="F49" s="334"/>
    </row>
    <row r="50" spans="1:6" ht="15">
      <c r="A50" s="338"/>
      <c r="B50" s="334"/>
      <c r="C50" s="334"/>
      <c r="D50" s="334"/>
      <c r="E50" s="334"/>
      <c r="F50" s="334"/>
    </row>
    <row r="51" spans="1:6" ht="15">
      <c r="A51" s="338" t="s">
        <v>414</v>
      </c>
      <c r="B51" s="334"/>
      <c r="C51" s="334"/>
      <c r="D51" s="334"/>
      <c r="E51" s="334"/>
      <c r="F51" s="334"/>
    </row>
    <row r="52" spans="1:6" ht="15">
      <c r="A52" s="338" t="s">
        <v>415</v>
      </c>
      <c r="B52" s="334"/>
      <c r="C52" s="334"/>
      <c r="D52" s="334"/>
      <c r="E52" s="334"/>
      <c r="F52" s="334"/>
    </row>
    <row r="53" spans="1:6" ht="15">
      <c r="A53" s="338" t="s">
        <v>416</v>
      </c>
      <c r="B53" s="334"/>
      <c r="C53" s="334"/>
      <c r="D53" s="334"/>
      <c r="E53" s="334"/>
      <c r="F53" s="334"/>
    </row>
    <row r="54" spans="1:6" ht="15">
      <c r="A54" s="338"/>
      <c r="B54" s="334"/>
      <c r="C54" s="334"/>
      <c r="D54" s="334"/>
      <c r="E54" s="334"/>
      <c r="F54" s="334"/>
    </row>
    <row r="55" spans="1:6" ht="15">
      <c r="A55" s="338" t="s">
        <v>522</v>
      </c>
      <c r="B55" s="334"/>
      <c r="C55" s="334"/>
      <c r="D55" s="334"/>
      <c r="E55" s="334"/>
      <c r="F55" s="334"/>
    </row>
    <row r="56" spans="1:6" ht="15">
      <c r="A56" s="338" t="s">
        <v>523</v>
      </c>
      <c r="B56" s="334"/>
      <c r="C56" s="334"/>
      <c r="D56" s="334"/>
      <c r="E56" s="334"/>
      <c r="F56" s="334"/>
    </row>
    <row r="57" spans="1:6" ht="15">
      <c r="A57" s="338" t="s">
        <v>524</v>
      </c>
      <c r="B57" s="334"/>
      <c r="C57" s="334"/>
      <c r="D57" s="334"/>
      <c r="E57" s="334"/>
      <c r="F57" s="334"/>
    </row>
    <row r="58" spans="1:6" ht="15">
      <c r="A58" s="338" t="s">
        <v>525</v>
      </c>
      <c r="B58" s="334"/>
      <c r="C58" s="334"/>
      <c r="D58" s="334"/>
      <c r="E58" s="334"/>
      <c r="F58" s="334"/>
    </row>
    <row r="59" spans="1:6" ht="15">
      <c r="A59" s="338" t="s">
        <v>526</v>
      </c>
      <c r="B59" s="334"/>
      <c r="C59" s="334"/>
      <c r="D59" s="334"/>
      <c r="E59" s="334"/>
      <c r="F59" s="334"/>
    </row>
    <row r="60" spans="1:6" ht="15">
      <c r="A60" s="338"/>
      <c r="B60" s="334"/>
      <c r="C60" s="334"/>
      <c r="D60" s="334"/>
      <c r="E60" s="334"/>
      <c r="F60" s="334"/>
    </row>
    <row r="61" spans="1:6" ht="15">
      <c r="A61" s="339" t="s">
        <v>527</v>
      </c>
      <c r="B61" s="334"/>
      <c r="C61" s="334"/>
      <c r="D61" s="334"/>
      <c r="E61" s="334"/>
      <c r="F61" s="334"/>
    </row>
    <row r="62" spans="1:6" ht="15">
      <c r="A62" s="339" t="s">
        <v>528</v>
      </c>
      <c r="B62" s="334"/>
      <c r="C62" s="334"/>
      <c r="D62" s="334"/>
      <c r="E62" s="334"/>
      <c r="F62" s="334"/>
    </row>
    <row r="63" spans="1:6" ht="15">
      <c r="A63" s="339" t="s">
        <v>529</v>
      </c>
      <c r="B63" s="334"/>
      <c r="C63" s="334"/>
      <c r="D63" s="334"/>
      <c r="E63" s="334"/>
      <c r="F63" s="334"/>
    </row>
    <row r="64" ht="15">
      <c r="A64" s="339" t="s">
        <v>530</v>
      </c>
    </row>
    <row r="65" ht="15">
      <c r="A65" s="339" t="s">
        <v>531</v>
      </c>
    </row>
    <row r="66" ht="15">
      <c r="A66" s="339" t="s">
        <v>532</v>
      </c>
    </row>
    <row r="68" ht="15">
      <c r="A68" s="334" t="s">
        <v>533</v>
      </c>
    </row>
    <row r="69" ht="15">
      <c r="A69" s="334" t="s">
        <v>534</v>
      </c>
    </row>
    <row r="70" ht="15">
      <c r="A70" s="334" t="s">
        <v>535</v>
      </c>
    </row>
    <row r="71" ht="15">
      <c r="A71" s="334" t="s">
        <v>536</v>
      </c>
    </row>
    <row r="72" ht="15">
      <c r="A72" s="334" t="s">
        <v>537</v>
      </c>
    </row>
    <row r="73" ht="15">
      <c r="A73" s="334" t="s">
        <v>538</v>
      </c>
    </row>
    <row r="75" ht="15">
      <c r="A75" s="334"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539</v>
      </c>
      <c r="B3" s="333"/>
      <c r="C3" s="333"/>
      <c r="D3" s="333"/>
      <c r="E3" s="333"/>
      <c r="F3" s="333"/>
      <c r="G3" s="333"/>
    </row>
    <row r="4" spans="1:7" ht="15">
      <c r="A4" s="333"/>
      <c r="B4" s="333"/>
      <c r="C4" s="333"/>
      <c r="D4" s="333"/>
      <c r="E4" s="333"/>
      <c r="F4" s="333"/>
      <c r="G4" s="333"/>
    </row>
    <row r="5" ht="15">
      <c r="A5" s="334" t="s">
        <v>445</v>
      </c>
    </row>
    <row r="6" ht="15">
      <c r="A6" s="334" t="str">
        <f>CONCATENATE(inputPrYr!C5," estimated expenditures show that at the end of this year")</f>
        <v>2013 estimated expenditures show that at the end of this year</v>
      </c>
    </row>
    <row r="7" ht="15">
      <c r="A7" s="334" t="s">
        <v>540</v>
      </c>
    </row>
    <row r="8" ht="15">
      <c r="A8" s="334" t="s">
        <v>541</v>
      </c>
    </row>
    <row r="10" ht="15">
      <c r="A10" t="s">
        <v>447</v>
      </c>
    </row>
    <row r="11" ht="15">
      <c r="A11" t="s">
        <v>448</v>
      </c>
    </row>
    <row r="12" ht="15">
      <c r="A12" t="s">
        <v>449</v>
      </c>
    </row>
    <row r="13" spans="1:7" ht="15">
      <c r="A13" s="333"/>
      <c r="B13" s="333"/>
      <c r="C13" s="333"/>
      <c r="D13" s="333"/>
      <c r="E13" s="333"/>
      <c r="F13" s="333"/>
      <c r="G13" s="333"/>
    </row>
    <row r="14" ht="15">
      <c r="A14" s="335" t="s">
        <v>542</v>
      </c>
    </row>
    <row r="15" ht="15">
      <c r="A15" s="334"/>
    </row>
    <row r="16" ht="15">
      <c r="A16" s="334" t="s">
        <v>543</v>
      </c>
    </row>
    <row r="17" ht="15">
      <c r="A17" s="334" t="s">
        <v>544</v>
      </c>
    </row>
    <row r="18" ht="15">
      <c r="A18" s="334" t="s">
        <v>545</v>
      </c>
    </row>
    <row r="19" ht="15">
      <c r="A19" s="334"/>
    </row>
    <row r="20" ht="15">
      <c r="A20" s="334" t="s">
        <v>546</v>
      </c>
    </row>
    <row r="21" ht="15">
      <c r="A21" s="334" t="s">
        <v>547</v>
      </c>
    </row>
    <row r="22" ht="15">
      <c r="A22" s="334" t="s">
        <v>548</v>
      </c>
    </row>
    <row r="23" ht="15">
      <c r="A23" s="334" t="s">
        <v>549</v>
      </c>
    </row>
    <row r="24" ht="15">
      <c r="A24" s="334"/>
    </row>
    <row r="25" ht="15">
      <c r="A25" s="335" t="s">
        <v>511</v>
      </c>
    </row>
    <row r="26" ht="15">
      <c r="A26" s="335"/>
    </row>
    <row r="27" ht="15">
      <c r="A27" s="334" t="s">
        <v>512</v>
      </c>
    </row>
    <row r="28" spans="1:6" ht="15">
      <c r="A28" s="334" t="s">
        <v>513</v>
      </c>
      <c r="B28" s="334"/>
      <c r="C28" s="334"/>
      <c r="D28" s="334"/>
      <c r="E28" s="334"/>
      <c r="F28" s="334"/>
    </row>
    <row r="29" spans="1:6" ht="15">
      <c r="A29" s="334" t="s">
        <v>514</v>
      </c>
      <c r="B29" s="334"/>
      <c r="C29" s="334"/>
      <c r="D29" s="334"/>
      <c r="E29" s="334"/>
      <c r="F29" s="334"/>
    </row>
    <row r="30" spans="1:6" ht="15">
      <c r="A30" s="334" t="s">
        <v>515</v>
      </c>
      <c r="B30" s="334"/>
      <c r="C30" s="334"/>
      <c r="D30" s="334"/>
      <c r="E30" s="334"/>
      <c r="F30" s="334"/>
    </row>
    <row r="31" ht="15">
      <c r="A31" s="334"/>
    </row>
    <row r="32" spans="1:7" ht="15">
      <c r="A32" s="335" t="s">
        <v>516</v>
      </c>
      <c r="B32" s="335"/>
      <c r="C32" s="335"/>
      <c r="D32" s="335"/>
      <c r="E32" s="335"/>
      <c r="F32" s="335"/>
      <c r="G32" s="335"/>
    </row>
    <row r="33" spans="1:7" ht="15">
      <c r="A33" s="335" t="s">
        <v>517</v>
      </c>
      <c r="B33" s="335"/>
      <c r="C33" s="335"/>
      <c r="D33" s="335"/>
      <c r="E33" s="335"/>
      <c r="F33" s="335"/>
      <c r="G33" s="335"/>
    </row>
    <row r="34" spans="1:7" ht="15">
      <c r="A34" s="335"/>
      <c r="B34" s="335"/>
      <c r="C34" s="335"/>
      <c r="D34" s="335"/>
      <c r="E34" s="335"/>
      <c r="F34" s="335"/>
      <c r="G34" s="335"/>
    </row>
    <row r="35" spans="1:7" ht="15">
      <c r="A35" s="334" t="s">
        <v>550</v>
      </c>
      <c r="B35" s="334"/>
      <c r="C35" s="334"/>
      <c r="D35" s="334"/>
      <c r="E35" s="334"/>
      <c r="F35" s="334"/>
      <c r="G35" s="334"/>
    </row>
    <row r="36" spans="1:7" ht="15">
      <c r="A36" s="334" t="s">
        <v>551</v>
      </c>
      <c r="B36" s="334"/>
      <c r="C36" s="334"/>
      <c r="D36" s="334"/>
      <c r="E36" s="334"/>
      <c r="F36" s="334"/>
      <c r="G36" s="334"/>
    </row>
    <row r="37" spans="1:7" ht="15">
      <c r="A37" s="334" t="s">
        <v>552</v>
      </c>
      <c r="B37" s="334"/>
      <c r="C37" s="334"/>
      <c r="D37" s="334"/>
      <c r="E37" s="334"/>
      <c r="F37" s="334"/>
      <c r="G37" s="334"/>
    </row>
    <row r="38" spans="1:7" ht="15">
      <c r="A38" s="334" t="s">
        <v>553</v>
      </c>
      <c r="B38" s="334"/>
      <c r="C38" s="334"/>
      <c r="D38" s="334"/>
      <c r="E38" s="334"/>
      <c r="F38" s="334"/>
      <c r="G38" s="334"/>
    </row>
    <row r="39" spans="1:7" ht="15">
      <c r="A39" s="334" t="s">
        <v>554</v>
      </c>
      <c r="B39" s="334"/>
      <c r="C39" s="334"/>
      <c r="D39" s="334"/>
      <c r="E39" s="334"/>
      <c r="F39" s="334"/>
      <c r="G39" s="334"/>
    </row>
    <row r="40" spans="1:7" ht="15">
      <c r="A40" s="335"/>
      <c r="B40" s="335"/>
      <c r="C40" s="335"/>
      <c r="D40" s="335"/>
      <c r="E40" s="335"/>
      <c r="F40" s="335"/>
      <c r="G40" s="335"/>
    </row>
    <row r="41" spans="1:6" ht="15">
      <c r="A41" s="338" t="str">
        <f>CONCATENATE("So, let's look to see if any of your ",inputPrYr!C5-1," expenditures can")</f>
        <v>So, let's look to see if any of your 2012 expenditures can</v>
      </c>
      <c r="B41" s="334"/>
      <c r="C41" s="334"/>
      <c r="D41" s="334"/>
      <c r="E41" s="334"/>
      <c r="F41" s="334"/>
    </row>
    <row r="42" spans="1:6" ht="15">
      <c r="A42" s="338" t="s">
        <v>518</v>
      </c>
      <c r="B42" s="334"/>
      <c r="C42" s="334"/>
      <c r="D42" s="334"/>
      <c r="E42" s="334"/>
      <c r="F42" s="334"/>
    </row>
    <row r="43" spans="1:6" ht="15">
      <c r="A43" s="338" t="s">
        <v>402</v>
      </c>
      <c r="B43" s="334"/>
      <c r="C43" s="334"/>
      <c r="D43" s="334"/>
      <c r="E43" s="334"/>
      <c r="F43" s="334"/>
    </row>
    <row r="44" spans="1:6" ht="15">
      <c r="A44" s="338" t="s">
        <v>403</v>
      </c>
      <c r="B44" s="334"/>
      <c r="C44" s="334"/>
      <c r="D44" s="334"/>
      <c r="E44" s="334"/>
      <c r="F44" s="334"/>
    </row>
    <row r="45" ht="15">
      <c r="A45" s="334"/>
    </row>
    <row r="46" spans="1:6" ht="15">
      <c r="A46" s="338" t="str">
        <f>CONCATENATE("Additionally, do your ",inputPrYr!C5-1," receipts contain a reimbursement")</f>
        <v>Additionally, do your 2012 receipts contain a reimbursement</v>
      </c>
      <c r="B46" s="334"/>
      <c r="C46" s="334"/>
      <c r="D46" s="334"/>
      <c r="E46" s="334"/>
      <c r="F46" s="334"/>
    </row>
    <row r="47" spans="1:6" ht="15">
      <c r="A47" s="338" t="s">
        <v>404</v>
      </c>
      <c r="B47" s="334"/>
      <c r="C47" s="334"/>
      <c r="D47" s="334"/>
      <c r="E47" s="334"/>
      <c r="F47" s="334"/>
    </row>
    <row r="48" spans="1:6" ht="15">
      <c r="A48" s="338" t="s">
        <v>405</v>
      </c>
      <c r="B48" s="334"/>
      <c r="C48" s="334"/>
      <c r="D48" s="334"/>
      <c r="E48" s="334"/>
      <c r="F48" s="334"/>
    </row>
    <row r="49" spans="1:7" ht="15">
      <c r="A49" s="334"/>
      <c r="B49" s="334"/>
      <c r="C49" s="334"/>
      <c r="D49" s="334"/>
      <c r="E49" s="334"/>
      <c r="F49" s="334"/>
      <c r="G49" s="334"/>
    </row>
    <row r="50" spans="1:7" ht="15">
      <c r="A50" s="334" t="s">
        <v>472</v>
      </c>
      <c r="B50" s="334"/>
      <c r="C50" s="334"/>
      <c r="D50" s="334"/>
      <c r="E50" s="334"/>
      <c r="F50" s="334"/>
      <c r="G50" s="334"/>
    </row>
    <row r="51" spans="1:7" ht="15">
      <c r="A51" s="334" t="s">
        <v>473</v>
      </c>
      <c r="B51" s="334"/>
      <c r="C51" s="334"/>
      <c r="D51" s="334"/>
      <c r="E51" s="334"/>
      <c r="F51" s="334"/>
      <c r="G51" s="334"/>
    </row>
    <row r="52" spans="1:7" ht="15">
      <c r="A52" s="334" t="s">
        <v>474</v>
      </c>
      <c r="B52" s="334"/>
      <c r="C52" s="334"/>
      <c r="D52" s="334"/>
      <c r="E52" s="334"/>
      <c r="F52" s="334"/>
      <c r="G52" s="334"/>
    </row>
    <row r="53" spans="1:7" ht="15">
      <c r="A53" s="334" t="s">
        <v>475</v>
      </c>
      <c r="B53" s="334"/>
      <c r="C53" s="334"/>
      <c r="D53" s="334"/>
      <c r="E53" s="334"/>
      <c r="F53" s="334"/>
      <c r="G53" s="334"/>
    </row>
    <row r="54" spans="1:7" ht="15">
      <c r="A54" s="334" t="s">
        <v>476</v>
      </c>
      <c r="B54" s="334"/>
      <c r="C54" s="334"/>
      <c r="D54" s="334"/>
      <c r="E54" s="334"/>
      <c r="F54" s="334"/>
      <c r="G54" s="334"/>
    </row>
    <row r="55" spans="1:7" ht="15">
      <c r="A55" s="334"/>
      <c r="B55" s="334"/>
      <c r="C55" s="334"/>
      <c r="D55" s="334"/>
      <c r="E55" s="334"/>
      <c r="F55" s="334"/>
      <c r="G55" s="334"/>
    </row>
    <row r="56" spans="1:6" ht="15">
      <c r="A56" s="338" t="s">
        <v>414</v>
      </c>
      <c r="B56" s="334"/>
      <c r="C56" s="334"/>
      <c r="D56" s="334"/>
      <c r="E56" s="334"/>
      <c r="F56" s="334"/>
    </row>
    <row r="57" spans="1:6" ht="15">
      <c r="A57" s="338" t="s">
        <v>415</v>
      </c>
      <c r="B57" s="334"/>
      <c r="C57" s="334"/>
      <c r="D57" s="334"/>
      <c r="E57" s="334"/>
      <c r="F57" s="334"/>
    </row>
    <row r="58" spans="1:6" ht="15">
      <c r="A58" s="338" t="s">
        <v>416</v>
      </c>
      <c r="B58" s="334"/>
      <c r="C58" s="334"/>
      <c r="D58" s="334"/>
      <c r="E58" s="334"/>
      <c r="F58" s="334"/>
    </row>
    <row r="59" spans="1:6" ht="15">
      <c r="A59" s="338"/>
      <c r="B59" s="334"/>
      <c r="C59" s="334"/>
      <c r="D59" s="334"/>
      <c r="E59" s="334"/>
      <c r="F59" s="334"/>
    </row>
    <row r="60" spans="1:7" ht="15">
      <c r="A60" s="334" t="s">
        <v>555</v>
      </c>
      <c r="B60" s="334"/>
      <c r="C60" s="334"/>
      <c r="D60" s="334"/>
      <c r="E60" s="334"/>
      <c r="F60" s="334"/>
      <c r="G60" s="334"/>
    </row>
    <row r="61" spans="1:7" ht="15">
      <c r="A61" s="334" t="s">
        <v>556</v>
      </c>
      <c r="B61" s="334"/>
      <c r="C61" s="334"/>
      <c r="D61" s="334"/>
      <c r="E61" s="334"/>
      <c r="F61" s="334"/>
      <c r="G61" s="334"/>
    </row>
    <row r="62" spans="1:7" ht="15">
      <c r="A62" s="334" t="s">
        <v>557</v>
      </c>
      <c r="B62" s="334"/>
      <c r="C62" s="334"/>
      <c r="D62" s="334"/>
      <c r="E62" s="334"/>
      <c r="F62" s="334"/>
      <c r="G62" s="334"/>
    </row>
    <row r="63" spans="1:7" ht="15">
      <c r="A63" s="334" t="s">
        <v>558</v>
      </c>
      <c r="B63" s="334"/>
      <c r="C63" s="334"/>
      <c r="D63" s="334"/>
      <c r="E63" s="334"/>
      <c r="F63" s="334"/>
      <c r="G63" s="334"/>
    </row>
    <row r="64" spans="1:7" ht="15">
      <c r="A64" s="334" t="s">
        <v>559</v>
      </c>
      <c r="B64" s="334"/>
      <c r="C64" s="334"/>
      <c r="D64" s="334"/>
      <c r="E64" s="334"/>
      <c r="F64" s="334"/>
      <c r="G64" s="334"/>
    </row>
    <row r="66" spans="1:6" ht="15">
      <c r="A66" s="338" t="s">
        <v>522</v>
      </c>
      <c r="B66" s="334"/>
      <c r="C66" s="334"/>
      <c r="D66" s="334"/>
      <c r="E66" s="334"/>
      <c r="F66" s="334"/>
    </row>
    <row r="67" spans="1:6" ht="15">
      <c r="A67" s="338" t="s">
        <v>523</v>
      </c>
      <c r="B67" s="334"/>
      <c r="C67" s="334"/>
      <c r="D67" s="334"/>
      <c r="E67" s="334"/>
      <c r="F67" s="334"/>
    </row>
    <row r="68" spans="1:6" ht="15">
      <c r="A68" s="338" t="s">
        <v>524</v>
      </c>
      <c r="B68" s="334"/>
      <c r="C68" s="334"/>
      <c r="D68" s="334"/>
      <c r="E68" s="334"/>
      <c r="F68" s="334"/>
    </row>
    <row r="69" spans="1:6" ht="15">
      <c r="A69" s="338" t="s">
        <v>525</v>
      </c>
      <c r="B69" s="334"/>
      <c r="C69" s="334"/>
      <c r="D69" s="334"/>
      <c r="E69" s="334"/>
      <c r="F69" s="334"/>
    </row>
    <row r="70" spans="1:6" ht="15">
      <c r="A70" s="338" t="s">
        <v>526</v>
      </c>
      <c r="B70" s="334"/>
      <c r="C70" s="334"/>
      <c r="D70" s="334"/>
      <c r="E70" s="334"/>
      <c r="F70" s="334"/>
    </row>
    <row r="71" ht="15">
      <c r="A71" s="334"/>
    </row>
    <row r="72" ht="15">
      <c r="A72" s="334" t="s">
        <v>443</v>
      </c>
    </row>
    <row r="73" ht="15">
      <c r="A73" s="334"/>
    </row>
    <row r="74" ht="15">
      <c r="A74" s="334"/>
    </row>
    <row r="75" ht="15">
      <c r="A75" s="334"/>
    </row>
    <row r="78" ht="15">
      <c r="A78" s="335"/>
    </row>
    <row r="80" ht="15">
      <c r="A80" s="334"/>
    </row>
    <row r="81" ht="15">
      <c r="A81" s="334"/>
    </row>
    <row r="82" ht="15">
      <c r="A82" s="334"/>
    </row>
    <row r="83" ht="15">
      <c r="A83" s="334"/>
    </row>
    <row r="84" ht="15">
      <c r="A84" s="334"/>
    </row>
    <row r="85" ht="15">
      <c r="A85" s="334"/>
    </row>
    <row r="86" ht="15">
      <c r="A86" s="334"/>
    </row>
    <row r="87" ht="15">
      <c r="A87" s="334"/>
    </row>
    <row r="88" ht="15">
      <c r="A88" s="334"/>
    </row>
    <row r="89" ht="15">
      <c r="A89" s="334"/>
    </row>
    <row r="90" ht="15">
      <c r="A90" s="334"/>
    </row>
    <row r="92" ht="15">
      <c r="A92" s="334"/>
    </row>
    <row r="93" ht="15">
      <c r="A93" s="334"/>
    </row>
    <row r="94" ht="15">
      <c r="A94" s="334"/>
    </row>
    <row r="95" ht="15">
      <c r="A95" s="334"/>
    </row>
    <row r="96" ht="15">
      <c r="A96" s="334"/>
    </row>
    <row r="97" ht="15">
      <c r="A97" s="334"/>
    </row>
    <row r="98" ht="15">
      <c r="A98" s="334"/>
    </row>
    <row r="99" ht="15">
      <c r="A99" s="334"/>
    </row>
    <row r="100" ht="15">
      <c r="A100" s="334"/>
    </row>
    <row r="101" ht="15">
      <c r="A101" s="334"/>
    </row>
    <row r="102" ht="15">
      <c r="A102" s="334"/>
    </row>
    <row r="103" ht="15">
      <c r="A103" s="334"/>
    </row>
    <row r="104" ht="15">
      <c r="A104" s="334"/>
    </row>
    <row r="105" ht="15">
      <c r="A105" s="334"/>
    </row>
    <row r="106" ht="15">
      <c r="A106" s="33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33" t="s">
        <v>560</v>
      </c>
      <c r="B3" s="333"/>
      <c r="C3" s="333"/>
      <c r="D3" s="333"/>
      <c r="E3" s="333"/>
      <c r="F3" s="333"/>
      <c r="G3" s="333"/>
    </row>
    <row r="4" spans="1:7" ht="15">
      <c r="A4" s="333" t="s">
        <v>561</v>
      </c>
      <c r="B4" s="333"/>
      <c r="C4" s="333"/>
      <c r="D4" s="333"/>
      <c r="E4" s="333"/>
      <c r="F4" s="333"/>
      <c r="G4" s="333"/>
    </row>
    <row r="5" spans="1:7" ht="15">
      <c r="A5" s="333"/>
      <c r="B5" s="333"/>
      <c r="C5" s="333"/>
      <c r="D5" s="333"/>
      <c r="E5" s="333"/>
      <c r="F5" s="333"/>
      <c r="G5" s="333"/>
    </row>
    <row r="6" spans="1:7" ht="15">
      <c r="A6" s="333"/>
      <c r="B6" s="333"/>
      <c r="C6" s="333"/>
      <c r="D6" s="333"/>
      <c r="E6" s="333"/>
      <c r="F6" s="333"/>
      <c r="G6" s="333"/>
    </row>
    <row r="7" ht="15">
      <c r="A7" s="334" t="s">
        <v>388</v>
      </c>
    </row>
    <row r="8" ht="15">
      <c r="A8" s="334" t="str">
        <f>CONCATENATE("estimated ",inputPrYr!C5," 'total expenditures' exceed your ",inputPrYr!C5,"")</f>
        <v>estimated 2013 'total expenditures' exceed your 2013</v>
      </c>
    </row>
    <row r="9" ht="15">
      <c r="A9" s="337" t="s">
        <v>562</v>
      </c>
    </row>
    <row r="10" ht="15">
      <c r="A10" s="334"/>
    </row>
    <row r="11" ht="15">
      <c r="A11" s="334" t="s">
        <v>563</v>
      </c>
    </row>
    <row r="12" ht="15">
      <c r="A12" s="334" t="s">
        <v>564</v>
      </c>
    </row>
    <row r="13" ht="15">
      <c r="A13" s="334" t="s">
        <v>565</v>
      </c>
    </row>
    <row r="14" ht="15">
      <c r="A14" s="334"/>
    </row>
    <row r="15" ht="15">
      <c r="A15" s="335" t="s">
        <v>566</v>
      </c>
    </row>
    <row r="16" spans="1:7" ht="15">
      <c r="A16" s="333"/>
      <c r="B16" s="333"/>
      <c r="C16" s="333"/>
      <c r="D16" s="333"/>
      <c r="E16" s="333"/>
      <c r="F16" s="333"/>
      <c r="G16" s="333"/>
    </row>
    <row r="17" spans="1:8" ht="15">
      <c r="A17" s="340" t="s">
        <v>567</v>
      </c>
      <c r="B17" s="341"/>
      <c r="C17" s="341"/>
      <c r="D17" s="341"/>
      <c r="E17" s="341"/>
      <c r="F17" s="341"/>
      <c r="G17" s="341"/>
      <c r="H17" s="341"/>
    </row>
    <row r="18" spans="1:7" ht="15">
      <c r="A18" s="334" t="s">
        <v>568</v>
      </c>
      <c r="B18" s="342"/>
      <c r="C18" s="342"/>
      <c r="D18" s="342"/>
      <c r="E18" s="342"/>
      <c r="F18" s="342"/>
      <c r="G18" s="342"/>
    </row>
    <row r="19" ht="15">
      <c r="A19" s="334" t="s">
        <v>569</v>
      </c>
    </row>
    <row r="20" ht="15">
      <c r="A20" s="334" t="s">
        <v>570</v>
      </c>
    </row>
    <row r="22" ht="15">
      <c r="A22" s="335" t="s">
        <v>571</v>
      </c>
    </row>
    <row r="24" ht="15">
      <c r="A24" s="334" t="s">
        <v>572</v>
      </c>
    </row>
    <row r="25" ht="15">
      <c r="A25" s="334" t="s">
        <v>573</v>
      </c>
    </row>
    <row r="26" ht="15">
      <c r="A26" s="334" t="s">
        <v>574</v>
      </c>
    </row>
    <row r="28" ht="15">
      <c r="A28" s="335" t="s">
        <v>575</v>
      </c>
    </row>
    <row r="30" ht="15">
      <c r="A30" t="s">
        <v>576</v>
      </c>
    </row>
    <row r="31" ht="15">
      <c r="A31" t="s">
        <v>577</v>
      </c>
    </row>
    <row r="32" ht="15">
      <c r="A32" t="s">
        <v>578</v>
      </c>
    </row>
    <row r="33" ht="15">
      <c r="A33" s="334" t="s">
        <v>579</v>
      </c>
    </row>
    <row r="35" ht="15">
      <c r="A35" t="s">
        <v>580</v>
      </c>
    </row>
    <row r="36" ht="15">
      <c r="A36" t="s">
        <v>581</v>
      </c>
    </row>
    <row r="37" ht="15">
      <c r="A37" t="s">
        <v>582</v>
      </c>
    </row>
    <row r="38" ht="15">
      <c r="A38" t="s">
        <v>583</v>
      </c>
    </row>
    <row r="40" ht="15">
      <c r="A40" t="s">
        <v>584</v>
      </c>
    </row>
    <row r="41" ht="15">
      <c r="A41" t="s">
        <v>585</v>
      </c>
    </row>
    <row r="42" ht="15">
      <c r="A42" t="s">
        <v>586</v>
      </c>
    </row>
    <row r="43" ht="15">
      <c r="A43" t="s">
        <v>587</v>
      </c>
    </row>
    <row r="44" ht="15">
      <c r="A44" t="s">
        <v>588</v>
      </c>
    </row>
    <row r="45" ht="15">
      <c r="A45" t="s">
        <v>589</v>
      </c>
    </row>
    <row r="47" ht="15">
      <c r="A47" t="s">
        <v>590</v>
      </c>
    </row>
    <row r="48" ht="15">
      <c r="A48" t="s">
        <v>591</v>
      </c>
    </row>
    <row r="49" ht="15">
      <c r="A49" s="334" t="s">
        <v>592</v>
      </c>
    </row>
    <row r="50" ht="15">
      <c r="A50" s="334" t="s">
        <v>593</v>
      </c>
    </row>
    <row r="52" ht="15">
      <c r="A52" t="s">
        <v>443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H19" sqref="H19"/>
    </sheetView>
  </sheetViews>
  <sheetFormatPr defaultColWidth="8.796875" defaultRowHeight="15"/>
  <cols>
    <col min="1" max="1" width="13.796875" style="678" customWidth="1"/>
    <col min="2" max="2" width="16.09765625" style="678" customWidth="1"/>
    <col min="3" max="16384" width="8.8984375" style="678" customWidth="1"/>
  </cols>
  <sheetData>
    <row r="1" ht="15">
      <c r="J1" s="677" t="s">
        <v>864</v>
      </c>
    </row>
    <row r="2" spans="1:10" ht="54" customHeight="1">
      <c r="A2" s="786" t="s">
        <v>378</v>
      </c>
      <c r="B2" s="787"/>
      <c r="C2" s="787"/>
      <c r="D2" s="787"/>
      <c r="E2" s="787"/>
      <c r="F2" s="787"/>
      <c r="J2" s="677" t="s">
        <v>865</v>
      </c>
    </row>
    <row r="3" spans="1:10" ht="15.75">
      <c r="A3" s="676" t="s">
        <v>866</v>
      </c>
      <c r="B3" s="711" t="s">
        <v>985</v>
      </c>
      <c r="C3" s="711"/>
      <c r="J3" s="677" t="s">
        <v>867</v>
      </c>
    </row>
    <row r="4" spans="1:10" ht="15.75">
      <c r="A4" s="676"/>
      <c r="B4" s="718"/>
      <c r="J4" s="677" t="s">
        <v>868</v>
      </c>
    </row>
    <row r="5" spans="1:10" ht="15.75">
      <c r="A5" s="676" t="s">
        <v>631</v>
      </c>
      <c r="B5" s="711" t="s">
        <v>158</v>
      </c>
      <c r="J5" s="677" t="s">
        <v>869</v>
      </c>
    </row>
    <row r="6" spans="1:10" ht="15.75">
      <c r="A6" s="683"/>
      <c r="B6" s="683"/>
      <c r="C6" s="683"/>
      <c r="D6" s="710" t="s">
        <v>870</v>
      </c>
      <c r="E6" s="683"/>
      <c r="F6" s="683"/>
      <c r="J6" s="677" t="s">
        <v>871</v>
      </c>
    </row>
    <row r="7" spans="1:10" ht="15.75">
      <c r="A7" s="710" t="s">
        <v>379</v>
      </c>
      <c r="B7" s="711" t="s">
        <v>1086</v>
      </c>
      <c r="C7" s="684"/>
      <c r="D7" s="675" t="str">
        <f>IF(B7="","",CONCATENATE("Latest date for notice to be published in your newspaper: ",G18," ",G22,", ",G23))</f>
        <v>Latest date for notice to be published in your newspaper: August 11, 2012</v>
      </c>
      <c r="E7" s="683"/>
      <c r="F7" s="683"/>
      <c r="J7" s="677" t="s">
        <v>872</v>
      </c>
    </row>
    <row r="8" spans="1:10" ht="15.75">
      <c r="A8" s="710"/>
      <c r="B8" s="685"/>
      <c r="C8" s="686"/>
      <c r="D8" s="710"/>
      <c r="E8" s="683"/>
      <c r="F8" s="683"/>
      <c r="J8" s="677" t="s">
        <v>873</v>
      </c>
    </row>
    <row r="9" spans="1:10" ht="15.75">
      <c r="A9" s="710" t="s">
        <v>380</v>
      </c>
      <c r="B9" s="711" t="s">
        <v>986</v>
      </c>
      <c r="C9" s="687"/>
      <c r="D9" s="710"/>
      <c r="E9" s="683"/>
      <c r="F9" s="683"/>
      <c r="J9" s="677" t="s">
        <v>874</v>
      </c>
    </row>
    <row r="10" spans="1:10" ht="15.75">
      <c r="A10" s="710"/>
      <c r="B10" s="710"/>
      <c r="C10" s="710"/>
      <c r="D10" s="710"/>
      <c r="E10" s="683"/>
      <c r="F10" s="683"/>
      <c r="J10" s="677" t="s">
        <v>875</v>
      </c>
    </row>
    <row r="11" spans="1:10" ht="15.75">
      <c r="A11" s="710" t="s">
        <v>381</v>
      </c>
      <c r="B11" s="712" t="s">
        <v>987</v>
      </c>
      <c r="C11" s="712"/>
      <c r="D11" s="712"/>
      <c r="E11" s="688"/>
      <c r="F11" s="683"/>
      <c r="J11" s="677" t="s">
        <v>876</v>
      </c>
    </row>
    <row r="12" spans="1:10" ht="15.75">
      <c r="A12" s="710"/>
      <c r="B12" s="710"/>
      <c r="C12" s="710"/>
      <c r="D12" s="710"/>
      <c r="E12" s="683"/>
      <c r="F12" s="683"/>
      <c r="J12" s="677" t="s">
        <v>877</v>
      </c>
    </row>
    <row r="13" spans="1:6" ht="15.75">
      <c r="A13" s="710"/>
      <c r="B13" s="710"/>
      <c r="C13" s="710"/>
      <c r="D13" s="710"/>
      <c r="E13" s="683"/>
      <c r="F13" s="683"/>
    </row>
    <row r="14" spans="1:6" ht="15.75">
      <c r="A14" s="710" t="s">
        <v>382</v>
      </c>
      <c r="B14" s="712" t="s">
        <v>987</v>
      </c>
      <c r="C14" s="712"/>
      <c r="D14" s="712"/>
      <c r="E14" s="688"/>
      <c r="F14" s="683"/>
    </row>
    <row r="17" spans="1:6" ht="15.75">
      <c r="A17" s="788" t="s">
        <v>383</v>
      </c>
      <c r="B17" s="788"/>
      <c r="C17" s="710"/>
      <c r="D17" s="710"/>
      <c r="E17" s="710"/>
      <c r="F17" s="683"/>
    </row>
    <row r="18" spans="1:7" ht="15.75">
      <c r="A18" s="710"/>
      <c r="B18" s="710"/>
      <c r="C18" s="710"/>
      <c r="D18" s="710"/>
      <c r="E18" s="710"/>
      <c r="F18" s="683"/>
      <c r="G18" s="677" t="str">
        <f ca="1">IF(B7="","",INDIRECT(G19))</f>
        <v>August</v>
      </c>
    </row>
    <row r="19" spans="1:7" ht="15.75">
      <c r="A19" s="710" t="s">
        <v>631</v>
      </c>
      <c r="B19" s="710" t="s">
        <v>635</v>
      </c>
      <c r="C19" s="710"/>
      <c r="D19" s="710"/>
      <c r="E19" s="710"/>
      <c r="F19" s="683"/>
      <c r="G19" s="713" t="str">
        <f>IF(B7="","",CONCATENATE("J",G21))</f>
        <v>J8</v>
      </c>
    </row>
    <row r="20" spans="1:7" ht="15.75">
      <c r="A20" s="710"/>
      <c r="B20" s="710"/>
      <c r="C20" s="710"/>
      <c r="D20" s="710"/>
      <c r="E20" s="710"/>
      <c r="F20" s="683"/>
      <c r="G20" s="714">
        <f>B7-10</f>
        <v>41132</v>
      </c>
    </row>
    <row r="21" spans="1:7" ht="15.75">
      <c r="A21" s="710" t="s">
        <v>379</v>
      </c>
      <c r="B21" s="685" t="s">
        <v>384</v>
      </c>
      <c r="C21" s="710"/>
      <c r="D21" s="710"/>
      <c r="E21" s="710"/>
      <c r="G21" s="715">
        <f>IF(B7="","",MONTH(G20))</f>
        <v>8</v>
      </c>
    </row>
    <row r="22" spans="1:7" ht="15.75">
      <c r="A22" s="710"/>
      <c r="B22" s="710"/>
      <c r="C22" s="710"/>
      <c r="D22" s="710"/>
      <c r="E22" s="710"/>
      <c r="G22" s="716">
        <f>IF(B7="","",DAY(G20))</f>
        <v>11</v>
      </c>
    </row>
    <row r="23" spans="1:7" ht="15.75">
      <c r="A23" s="710" t="s">
        <v>380</v>
      </c>
      <c r="B23" s="710" t="s">
        <v>385</v>
      </c>
      <c r="C23" s="710"/>
      <c r="D23" s="710"/>
      <c r="E23" s="710"/>
      <c r="G23" s="717">
        <f>IF(B7="","",YEAR(G20))</f>
        <v>2012</v>
      </c>
    </row>
    <row r="24" spans="1:5" ht="15.75">
      <c r="A24" s="710"/>
      <c r="B24" s="710"/>
      <c r="C24" s="710"/>
      <c r="D24" s="710"/>
      <c r="E24" s="710"/>
    </row>
    <row r="25" spans="1:5" ht="15.75">
      <c r="A25" s="710" t="s">
        <v>381</v>
      </c>
      <c r="B25" s="710" t="s">
        <v>386</v>
      </c>
      <c r="C25" s="710"/>
      <c r="D25" s="710"/>
      <c r="E25" s="710"/>
    </row>
    <row r="26" spans="1:5" ht="15.75">
      <c r="A26" s="710"/>
      <c r="B26" s="710"/>
      <c r="C26" s="710"/>
      <c r="D26" s="710"/>
      <c r="E26" s="710"/>
    </row>
    <row r="27" spans="1:5" ht="15.75">
      <c r="A27" s="710" t="s">
        <v>382</v>
      </c>
      <c r="B27" s="710" t="s">
        <v>386</v>
      </c>
      <c r="C27" s="710"/>
      <c r="D27" s="710"/>
      <c r="E27" s="710"/>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70" r:id="rId1"/>
</worksheet>
</file>

<file path=xl/worksheets/sheet4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87" customWidth="1"/>
    <col min="2" max="2" width="11.19921875" style="419" customWidth="1"/>
    <col min="3" max="3" width="7.3984375" style="419" customWidth="1"/>
    <col min="4" max="4" width="8.8984375" style="419" customWidth="1"/>
    <col min="5" max="5" width="1.59765625" style="419" customWidth="1"/>
    <col min="6" max="6" width="14.296875" style="419" customWidth="1"/>
    <col min="7" max="7" width="2.59765625" style="419" customWidth="1"/>
    <col min="8" max="8" width="9.796875" style="419" customWidth="1"/>
    <col min="9" max="9" width="2" style="419" customWidth="1"/>
    <col min="10" max="10" width="8.59765625" style="419" customWidth="1"/>
    <col min="11" max="11" width="11.69921875" style="419" customWidth="1"/>
    <col min="12" max="12" width="7.59765625" style="487" customWidth="1"/>
    <col min="13" max="14" width="8.8984375" style="487" customWidth="1"/>
    <col min="15" max="15" width="9.8984375" style="487" bestFit="1" customWidth="1"/>
    <col min="16" max="16384" width="8.8984375" style="487" customWidth="1"/>
  </cols>
  <sheetData>
    <row r="1" spans="1:12" ht="14.25">
      <c r="A1" s="418"/>
      <c r="B1" s="418"/>
      <c r="C1" s="418"/>
      <c r="D1" s="418"/>
      <c r="E1" s="418"/>
      <c r="F1" s="418"/>
      <c r="G1" s="418"/>
      <c r="H1" s="418"/>
      <c r="I1" s="418"/>
      <c r="J1" s="418"/>
      <c r="K1" s="418"/>
      <c r="L1" s="418"/>
    </row>
    <row r="2" spans="1:12" ht="14.25">
      <c r="A2" s="418"/>
      <c r="B2" s="418"/>
      <c r="C2" s="418"/>
      <c r="D2" s="418"/>
      <c r="E2" s="418"/>
      <c r="F2" s="418"/>
      <c r="G2" s="418"/>
      <c r="H2" s="418"/>
      <c r="I2" s="418"/>
      <c r="J2" s="418"/>
      <c r="K2" s="418"/>
      <c r="L2" s="418"/>
    </row>
    <row r="3" spans="1:12" ht="14.25">
      <c r="A3" s="418"/>
      <c r="B3" s="418"/>
      <c r="C3" s="418"/>
      <c r="D3" s="418"/>
      <c r="E3" s="418"/>
      <c r="F3" s="418"/>
      <c r="G3" s="418"/>
      <c r="H3" s="418"/>
      <c r="I3" s="418"/>
      <c r="J3" s="418"/>
      <c r="K3" s="418"/>
      <c r="L3" s="418"/>
    </row>
    <row r="4" spans="1:12" ht="14.25">
      <c r="A4" s="418"/>
      <c r="L4" s="418"/>
    </row>
    <row r="5" spans="1:12" ht="15" customHeight="1">
      <c r="A5" s="418"/>
      <c r="L5" s="418"/>
    </row>
    <row r="6" spans="1:12" ht="33" customHeight="1">
      <c r="A6" s="418"/>
      <c r="B6" s="875" t="s">
        <v>663</v>
      </c>
      <c r="C6" s="888"/>
      <c r="D6" s="888"/>
      <c r="E6" s="888"/>
      <c r="F6" s="888"/>
      <c r="G6" s="888"/>
      <c r="H6" s="888"/>
      <c r="I6" s="888"/>
      <c r="J6" s="888"/>
      <c r="K6" s="888"/>
      <c r="L6" s="420"/>
    </row>
    <row r="7" spans="1:12" ht="40.5" customHeight="1">
      <c r="A7" s="418"/>
      <c r="B7" s="890" t="s">
        <v>664</v>
      </c>
      <c r="C7" s="891"/>
      <c r="D7" s="891"/>
      <c r="E7" s="891"/>
      <c r="F7" s="891"/>
      <c r="G7" s="891"/>
      <c r="H7" s="891"/>
      <c r="I7" s="891"/>
      <c r="J7" s="891"/>
      <c r="K7" s="891"/>
      <c r="L7" s="418"/>
    </row>
    <row r="8" spans="1:12" ht="14.25">
      <c r="A8" s="418"/>
      <c r="B8" s="883" t="s">
        <v>665</v>
      </c>
      <c r="C8" s="883"/>
      <c r="D8" s="883"/>
      <c r="E8" s="883"/>
      <c r="F8" s="883"/>
      <c r="G8" s="883"/>
      <c r="H8" s="883"/>
      <c r="I8" s="883"/>
      <c r="J8" s="883"/>
      <c r="K8" s="883"/>
      <c r="L8" s="418"/>
    </row>
    <row r="9" spans="1:12" ht="14.25">
      <c r="A9" s="418"/>
      <c r="L9" s="418"/>
    </row>
    <row r="10" spans="1:12" ht="14.25">
      <c r="A10" s="418"/>
      <c r="B10" s="883" t="s">
        <v>666</v>
      </c>
      <c r="C10" s="883"/>
      <c r="D10" s="883"/>
      <c r="E10" s="883"/>
      <c r="F10" s="883"/>
      <c r="G10" s="883"/>
      <c r="H10" s="883"/>
      <c r="I10" s="883"/>
      <c r="J10" s="883"/>
      <c r="K10" s="883"/>
      <c r="L10" s="418"/>
    </row>
    <row r="11" spans="1:12" ht="14.25">
      <c r="A11" s="418"/>
      <c r="B11" s="659"/>
      <c r="C11" s="659"/>
      <c r="D11" s="659"/>
      <c r="E11" s="659"/>
      <c r="F11" s="659"/>
      <c r="G11" s="659"/>
      <c r="H11" s="659"/>
      <c r="I11" s="659"/>
      <c r="J11" s="659"/>
      <c r="K11" s="659"/>
      <c r="L11" s="418"/>
    </row>
    <row r="12" spans="1:12" ht="32.25" customHeight="1">
      <c r="A12" s="418"/>
      <c r="B12" s="876" t="s">
        <v>667</v>
      </c>
      <c r="C12" s="876"/>
      <c r="D12" s="876"/>
      <c r="E12" s="876"/>
      <c r="F12" s="876"/>
      <c r="G12" s="876"/>
      <c r="H12" s="876"/>
      <c r="I12" s="876"/>
      <c r="J12" s="876"/>
      <c r="K12" s="876"/>
      <c r="L12" s="418"/>
    </row>
    <row r="13" spans="1:12" ht="14.25">
      <c r="A13" s="418"/>
      <c r="L13" s="418"/>
    </row>
    <row r="14" spans="1:12" ht="14.25">
      <c r="A14" s="418"/>
      <c r="B14" s="421" t="s">
        <v>668</v>
      </c>
      <c r="L14" s="418"/>
    </row>
    <row r="15" spans="1:12" ht="14.25">
      <c r="A15" s="418"/>
      <c r="L15" s="418"/>
    </row>
    <row r="16" spans="1:12" ht="14.25">
      <c r="A16" s="418"/>
      <c r="B16" s="419" t="s">
        <v>669</v>
      </c>
      <c r="L16" s="418"/>
    </row>
    <row r="17" spans="1:12" ht="14.25">
      <c r="A17" s="418"/>
      <c r="B17" s="419" t="s">
        <v>670</v>
      </c>
      <c r="L17" s="418"/>
    </row>
    <row r="18" spans="1:12" ht="14.25">
      <c r="A18" s="418"/>
      <c r="L18" s="418"/>
    </row>
    <row r="19" spans="1:12" ht="14.25">
      <c r="A19" s="418"/>
      <c r="B19" s="421" t="s">
        <v>880</v>
      </c>
      <c r="L19" s="418"/>
    </row>
    <row r="20" spans="1:12" ht="14.25">
      <c r="A20" s="418"/>
      <c r="B20" s="421"/>
      <c r="L20" s="418"/>
    </row>
    <row r="21" spans="1:12" ht="14.25">
      <c r="A21" s="418"/>
      <c r="B21" s="419" t="s">
        <v>881</v>
      </c>
      <c r="L21" s="418"/>
    </row>
    <row r="22" spans="1:12" ht="14.25">
      <c r="A22" s="418"/>
      <c r="L22" s="418"/>
    </row>
    <row r="23" spans="1:12" ht="14.25">
      <c r="A23" s="418"/>
      <c r="B23" s="419" t="s">
        <v>671</v>
      </c>
      <c r="E23" s="419" t="s">
        <v>672</v>
      </c>
      <c r="F23" s="872">
        <v>312000000</v>
      </c>
      <c r="G23" s="872"/>
      <c r="L23" s="418"/>
    </row>
    <row r="24" spans="1:12" ht="14.25">
      <c r="A24" s="418"/>
      <c r="L24" s="418"/>
    </row>
    <row r="25" spans="1:12" ht="14.25">
      <c r="A25" s="418"/>
      <c r="C25" s="892">
        <f>F23</f>
        <v>312000000</v>
      </c>
      <c r="D25" s="892"/>
      <c r="E25" s="419" t="s">
        <v>673</v>
      </c>
      <c r="F25" s="422">
        <v>1000</v>
      </c>
      <c r="G25" s="422" t="s">
        <v>672</v>
      </c>
      <c r="H25" s="660">
        <f>F23/F25</f>
        <v>312000</v>
      </c>
      <c r="L25" s="418"/>
    </row>
    <row r="26" spans="1:12" ht="15" thickBot="1">
      <c r="A26" s="418"/>
      <c r="L26" s="418"/>
    </row>
    <row r="27" spans="1:12" ht="14.25">
      <c r="A27" s="418"/>
      <c r="B27" s="423" t="s">
        <v>668</v>
      </c>
      <c r="C27" s="424"/>
      <c r="D27" s="424"/>
      <c r="E27" s="424"/>
      <c r="F27" s="424"/>
      <c r="G27" s="424"/>
      <c r="H27" s="424"/>
      <c r="I27" s="424"/>
      <c r="J27" s="424"/>
      <c r="K27" s="425"/>
      <c r="L27" s="418"/>
    </row>
    <row r="28" spans="1:12" ht="14.25">
      <c r="A28" s="418"/>
      <c r="B28" s="426">
        <f>F23</f>
        <v>312000000</v>
      </c>
      <c r="C28" s="427" t="s">
        <v>674</v>
      </c>
      <c r="D28" s="427"/>
      <c r="E28" s="427" t="s">
        <v>673</v>
      </c>
      <c r="F28" s="653">
        <v>1000</v>
      </c>
      <c r="G28" s="653" t="s">
        <v>672</v>
      </c>
      <c r="H28" s="428">
        <f>B28/F28</f>
        <v>312000</v>
      </c>
      <c r="I28" s="427" t="s">
        <v>675</v>
      </c>
      <c r="J28" s="427"/>
      <c r="K28" s="429"/>
      <c r="L28" s="418"/>
    </row>
    <row r="29" spans="1:12" ht="15" thickBot="1">
      <c r="A29" s="418"/>
      <c r="B29" s="430"/>
      <c r="C29" s="431"/>
      <c r="D29" s="431"/>
      <c r="E29" s="431"/>
      <c r="F29" s="431"/>
      <c r="G29" s="431"/>
      <c r="H29" s="431"/>
      <c r="I29" s="431"/>
      <c r="J29" s="431"/>
      <c r="K29" s="432"/>
      <c r="L29" s="418"/>
    </row>
    <row r="30" spans="1:12" ht="40.5" customHeight="1">
      <c r="A30" s="418"/>
      <c r="B30" s="874" t="s">
        <v>664</v>
      </c>
      <c r="C30" s="874"/>
      <c r="D30" s="874"/>
      <c r="E30" s="874"/>
      <c r="F30" s="874"/>
      <c r="G30" s="874"/>
      <c r="H30" s="874"/>
      <c r="I30" s="874"/>
      <c r="J30" s="874"/>
      <c r="K30" s="874"/>
      <c r="L30" s="418"/>
    </row>
    <row r="31" spans="1:12" ht="14.25">
      <c r="A31" s="418"/>
      <c r="B31" s="883" t="s">
        <v>676</v>
      </c>
      <c r="C31" s="883"/>
      <c r="D31" s="883"/>
      <c r="E31" s="883"/>
      <c r="F31" s="883"/>
      <c r="G31" s="883"/>
      <c r="H31" s="883"/>
      <c r="I31" s="883"/>
      <c r="J31" s="883"/>
      <c r="K31" s="883"/>
      <c r="L31" s="418"/>
    </row>
    <row r="32" spans="1:12" ht="14.25">
      <c r="A32" s="418"/>
      <c r="L32" s="418"/>
    </row>
    <row r="33" spans="1:12" ht="14.25">
      <c r="A33" s="418"/>
      <c r="B33" s="883" t="s">
        <v>677</v>
      </c>
      <c r="C33" s="883"/>
      <c r="D33" s="883"/>
      <c r="E33" s="883"/>
      <c r="F33" s="883"/>
      <c r="G33" s="883"/>
      <c r="H33" s="883"/>
      <c r="I33" s="883"/>
      <c r="J33" s="883"/>
      <c r="K33" s="883"/>
      <c r="L33" s="418"/>
    </row>
    <row r="34" spans="1:12" ht="14.25">
      <c r="A34" s="418"/>
      <c r="L34" s="418"/>
    </row>
    <row r="35" spans="1:12" ht="89.25" customHeight="1">
      <c r="A35" s="418"/>
      <c r="B35" s="876" t="s">
        <v>678</v>
      </c>
      <c r="C35" s="884"/>
      <c r="D35" s="884"/>
      <c r="E35" s="884"/>
      <c r="F35" s="884"/>
      <c r="G35" s="884"/>
      <c r="H35" s="884"/>
      <c r="I35" s="884"/>
      <c r="J35" s="884"/>
      <c r="K35" s="884"/>
      <c r="L35" s="418"/>
    </row>
    <row r="36" spans="1:12" ht="14.25">
      <c r="A36" s="418"/>
      <c r="L36" s="418"/>
    </row>
    <row r="37" spans="1:12" ht="14.25">
      <c r="A37" s="418"/>
      <c r="B37" s="421" t="s">
        <v>679</v>
      </c>
      <c r="L37" s="418"/>
    </row>
    <row r="38" spans="1:12" ht="14.25">
      <c r="A38" s="418"/>
      <c r="L38" s="418"/>
    </row>
    <row r="39" spans="1:12" ht="14.25">
      <c r="A39" s="418"/>
      <c r="B39" s="419" t="s">
        <v>680</v>
      </c>
      <c r="L39" s="418"/>
    </row>
    <row r="40" spans="1:12" ht="14.25">
      <c r="A40" s="418"/>
      <c r="L40" s="418"/>
    </row>
    <row r="41" spans="1:12" ht="14.25">
      <c r="A41" s="418"/>
      <c r="C41" s="885">
        <v>312000000</v>
      </c>
      <c r="D41" s="885"/>
      <c r="E41" s="419" t="s">
        <v>673</v>
      </c>
      <c r="F41" s="422">
        <v>1000</v>
      </c>
      <c r="G41" s="422" t="s">
        <v>672</v>
      </c>
      <c r="H41" s="433">
        <f>C41/F41</f>
        <v>312000</v>
      </c>
      <c r="L41" s="418"/>
    </row>
    <row r="42" spans="1:12" ht="14.25">
      <c r="A42" s="418"/>
      <c r="L42" s="418"/>
    </row>
    <row r="43" spans="1:12" ht="14.25">
      <c r="A43" s="418"/>
      <c r="B43" s="419" t="s">
        <v>681</v>
      </c>
      <c r="L43" s="418"/>
    </row>
    <row r="44" spans="1:12" ht="14.25">
      <c r="A44" s="418"/>
      <c r="L44" s="418"/>
    </row>
    <row r="45" spans="1:12" ht="14.25">
      <c r="A45" s="418"/>
      <c r="B45" s="419" t="s">
        <v>682</v>
      </c>
      <c r="L45" s="418"/>
    </row>
    <row r="46" spans="1:12" ht="15" thickBot="1">
      <c r="A46" s="418"/>
      <c r="L46" s="418"/>
    </row>
    <row r="47" spans="1:12" ht="14.25">
      <c r="A47" s="418"/>
      <c r="B47" s="434" t="s">
        <v>668</v>
      </c>
      <c r="C47" s="424"/>
      <c r="D47" s="424"/>
      <c r="E47" s="424"/>
      <c r="F47" s="424"/>
      <c r="G47" s="424"/>
      <c r="H47" s="424"/>
      <c r="I47" s="424"/>
      <c r="J47" s="424"/>
      <c r="K47" s="425"/>
      <c r="L47" s="418"/>
    </row>
    <row r="48" spans="1:12" ht="14.25">
      <c r="A48" s="418"/>
      <c r="B48" s="878">
        <v>312000000</v>
      </c>
      <c r="C48" s="872"/>
      <c r="D48" s="427" t="s">
        <v>683</v>
      </c>
      <c r="E48" s="427" t="s">
        <v>673</v>
      </c>
      <c r="F48" s="653">
        <v>1000</v>
      </c>
      <c r="G48" s="653" t="s">
        <v>672</v>
      </c>
      <c r="H48" s="428">
        <f>B48/F48</f>
        <v>312000</v>
      </c>
      <c r="I48" s="427" t="s">
        <v>684</v>
      </c>
      <c r="J48" s="427"/>
      <c r="K48" s="429"/>
      <c r="L48" s="418"/>
    </row>
    <row r="49" spans="1:12" ht="14.25">
      <c r="A49" s="418"/>
      <c r="B49" s="435"/>
      <c r="C49" s="427"/>
      <c r="D49" s="427"/>
      <c r="E49" s="427"/>
      <c r="F49" s="427"/>
      <c r="G49" s="427"/>
      <c r="H49" s="427"/>
      <c r="I49" s="427"/>
      <c r="J49" s="427"/>
      <c r="K49" s="429"/>
      <c r="L49" s="418"/>
    </row>
    <row r="50" spans="1:12" ht="14.25">
      <c r="A50" s="418"/>
      <c r="B50" s="436">
        <v>50000</v>
      </c>
      <c r="C50" s="427" t="s">
        <v>685</v>
      </c>
      <c r="D50" s="427"/>
      <c r="E50" s="427" t="s">
        <v>673</v>
      </c>
      <c r="F50" s="428">
        <f>H48</f>
        <v>312000</v>
      </c>
      <c r="G50" s="879" t="s">
        <v>686</v>
      </c>
      <c r="H50" s="880"/>
      <c r="I50" s="653" t="s">
        <v>672</v>
      </c>
      <c r="J50" s="437">
        <f>B50/F50</f>
        <v>0.16025641025641027</v>
      </c>
      <c r="K50" s="429"/>
      <c r="L50" s="418"/>
    </row>
    <row r="51" spans="1:15" ht="15" thickBot="1">
      <c r="A51" s="418"/>
      <c r="B51" s="430"/>
      <c r="C51" s="431"/>
      <c r="D51" s="431"/>
      <c r="E51" s="431"/>
      <c r="F51" s="431"/>
      <c r="G51" s="431"/>
      <c r="H51" s="431"/>
      <c r="I51" s="881" t="s">
        <v>687</v>
      </c>
      <c r="J51" s="881"/>
      <c r="K51" s="882"/>
      <c r="L51" s="418"/>
      <c r="O51" s="537"/>
    </row>
    <row r="52" spans="1:12" ht="40.5" customHeight="1">
      <c r="A52" s="418"/>
      <c r="B52" s="874" t="s">
        <v>664</v>
      </c>
      <c r="C52" s="874"/>
      <c r="D52" s="874"/>
      <c r="E52" s="874"/>
      <c r="F52" s="874"/>
      <c r="G52" s="874"/>
      <c r="H52" s="874"/>
      <c r="I52" s="874"/>
      <c r="J52" s="874"/>
      <c r="K52" s="874"/>
      <c r="L52" s="418"/>
    </row>
    <row r="53" spans="1:12" ht="14.25">
      <c r="A53" s="418"/>
      <c r="B53" s="883" t="s">
        <v>688</v>
      </c>
      <c r="C53" s="883"/>
      <c r="D53" s="883"/>
      <c r="E53" s="883"/>
      <c r="F53" s="883"/>
      <c r="G53" s="883"/>
      <c r="H53" s="883"/>
      <c r="I53" s="883"/>
      <c r="J53" s="883"/>
      <c r="K53" s="883"/>
      <c r="L53" s="418"/>
    </row>
    <row r="54" spans="1:12" ht="14.25">
      <c r="A54" s="418"/>
      <c r="B54" s="659"/>
      <c r="C54" s="659"/>
      <c r="D54" s="659"/>
      <c r="E54" s="659"/>
      <c r="F54" s="659"/>
      <c r="G54" s="659"/>
      <c r="H54" s="659"/>
      <c r="I54" s="659"/>
      <c r="J54" s="659"/>
      <c r="K54" s="659"/>
      <c r="L54" s="418"/>
    </row>
    <row r="55" spans="1:12" ht="14.25">
      <c r="A55" s="418"/>
      <c r="B55" s="875" t="s">
        <v>689</v>
      </c>
      <c r="C55" s="875"/>
      <c r="D55" s="875"/>
      <c r="E55" s="875"/>
      <c r="F55" s="875"/>
      <c r="G55" s="875"/>
      <c r="H55" s="875"/>
      <c r="I55" s="875"/>
      <c r="J55" s="875"/>
      <c r="K55" s="875"/>
      <c r="L55" s="418"/>
    </row>
    <row r="56" spans="1:12" ht="15" customHeight="1">
      <c r="A56" s="418"/>
      <c r="L56" s="418"/>
    </row>
    <row r="57" spans="1:24" ht="74.25" customHeight="1">
      <c r="A57" s="418"/>
      <c r="B57" s="876" t="s">
        <v>690</v>
      </c>
      <c r="C57" s="884"/>
      <c r="D57" s="884"/>
      <c r="E57" s="884"/>
      <c r="F57" s="884"/>
      <c r="G57" s="884"/>
      <c r="H57" s="884"/>
      <c r="I57" s="884"/>
      <c r="J57" s="884"/>
      <c r="K57" s="884"/>
      <c r="L57" s="418"/>
      <c r="M57" s="438"/>
      <c r="N57" s="439"/>
      <c r="O57" s="439"/>
      <c r="P57" s="439"/>
      <c r="Q57" s="439"/>
      <c r="R57" s="439"/>
      <c r="S57" s="439"/>
      <c r="T57" s="439"/>
      <c r="U57" s="439"/>
      <c r="V57" s="439"/>
      <c r="W57" s="439"/>
      <c r="X57" s="439"/>
    </row>
    <row r="58" spans="1:24" ht="15" customHeight="1">
      <c r="A58" s="418"/>
      <c r="B58" s="876"/>
      <c r="C58" s="884"/>
      <c r="D58" s="884"/>
      <c r="E58" s="884"/>
      <c r="F58" s="884"/>
      <c r="G58" s="884"/>
      <c r="H58" s="884"/>
      <c r="I58" s="884"/>
      <c r="J58" s="884"/>
      <c r="K58" s="884"/>
      <c r="L58" s="418"/>
      <c r="M58" s="438"/>
      <c r="N58" s="439"/>
      <c r="O58" s="439"/>
      <c r="P58" s="439"/>
      <c r="Q58" s="439"/>
      <c r="R58" s="439"/>
      <c r="S58" s="439"/>
      <c r="T58" s="439"/>
      <c r="U58" s="439"/>
      <c r="V58" s="439"/>
      <c r="W58" s="439"/>
      <c r="X58" s="439"/>
    </row>
    <row r="59" spans="1:24" ht="14.25">
      <c r="A59" s="418"/>
      <c r="B59" s="421" t="s">
        <v>679</v>
      </c>
      <c r="L59" s="418"/>
      <c r="M59" s="439"/>
      <c r="N59" s="439"/>
      <c r="O59" s="439"/>
      <c r="P59" s="439"/>
      <c r="Q59" s="439"/>
      <c r="R59" s="439"/>
      <c r="S59" s="439"/>
      <c r="T59" s="439"/>
      <c r="U59" s="439"/>
      <c r="V59" s="439"/>
      <c r="W59" s="439"/>
      <c r="X59" s="439"/>
    </row>
    <row r="60" spans="1:24" ht="14.25">
      <c r="A60" s="418"/>
      <c r="L60" s="418"/>
      <c r="M60" s="439"/>
      <c r="N60" s="439"/>
      <c r="O60" s="439"/>
      <c r="P60" s="439"/>
      <c r="Q60" s="439"/>
      <c r="R60" s="439"/>
      <c r="S60" s="439"/>
      <c r="T60" s="439"/>
      <c r="U60" s="439"/>
      <c r="V60" s="439"/>
      <c r="W60" s="439"/>
      <c r="X60" s="439"/>
    </row>
    <row r="61" spans="1:24" ht="14.25">
      <c r="A61" s="418"/>
      <c r="B61" s="419" t="s">
        <v>691</v>
      </c>
      <c r="L61" s="418"/>
      <c r="M61" s="439"/>
      <c r="N61" s="439"/>
      <c r="O61" s="439"/>
      <c r="P61" s="439"/>
      <c r="Q61" s="439"/>
      <c r="R61" s="439"/>
      <c r="S61" s="439"/>
      <c r="T61" s="439"/>
      <c r="U61" s="439"/>
      <c r="V61" s="439"/>
      <c r="W61" s="439"/>
      <c r="X61" s="439"/>
    </row>
    <row r="62" spans="1:24" ht="14.25">
      <c r="A62" s="418"/>
      <c r="B62" s="419" t="s">
        <v>882</v>
      </c>
      <c r="L62" s="418"/>
      <c r="M62" s="439"/>
      <c r="N62" s="439"/>
      <c r="O62" s="439"/>
      <c r="P62" s="439"/>
      <c r="Q62" s="439"/>
      <c r="R62" s="439"/>
      <c r="S62" s="439"/>
      <c r="T62" s="439"/>
      <c r="U62" s="439"/>
      <c r="V62" s="439"/>
      <c r="W62" s="439"/>
      <c r="X62" s="439"/>
    </row>
    <row r="63" spans="1:24" ht="14.25">
      <c r="A63" s="418"/>
      <c r="B63" s="419" t="s">
        <v>883</v>
      </c>
      <c r="L63" s="418"/>
      <c r="M63" s="439"/>
      <c r="N63" s="439"/>
      <c r="O63" s="439"/>
      <c r="P63" s="439"/>
      <c r="Q63" s="439"/>
      <c r="R63" s="439"/>
      <c r="S63" s="439"/>
      <c r="T63" s="439"/>
      <c r="U63" s="439"/>
      <c r="V63" s="439"/>
      <c r="W63" s="439"/>
      <c r="X63" s="439"/>
    </row>
    <row r="64" spans="1:24" ht="14.25">
      <c r="A64" s="418"/>
      <c r="L64" s="418"/>
      <c r="M64" s="439"/>
      <c r="N64" s="439"/>
      <c r="O64" s="439"/>
      <c r="P64" s="439"/>
      <c r="Q64" s="439"/>
      <c r="R64" s="439"/>
      <c r="S64" s="439"/>
      <c r="T64" s="439"/>
      <c r="U64" s="439"/>
      <c r="V64" s="439"/>
      <c r="W64" s="439"/>
      <c r="X64" s="439"/>
    </row>
    <row r="65" spans="1:24" ht="14.25">
      <c r="A65" s="418"/>
      <c r="B65" s="419" t="s">
        <v>692</v>
      </c>
      <c r="L65" s="418"/>
      <c r="M65" s="439"/>
      <c r="N65" s="439"/>
      <c r="O65" s="439"/>
      <c r="P65" s="439"/>
      <c r="Q65" s="439"/>
      <c r="R65" s="439"/>
      <c r="S65" s="439"/>
      <c r="T65" s="439"/>
      <c r="U65" s="439"/>
      <c r="V65" s="439"/>
      <c r="W65" s="439"/>
      <c r="X65" s="439"/>
    </row>
    <row r="66" spans="1:24" ht="14.25">
      <c r="A66" s="418"/>
      <c r="B66" s="419" t="s">
        <v>693</v>
      </c>
      <c r="L66" s="418"/>
      <c r="M66" s="439"/>
      <c r="N66" s="439"/>
      <c r="O66" s="439"/>
      <c r="P66" s="439"/>
      <c r="Q66" s="439"/>
      <c r="R66" s="439"/>
      <c r="S66" s="439"/>
      <c r="T66" s="439"/>
      <c r="U66" s="439"/>
      <c r="V66" s="439"/>
      <c r="W66" s="439"/>
      <c r="X66" s="439"/>
    </row>
    <row r="67" spans="1:24" ht="14.25">
      <c r="A67" s="418"/>
      <c r="L67" s="418"/>
      <c r="M67" s="439"/>
      <c r="N67" s="439"/>
      <c r="O67" s="439"/>
      <c r="P67" s="439"/>
      <c r="Q67" s="439"/>
      <c r="R67" s="439"/>
      <c r="S67" s="439"/>
      <c r="T67" s="439"/>
      <c r="U67" s="439"/>
      <c r="V67" s="439"/>
      <c r="W67" s="439"/>
      <c r="X67" s="439"/>
    </row>
    <row r="68" spans="1:24" ht="14.25">
      <c r="A68" s="418"/>
      <c r="B68" s="419" t="s">
        <v>694</v>
      </c>
      <c r="L68" s="418"/>
      <c r="M68" s="440"/>
      <c r="N68" s="441"/>
      <c r="O68" s="441"/>
      <c r="P68" s="441"/>
      <c r="Q68" s="441"/>
      <c r="R68" s="441"/>
      <c r="S68" s="441"/>
      <c r="T68" s="441"/>
      <c r="U68" s="441"/>
      <c r="V68" s="441"/>
      <c r="W68" s="441"/>
      <c r="X68" s="439"/>
    </row>
    <row r="69" spans="1:24" ht="14.25">
      <c r="A69" s="418"/>
      <c r="B69" s="419" t="s">
        <v>884</v>
      </c>
      <c r="L69" s="418"/>
      <c r="M69" s="439"/>
      <c r="N69" s="439"/>
      <c r="O69" s="439"/>
      <c r="P69" s="439"/>
      <c r="Q69" s="439"/>
      <c r="R69" s="439"/>
      <c r="S69" s="439"/>
      <c r="T69" s="439"/>
      <c r="U69" s="439"/>
      <c r="V69" s="439"/>
      <c r="W69" s="439"/>
      <c r="X69" s="439"/>
    </row>
    <row r="70" spans="1:24" ht="14.25">
      <c r="A70" s="418"/>
      <c r="B70" s="419" t="s">
        <v>885</v>
      </c>
      <c r="L70" s="418"/>
      <c r="M70" s="439"/>
      <c r="N70" s="439"/>
      <c r="O70" s="439"/>
      <c r="P70" s="439"/>
      <c r="Q70" s="439"/>
      <c r="R70" s="439"/>
      <c r="S70" s="439"/>
      <c r="T70" s="439"/>
      <c r="U70" s="439"/>
      <c r="V70" s="439"/>
      <c r="W70" s="439"/>
      <c r="X70" s="439"/>
    </row>
    <row r="71" spans="1:12" ht="15" thickBot="1">
      <c r="A71" s="418"/>
      <c r="B71" s="427"/>
      <c r="C71" s="427"/>
      <c r="D71" s="427"/>
      <c r="E71" s="427"/>
      <c r="F71" s="427"/>
      <c r="G71" s="427"/>
      <c r="H71" s="427"/>
      <c r="I71" s="427"/>
      <c r="J71" s="427"/>
      <c r="K71" s="427"/>
      <c r="L71" s="418"/>
    </row>
    <row r="72" spans="1:12" ht="14.25">
      <c r="A72" s="418"/>
      <c r="B72" s="423" t="s">
        <v>668</v>
      </c>
      <c r="C72" s="424"/>
      <c r="D72" s="424"/>
      <c r="E72" s="424"/>
      <c r="F72" s="424"/>
      <c r="G72" s="424"/>
      <c r="H72" s="424"/>
      <c r="I72" s="424"/>
      <c r="J72" s="424"/>
      <c r="K72" s="425"/>
      <c r="L72" s="442"/>
    </row>
    <row r="73" spans="1:12" ht="14.25">
      <c r="A73" s="418"/>
      <c r="B73" s="435"/>
      <c r="C73" s="427" t="s">
        <v>674</v>
      </c>
      <c r="D73" s="427"/>
      <c r="E73" s="427"/>
      <c r="F73" s="427"/>
      <c r="G73" s="427"/>
      <c r="H73" s="427"/>
      <c r="I73" s="427"/>
      <c r="J73" s="427"/>
      <c r="K73" s="429"/>
      <c r="L73" s="442"/>
    </row>
    <row r="74" spans="1:12" ht="14.25">
      <c r="A74" s="418"/>
      <c r="B74" s="435" t="s">
        <v>695</v>
      </c>
      <c r="C74" s="872">
        <v>312000000</v>
      </c>
      <c r="D74" s="872"/>
      <c r="E74" s="653" t="s">
        <v>673</v>
      </c>
      <c r="F74" s="653">
        <v>1000</v>
      </c>
      <c r="G74" s="653" t="s">
        <v>672</v>
      </c>
      <c r="H74" s="651">
        <f>C74/F74</f>
        <v>312000</v>
      </c>
      <c r="I74" s="427" t="s">
        <v>696</v>
      </c>
      <c r="J74" s="427"/>
      <c r="K74" s="429"/>
      <c r="L74" s="442"/>
    </row>
    <row r="75" spans="1:12" ht="14.25">
      <c r="A75" s="418"/>
      <c r="B75" s="435"/>
      <c r="C75" s="427"/>
      <c r="D75" s="427"/>
      <c r="E75" s="653"/>
      <c r="F75" s="427"/>
      <c r="G75" s="427"/>
      <c r="H75" s="427"/>
      <c r="I75" s="427"/>
      <c r="J75" s="427"/>
      <c r="K75" s="429"/>
      <c r="L75" s="442"/>
    </row>
    <row r="76" spans="1:12" ht="14.25">
      <c r="A76" s="418"/>
      <c r="B76" s="435"/>
      <c r="C76" s="427" t="s">
        <v>697</v>
      </c>
      <c r="D76" s="427"/>
      <c r="E76" s="653"/>
      <c r="F76" s="427" t="s">
        <v>696</v>
      </c>
      <c r="G76" s="427"/>
      <c r="H76" s="427"/>
      <c r="I76" s="427"/>
      <c r="J76" s="427"/>
      <c r="K76" s="429"/>
      <c r="L76" s="442"/>
    </row>
    <row r="77" spans="1:12" ht="14.25">
      <c r="A77" s="418"/>
      <c r="B77" s="435" t="s">
        <v>700</v>
      </c>
      <c r="C77" s="872">
        <v>50000</v>
      </c>
      <c r="D77" s="872"/>
      <c r="E77" s="653" t="s">
        <v>673</v>
      </c>
      <c r="F77" s="651">
        <f>H74</f>
        <v>312000</v>
      </c>
      <c r="G77" s="653" t="s">
        <v>672</v>
      </c>
      <c r="H77" s="437">
        <f>C77/F77</f>
        <v>0.16025641025641027</v>
      </c>
      <c r="I77" s="427" t="s">
        <v>698</v>
      </c>
      <c r="J77" s="427"/>
      <c r="K77" s="429"/>
      <c r="L77" s="442"/>
    </row>
    <row r="78" spans="1:12" ht="14.25">
      <c r="A78" s="418"/>
      <c r="B78" s="435"/>
      <c r="C78" s="427"/>
      <c r="D78" s="427"/>
      <c r="E78" s="653"/>
      <c r="F78" s="427"/>
      <c r="G78" s="427"/>
      <c r="H78" s="427"/>
      <c r="I78" s="427"/>
      <c r="J78" s="427"/>
      <c r="K78" s="429"/>
      <c r="L78" s="442"/>
    </row>
    <row r="79" spans="1:12" ht="14.25">
      <c r="A79" s="418"/>
      <c r="B79" s="443"/>
      <c r="C79" s="444" t="s">
        <v>699</v>
      </c>
      <c r="D79" s="444"/>
      <c r="E79" s="655"/>
      <c r="F79" s="444"/>
      <c r="G79" s="444"/>
      <c r="H79" s="444"/>
      <c r="I79" s="444"/>
      <c r="J79" s="444"/>
      <c r="K79" s="445"/>
      <c r="L79" s="442"/>
    </row>
    <row r="80" spans="1:12" ht="14.25">
      <c r="A80" s="418"/>
      <c r="B80" s="435" t="s">
        <v>776</v>
      </c>
      <c r="C80" s="872">
        <v>100000</v>
      </c>
      <c r="D80" s="872"/>
      <c r="E80" s="653" t="s">
        <v>13</v>
      </c>
      <c r="F80" s="653">
        <v>0.115</v>
      </c>
      <c r="G80" s="653" t="s">
        <v>672</v>
      </c>
      <c r="H80" s="651">
        <f>C80*F80</f>
        <v>11500</v>
      </c>
      <c r="I80" s="427" t="s">
        <v>701</v>
      </c>
      <c r="J80" s="427"/>
      <c r="K80" s="429"/>
      <c r="L80" s="442"/>
    </row>
    <row r="81" spans="1:12" ht="14.25">
      <c r="A81" s="418"/>
      <c r="B81" s="435"/>
      <c r="C81" s="427"/>
      <c r="D81" s="427"/>
      <c r="E81" s="653"/>
      <c r="F81" s="427"/>
      <c r="G81" s="427"/>
      <c r="H81" s="427"/>
      <c r="I81" s="427"/>
      <c r="J81" s="427"/>
      <c r="K81" s="429"/>
      <c r="L81" s="442"/>
    </row>
    <row r="82" spans="1:12" ht="14.25">
      <c r="A82" s="418"/>
      <c r="B82" s="443"/>
      <c r="C82" s="444" t="s">
        <v>702</v>
      </c>
      <c r="D82" s="444"/>
      <c r="E82" s="655"/>
      <c r="F82" s="444" t="s">
        <v>698</v>
      </c>
      <c r="G82" s="444"/>
      <c r="H82" s="444"/>
      <c r="I82" s="444"/>
      <c r="J82" s="444" t="s">
        <v>703</v>
      </c>
      <c r="K82" s="445"/>
      <c r="L82" s="442"/>
    </row>
    <row r="83" spans="1:12" ht="14.25">
      <c r="A83" s="418"/>
      <c r="B83" s="435" t="s">
        <v>777</v>
      </c>
      <c r="C83" s="870">
        <f>H80</f>
        <v>11500</v>
      </c>
      <c r="D83" s="870"/>
      <c r="E83" s="653" t="s">
        <v>13</v>
      </c>
      <c r="F83" s="437">
        <f>H77</f>
        <v>0.16025641025641027</v>
      </c>
      <c r="G83" s="653" t="s">
        <v>673</v>
      </c>
      <c r="H83" s="653">
        <v>1000</v>
      </c>
      <c r="I83" s="653" t="s">
        <v>672</v>
      </c>
      <c r="J83" s="652">
        <f>C83*F83/H83</f>
        <v>1.842948717948718</v>
      </c>
      <c r="K83" s="429"/>
      <c r="L83" s="442"/>
    </row>
    <row r="84" spans="1:12" ht="15" thickBot="1">
      <c r="A84" s="418"/>
      <c r="B84" s="430"/>
      <c r="C84" s="446"/>
      <c r="D84" s="446"/>
      <c r="E84" s="447"/>
      <c r="F84" s="448"/>
      <c r="G84" s="447"/>
      <c r="H84" s="447"/>
      <c r="I84" s="447"/>
      <c r="J84" s="449"/>
      <c r="K84" s="432"/>
      <c r="L84" s="442"/>
    </row>
    <row r="85" spans="1:12" ht="40.5" customHeight="1">
      <c r="A85" s="418"/>
      <c r="B85" s="874" t="s">
        <v>664</v>
      </c>
      <c r="C85" s="874"/>
      <c r="D85" s="874"/>
      <c r="E85" s="874"/>
      <c r="F85" s="874"/>
      <c r="G85" s="874"/>
      <c r="H85" s="874"/>
      <c r="I85" s="874"/>
      <c r="J85" s="874"/>
      <c r="K85" s="874"/>
      <c r="L85" s="418"/>
    </row>
    <row r="86" spans="1:12" ht="14.25">
      <c r="A86" s="418"/>
      <c r="B86" s="875" t="s">
        <v>704</v>
      </c>
      <c r="C86" s="875"/>
      <c r="D86" s="875"/>
      <c r="E86" s="875"/>
      <c r="F86" s="875"/>
      <c r="G86" s="875"/>
      <c r="H86" s="875"/>
      <c r="I86" s="875"/>
      <c r="J86" s="875"/>
      <c r="K86" s="875"/>
      <c r="L86" s="418"/>
    </row>
    <row r="87" spans="1:12" ht="14.25">
      <c r="A87" s="418"/>
      <c r="B87" s="450"/>
      <c r="C87" s="450"/>
      <c r="D87" s="450"/>
      <c r="E87" s="450"/>
      <c r="F87" s="450"/>
      <c r="G87" s="450"/>
      <c r="H87" s="450"/>
      <c r="I87" s="450"/>
      <c r="J87" s="450"/>
      <c r="K87" s="450"/>
      <c r="L87" s="418"/>
    </row>
    <row r="88" spans="1:12" ht="14.25">
      <c r="A88" s="418"/>
      <c r="B88" s="875" t="s">
        <v>705</v>
      </c>
      <c r="C88" s="875"/>
      <c r="D88" s="875"/>
      <c r="E88" s="875"/>
      <c r="F88" s="875"/>
      <c r="G88" s="875"/>
      <c r="H88" s="875"/>
      <c r="I88" s="875"/>
      <c r="J88" s="875"/>
      <c r="K88" s="875"/>
      <c r="L88" s="418"/>
    </row>
    <row r="89" spans="1:12" ht="14.25">
      <c r="A89" s="418"/>
      <c r="B89" s="656"/>
      <c r="C89" s="656"/>
      <c r="D89" s="656"/>
      <c r="E89" s="656"/>
      <c r="F89" s="656"/>
      <c r="G89" s="656"/>
      <c r="H89" s="656"/>
      <c r="I89" s="656"/>
      <c r="J89" s="656"/>
      <c r="K89" s="656"/>
      <c r="L89" s="418"/>
    </row>
    <row r="90" spans="1:12" ht="45" customHeight="1">
      <c r="A90" s="418"/>
      <c r="B90" s="876" t="s">
        <v>706</v>
      </c>
      <c r="C90" s="876"/>
      <c r="D90" s="876"/>
      <c r="E90" s="876"/>
      <c r="F90" s="876"/>
      <c r="G90" s="876"/>
      <c r="H90" s="876"/>
      <c r="I90" s="876"/>
      <c r="J90" s="876"/>
      <c r="K90" s="876"/>
      <c r="L90" s="418"/>
    </row>
    <row r="91" spans="1:12" ht="15" customHeight="1" thickBot="1">
      <c r="A91" s="418"/>
      <c r="L91" s="418"/>
    </row>
    <row r="92" spans="1:12" ht="15" customHeight="1">
      <c r="A92" s="418"/>
      <c r="B92" s="451" t="s">
        <v>668</v>
      </c>
      <c r="C92" s="452"/>
      <c r="D92" s="452"/>
      <c r="E92" s="452"/>
      <c r="F92" s="452"/>
      <c r="G92" s="452"/>
      <c r="H92" s="452"/>
      <c r="I92" s="452"/>
      <c r="J92" s="452"/>
      <c r="K92" s="453"/>
      <c r="L92" s="418"/>
    </row>
    <row r="93" spans="1:12" ht="15" customHeight="1">
      <c r="A93" s="418"/>
      <c r="B93" s="454"/>
      <c r="C93" s="657" t="s">
        <v>674</v>
      </c>
      <c r="D93" s="657"/>
      <c r="E93" s="657"/>
      <c r="F93" s="657"/>
      <c r="G93" s="657"/>
      <c r="H93" s="657"/>
      <c r="I93" s="657"/>
      <c r="J93" s="657"/>
      <c r="K93" s="455"/>
      <c r="L93" s="418"/>
    </row>
    <row r="94" spans="1:12" ht="15" customHeight="1">
      <c r="A94" s="418"/>
      <c r="B94" s="454" t="s">
        <v>695</v>
      </c>
      <c r="C94" s="872">
        <v>312000000</v>
      </c>
      <c r="D94" s="872"/>
      <c r="E94" s="653" t="s">
        <v>673</v>
      </c>
      <c r="F94" s="653">
        <v>1000</v>
      </c>
      <c r="G94" s="653" t="s">
        <v>672</v>
      </c>
      <c r="H94" s="651">
        <f>C94/F94</f>
        <v>312000</v>
      </c>
      <c r="I94" s="657" t="s">
        <v>696</v>
      </c>
      <c r="J94" s="657"/>
      <c r="K94" s="455"/>
      <c r="L94" s="418"/>
    </row>
    <row r="95" spans="1:12" ht="15" customHeight="1">
      <c r="A95" s="418"/>
      <c r="B95" s="454"/>
      <c r="C95" s="657"/>
      <c r="D95" s="657"/>
      <c r="E95" s="653"/>
      <c r="F95" s="657"/>
      <c r="G95" s="657"/>
      <c r="H95" s="657"/>
      <c r="I95" s="657"/>
      <c r="J95" s="657"/>
      <c r="K95" s="455"/>
      <c r="L95" s="418"/>
    </row>
    <row r="96" spans="1:12" ht="15" customHeight="1">
      <c r="A96" s="418"/>
      <c r="B96" s="454"/>
      <c r="C96" s="657" t="s">
        <v>697</v>
      </c>
      <c r="D96" s="657"/>
      <c r="E96" s="653"/>
      <c r="F96" s="657" t="s">
        <v>696</v>
      </c>
      <c r="G96" s="657"/>
      <c r="H96" s="657"/>
      <c r="I96" s="657"/>
      <c r="J96" s="657"/>
      <c r="K96" s="455"/>
      <c r="L96" s="418"/>
    </row>
    <row r="97" spans="1:12" ht="15" customHeight="1">
      <c r="A97" s="418"/>
      <c r="B97" s="454" t="s">
        <v>700</v>
      </c>
      <c r="C97" s="872">
        <v>50000</v>
      </c>
      <c r="D97" s="872"/>
      <c r="E97" s="653" t="s">
        <v>673</v>
      </c>
      <c r="F97" s="651">
        <f>H94</f>
        <v>312000</v>
      </c>
      <c r="G97" s="653" t="s">
        <v>672</v>
      </c>
      <c r="H97" s="437">
        <f>C97/F97</f>
        <v>0.16025641025641027</v>
      </c>
      <c r="I97" s="657" t="s">
        <v>698</v>
      </c>
      <c r="J97" s="657"/>
      <c r="K97" s="455"/>
      <c r="L97" s="418"/>
    </row>
    <row r="98" spans="1:12" ht="15" customHeight="1">
      <c r="A98" s="418"/>
      <c r="B98" s="454"/>
      <c r="C98" s="657"/>
      <c r="D98" s="657"/>
      <c r="E98" s="653"/>
      <c r="F98" s="657"/>
      <c r="G98" s="657"/>
      <c r="H98" s="657"/>
      <c r="I98" s="657"/>
      <c r="J98" s="657"/>
      <c r="K98" s="455"/>
      <c r="L98" s="418"/>
    </row>
    <row r="99" spans="1:12" ht="15" customHeight="1">
      <c r="A99" s="418"/>
      <c r="B99" s="456"/>
      <c r="C99" s="457" t="s">
        <v>707</v>
      </c>
      <c r="D99" s="457"/>
      <c r="E99" s="655"/>
      <c r="F99" s="457"/>
      <c r="G99" s="457"/>
      <c r="H99" s="457"/>
      <c r="I99" s="457"/>
      <c r="J99" s="457"/>
      <c r="K99" s="458"/>
      <c r="L99" s="418"/>
    </row>
    <row r="100" spans="1:12" ht="15" customHeight="1">
      <c r="A100" s="418"/>
      <c r="B100" s="454" t="s">
        <v>776</v>
      </c>
      <c r="C100" s="872">
        <v>2500000</v>
      </c>
      <c r="D100" s="872"/>
      <c r="E100" s="653" t="s">
        <v>13</v>
      </c>
      <c r="F100" s="459">
        <v>0.3</v>
      </c>
      <c r="G100" s="653" t="s">
        <v>672</v>
      </c>
      <c r="H100" s="651">
        <f>C100*F100</f>
        <v>750000</v>
      </c>
      <c r="I100" s="657" t="s">
        <v>701</v>
      </c>
      <c r="J100" s="657"/>
      <c r="K100" s="455"/>
      <c r="L100" s="418"/>
    </row>
    <row r="101" spans="1:12" ht="15" customHeight="1">
      <c r="A101" s="418"/>
      <c r="B101" s="454"/>
      <c r="C101" s="657"/>
      <c r="D101" s="657"/>
      <c r="E101" s="653"/>
      <c r="F101" s="657"/>
      <c r="G101" s="657"/>
      <c r="H101" s="657"/>
      <c r="I101" s="657"/>
      <c r="J101" s="657"/>
      <c r="K101" s="455"/>
      <c r="L101" s="418"/>
    </row>
    <row r="102" spans="1:12" ht="15" customHeight="1">
      <c r="A102" s="418"/>
      <c r="B102" s="456"/>
      <c r="C102" s="457" t="s">
        <v>702</v>
      </c>
      <c r="D102" s="457"/>
      <c r="E102" s="655"/>
      <c r="F102" s="457" t="s">
        <v>698</v>
      </c>
      <c r="G102" s="457"/>
      <c r="H102" s="457"/>
      <c r="I102" s="457"/>
      <c r="J102" s="457" t="s">
        <v>703</v>
      </c>
      <c r="K102" s="458"/>
      <c r="L102" s="418"/>
    </row>
    <row r="103" spans="1:12" ht="15" customHeight="1">
      <c r="A103" s="418"/>
      <c r="B103" s="454" t="s">
        <v>777</v>
      </c>
      <c r="C103" s="870">
        <f>H100</f>
        <v>750000</v>
      </c>
      <c r="D103" s="870"/>
      <c r="E103" s="653" t="s">
        <v>13</v>
      </c>
      <c r="F103" s="437">
        <f>H97</f>
        <v>0.16025641025641027</v>
      </c>
      <c r="G103" s="653" t="s">
        <v>673</v>
      </c>
      <c r="H103" s="653">
        <v>1000</v>
      </c>
      <c r="I103" s="653" t="s">
        <v>672</v>
      </c>
      <c r="J103" s="652">
        <f>C103*F103/H103</f>
        <v>120.19230769230771</v>
      </c>
      <c r="K103" s="455"/>
      <c r="L103" s="418"/>
    </row>
    <row r="104" spans="1:12" ht="15" customHeight="1" thickBot="1">
      <c r="A104" s="418"/>
      <c r="B104" s="460"/>
      <c r="C104" s="446"/>
      <c r="D104" s="446"/>
      <c r="E104" s="447"/>
      <c r="F104" s="448"/>
      <c r="G104" s="447"/>
      <c r="H104" s="447"/>
      <c r="I104" s="447"/>
      <c r="J104" s="449"/>
      <c r="K104" s="658"/>
      <c r="L104" s="418"/>
    </row>
    <row r="105" spans="1:12" ht="40.5" customHeight="1">
      <c r="A105" s="418"/>
      <c r="B105" s="874" t="s">
        <v>664</v>
      </c>
      <c r="C105" s="877"/>
      <c r="D105" s="877"/>
      <c r="E105" s="877"/>
      <c r="F105" s="877"/>
      <c r="G105" s="877"/>
      <c r="H105" s="877"/>
      <c r="I105" s="877"/>
      <c r="J105" s="877"/>
      <c r="K105" s="877"/>
      <c r="L105" s="418"/>
    </row>
    <row r="106" spans="1:12" ht="15" customHeight="1">
      <c r="A106" s="418"/>
      <c r="B106" s="887" t="s">
        <v>708</v>
      </c>
      <c r="C106" s="888"/>
      <c r="D106" s="888"/>
      <c r="E106" s="888"/>
      <c r="F106" s="888"/>
      <c r="G106" s="888"/>
      <c r="H106" s="888"/>
      <c r="I106" s="888"/>
      <c r="J106" s="888"/>
      <c r="K106" s="888"/>
      <c r="L106" s="418"/>
    </row>
    <row r="107" spans="1:12" ht="15" customHeight="1">
      <c r="A107" s="418"/>
      <c r="B107" s="657"/>
      <c r="C107" s="461"/>
      <c r="D107" s="461"/>
      <c r="E107" s="653"/>
      <c r="F107" s="437"/>
      <c r="G107" s="653"/>
      <c r="H107" s="653"/>
      <c r="I107" s="653"/>
      <c r="J107" s="652"/>
      <c r="K107" s="657"/>
      <c r="L107" s="418"/>
    </row>
    <row r="108" spans="1:12" ht="15" customHeight="1">
      <c r="A108" s="418"/>
      <c r="B108" s="887" t="s">
        <v>709</v>
      </c>
      <c r="C108" s="889"/>
      <c r="D108" s="889"/>
      <c r="E108" s="889"/>
      <c r="F108" s="889"/>
      <c r="G108" s="889"/>
      <c r="H108" s="889"/>
      <c r="I108" s="889"/>
      <c r="J108" s="889"/>
      <c r="K108" s="889"/>
      <c r="L108" s="418"/>
    </row>
    <row r="109" spans="1:12" ht="15" customHeight="1">
      <c r="A109" s="418"/>
      <c r="B109" s="657"/>
      <c r="C109" s="461"/>
      <c r="D109" s="461"/>
      <c r="E109" s="653"/>
      <c r="F109" s="437"/>
      <c r="G109" s="653"/>
      <c r="H109" s="653"/>
      <c r="I109" s="653"/>
      <c r="J109" s="652"/>
      <c r="K109" s="657"/>
      <c r="L109" s="418"/>
    </row>
    <row r="110" spans="1:12" ht="59.25" customHeight="1">
      <c r="A110" s="418"/>
      <c r="B110" s="886" t="s">
        <v>710</v>
      </c>
      <c r="C110" s="884"/>
      <c r="D110" s="884"/>
      <c r="E110" s="884"/>
      <c r="F110" s="884"/>
      <c r="G110" s="884"/>
      <c r="H110" s="884"/>
      <c r="I110" s="884"/>
      <c r="J110" s="884"/>
      <c r="K110" s="884"/>
      <c r="L110" s="418"/>
    </row>
    <row r="111" spans="1:12" ht="15" thickBot="1">
      <c r="A111" s="418"/>
      <c r="B111" s="659"/>
      <c r="C111" s="659"/>
      <c r="D111" s="659"/>
      <c r="E111" s="659"/>
      <c r="F111" s="659"/>
      <c r="G111" s="659"/>
      <c r="H111" s="659"/>
      <c r="I111" s="659"/>
      <c r="J111" s="659"/>
      <c r="K111" s="659"/>
      <c r="L111" s="462"/>
    </row>
    <row r="112" spans="1:12" ht="14.25">
      <c r="A112" s="418"/>
      <c r="B112" s="423" t="s">
        <v>668</v>
      </c>
      <c r="C112" s="424"/>
      <c r="D112" s="424"/>
      <c r="E112" s="424"/>
      <c r="F112" s="424"/>
      <c r="G112" s="424"/>
      <c r="H112" s="424"/>
      <c r="I112" s="424"/>
      <c r="J112" s="424"/>
      <c r="K112" s="425"/>
      <c r="L112" s="418"/>
    </row>
    <row r="113" spans="1:12" ht="14.25">
      <c r="A113" s="418"/>
      <c r="B113" s="435"/>
      <c r="C113" s="427" t="s">
        <v>674</v>
      </c>
      <c r="D113" s="427"/>
      <c r="E113" s="427"/>
      <c r="F113" s="427"/>
      <c r="G113" s="427"/>
      <c r="H113" s="427"/>
      <c r="I113" s="427"/>
      <c r="J113" s="427"/>
      <c r="K113" s="429"/>
      <c r="L113" s="418"/>
    </row>
    <row r="114" spans="1:12" ht="14.25">
      <c r="A114" s="418"/>
      <c r="B114" s="435" t="s">
        <v>695</v>
      </c>
      <c r="C114" s="872">
        <v>312000000</v>
      </c>
      <c r="D114" s="872"/>
      <c r="E114" s="653" t="s">
        <v>673</v>
      </c>
      <c r="F114" s="653">
        <v>1000</v>
      </c>
      <c r="G114" s="653" t="s">
        <v>672</v>
      </c>
      <c r="H114" s="651">
        <f>C114/F114</f>
        <v>312000</v>
      </c>
      <c r="I114" s="427" t="s">
        <v>696</v>
      </c>
      <c r="J114" s="427"/>
      <c r="K114" s="429"/>
      <c r="L114" s="418"/>
    </row>
    <row r="115" spans="1:12" ht="14.25">
      <c r="A115" s="418"/>
      <c r="B115" s="435"/>
      <c r="C115" s="427"/>
      <c r="D115" s="427"/>
      <c r="E115" s="653"/>
      <c r="F115" s="427"/>
      <c r="G115" s="427"/>
      <c r="H115" s="427"/>
      <c r="I115" s="427"/>
      <c r="J115" s="427"/>
      <c r="K115" s="429"/>
      <c r="L115" s="418"/>
    </row>
    <row r="116" spans="1:12" ht="14.25">
      <c r="A116" s="418"/>
      <c r="B116" s="435"/>
      <c r="C116" s="427" t="s">
        <v>697</v>
      </c>
      <c r="D116" s="427"/>
      <c r="E116" s="653"/>
      <c r="F116" s="427" t="s">
        <v>696</v>
      </c>
      <c r="G116" s="427"/>
      <c r="H116" s="427"/>
      <c r="I116" s="427"/>
      <c r="J116" s="427"/>
      <c r="K116" s="429"/>
      <c r="L116" s="418"/>
    </row>
    <row r="117" spans="1:12" ht="14.25">
      <c r="A117" s="418"/>
      <c r="B117" s="435" t="s">
        <v>700</v>
      </c>
      <c r="C117" s="872">
        <v>50000</v>
      </c>
      <c r="D117" s="872"/>
      <c r="E117" s="653" t="s">
        <v>673</v>
      </c>
      <c r="F117" s="651">
        <f>H114</f>
        <v>312000</v>
      </c>
      <c r="G117" s="653" t="s">
        <v>672</v>
      </c>
      <c r="H117" s="437">
        <f>C117/F117</f>
        <v>0.16025641025641027</v>
      </c>
      <c r="I117" s="427" t="s">
        <v>698</v>
      </c>
      <c r="J117" s="427"/>
      <c r="K117" s="429"/>
      <c r="L117" s="418"/>
    </row>
    <row r="118" spans="1:12" ht="14.25">
      <c r="A118" s="418"/>
      <c r="B118" s="435"/>
      <c r="C118" s="427"/>
      <c r="D118" s="427"/>
      <c r="E118" s="653"/>
      <c r="F118" s="427"/>
      <c r="G118" s="427"/>
      <c r="H118" s="427"/>
      <c r="I118" s="427"/>
      <c r="J118" s="427"/>
      <c r="K118" s="429"/>
      <c r="L118" s="418"/>
    </row>
    <row r="119" spans="1:12" ht="14.25">
      <c r="A119" s="418"/>
      <c r="B119" s="443"/>
      <c r="C119" s="444" t="s">
        <v>707</v>
      </c>
      <c r="D119" s="444"/>
      <c r="E119" s="655"/>
      <c r="F119" s="444"/>
      <c r="G119" s="444"/>
      <c r="H119" s="444"/>
      <c r="I119" s="444"/>
      <c r="J119" s="444"/>
      <c r="K119" s="445"/>
      <c r="L119" s="418"/>
    </row>
    <row r="120" spans="1:12" ht="14.25">
      <c r="A120" s="418"/>
      <c r="B120" s="435" t="s">
        <v>776</v>
      </c>
      <c r="C120" s="872">
        <v>2500000</v>
      </c>
      <c r="D120" s="872"/>
      <c r="E120" s="653" t="s">
        <v>13</v>
      </c>
      <c r="F120" s="459">
        <v>0.25</v>
      </c>
      <c r="G120" s="653" t="s">
        <v>672</v>
      </c>
      <c r="H120" s="651">
        <f>C120*F120</f>
        <v>625000</v>
      </c>
      <c r="I120" s="427" t="s">
        <v>701</v>
      </c>
      <c r="J120" s="427"/>
      <c r="K120" s="429"/>
      <c r="L120" s="418"/>
    </row>
    <row r="121" spans="1:12" ht="14.25">
      <c r="A121" s="418"/>
      <c r="B121" s="435"/>
      <c r="C121" s="427"/>
      <c r="D121" s="427"/>
      <c r="E121" s="653"/>
      <c r="F121" s="427"/>
      <c r="G121" s="427"/>
      <c r="H121" s="427"/>
      <c r="I121" s="427"/>
      <c r="J121" s="427"/>
      <c r="K121" s="429"/>
      <c r="L121" s="418"/>
    </row>
    <row r="122" spans="1:12" ht="14.25">
      <c r="A122" s="418"/>
      <c r="B122" s="443"/>
      <c r="C122" s="444" t="s">
        <v>702</v>
      </c>
      <c r="D122" s="444"/>
      <c r="E122" s="655"/>
      <c r="F122" s="444" t="s">
        <v>698</v>
      </c>
      <c r="G122" s="444"/>
      <c r="H122" s="444"/>
      <c r="I122" s="444"/>
      <c r="J122" s="444" t="s">
        <v>703</v>
      </c>
      <c r="K122" s="445"/>
      <c r="L122" s="418"/>
    </row>
    <row r="123" spans="1:12" ht="14.25">
      <c r="A123" s="418"/>
      <c r="B123" s="435" t="s">
        <v>777</v>
      </c>
      <c r="C123" s="870">
        <f>H120</f>
        <v>625000</v>
      </c>
      <c r="D123" s="870"/>
      <c r="E123" s="653" t="s">
        <v>13</v>
      </c>
      <c r="F123" s="437">
        <f>H117</f>
        <v>0.16025641025641027</v>
      </c>
      <c r="G123" s="653" t="s">
        <v>673</v>
      </c>
      <c r="H123" s="653">
        <v>1000</v>
      </c>
      <c r="I123" s="653" t="s">
        <v>672</v>
      </c>
      <c r="J123" s="652">
        <f>C123*F123/H123</f>
        <v>100.16025641025642</v>
      </c>
      <c r="K123" s="429"/>
      <c r="L123" s="418"/>
    </row>
    <row r="124" spans="1:12" ht="15" thickBot="1">
      <c r="A124" s="418"/>
      <c r="B124" s="430"/>
      <c r="C124" s="446"/>
      <c r="D124" s="446"/>
      <c r="E124" s="447"/>
      <c r="F124" s="448"/>
      <c r="G124" s="447"/>
      <c r="H124" s="447"/>
      <c r="I124" s="447"/>
      <c r="J124" s="449"/>
      <c r="K124" s="432"/>
      <c r="L124" s="418"/>
    </row>
    <row r="125" spans="1:12" ht="40.5" customHeight="1">
      <c r="A125" s="418"/>
      <c r="B125" s="874" t="s">
        <v>664</v>
      </c>
      <c r="C125" s="874"/>
      <c r="D125" s="874"/>
      <c r="E125" s="874"/>
      <c r="F125" s="874"/>
      <c r="G125" s="874"/>
      <c r="H125" s="874"/>
      <c r="I125" s="874"/>
      <c r="J125" s="874"/>
      <c r="K125" s="874"/>
      <c r="L125" s="462"/>
    </row>
    <row r="126" spans="1:12" ht="14.25">
      <c r="A126" s="418"/>
      <c r="B126" s="875" t="s">
        <v>711</v>
      </c>
      <c r="C126" s="875"/>
      <c r="D126" s="875"/>
      <c r="E126" s="875"/>
      <c r="F126" s="875"/>
      <c r="G126" s="875"/>
      <c r="H126" s="875"/>
      <c r="I126" s="875"/>
      <c r="J126" s="875"/>
      <c r="K126" s="875"/>
      <c r="L126" s="462"/>
    </row>
    <row r="127" spans="1:12" ht="14.25">
      <c r="A127" s="418"/>
      <c r="B127" s="659"/>
      <c r="C127" s="659"/>
      <c r="D127" s="659"/>
      <c r="E127" s="659"/>
      <c r="F127" s="659"/>
      <c r="G127" s="659"/>
      <c r="H127" s="659"/>
      <c r="I127" s="659"/>
      <c r="J127" s="659"/>
      <c r="K127" s="659"/>
      <c r="L127" s="462"/>
    </row>
    <row r="128" spans="1:12" ht="14.25">
      <c r="A128" s="418"/>
      <c r="B128" s="875" t="s">
        <v>712</v>
      </c>
      <c r="C128" s="875"/>
      <c r="D128" s="875"/>
      <c r="E128" s="875"/>
      <c r="F128" s="875"/>
      <c r="G128" s="875"/>
      <c r="H128" s="875"/>
      <c r="I128" s="875"/>
      <c r="J128" s="875"/>
      <c r="K128" s="875"/>
      <c r="L128" s="462"/>
    </row>
    <row r="129" spans="1:12" ht="14.25">
      <c r="A129" s="418"/>
      <c r="B129" s="656"/>
      <c r="C129" s="656"/>
      <c r="D129" s="656"/>
      <c r="E129" s="656"/>
      <c r="F129" s="656"/>
      <c r="G129" s="656"/>
      <c r="H129" s="656"/>
      <c r="I129" s="656"/>
      <c r="J129" s="656"/>
      <c r="K129" s="656"/>
      <c r="L129" s="462"/>
    </row>
    <row r="130" spans="1:12" ht="74.25" customHeight="1">
      <c r="A130" s="418"/>
      <c r="B130" s="876" t="s">
        <v>778</v>
      </c>
      <c r="C130" s="876"/>
      <c r="D130" s="876"/>
      <c r="E130" s="876"/>
      <c r="F130" s="876"/>
      <c r="G130" s="876"/>
      <c r="H130" s="876"/>
      <c r="I130" s="876"/>
      <c r="J130" s="876"/>
      <c r="K130" s="876"/>
      <c r="L130" s="462"/>
    </row>
    <row r="131" spans="1:12" ht="15" thickBot="1">
      <c r="A131" s="418"/>
      <c r="L131" s="418"/>
    </row>
    <row r="132" spans="1:12" ht="14.25">
      <c r="A132" s="418"/>
      <c r="B132" s="423" t="s">
        <v>668</v>
      </c>
      <c r="C132" s="424"/>
      <c r="D132" s="424"/>
      <c r="E132" s="424"/>
      <c r="F132" s="424"/>
      <c r="G132" s="424"/>
      <c r="H132" s="424"/>
      <c r="I132" s="424"/>
      <c r="J132" s="424"/>
      <c r="K132" s="425"/>
      <c r="L132" s="418"/>
    </row>
    <row r="133" spans="1:12" ht="14.25">
      <c r="A133" s="418"/>
      <c r="B133" s="435"/>
      <c r="C133" s="871" t="s">
        <v>713</v>
      </c>
      <c r="D133" s="871"/>
      <c r="E133" s="427"/>
      <c r="F133" s="653" t="s">
        <v>714</v>
      </c>
      <c r="G133" s="427"/>
      <c r="H133" s="871" t="s">
        <v>701</v>
      </c>
      <c r="I133" s="871"/>
      <c r="J133" s="427"/>
      <c r="K133" s="429"/>
      <c r="L133" s="418"/>
    </row>
    <row r="134" spans="1:12" ht="14.25">
      <c r="A134" s="418"/>
      <c r="B134" s="435" t="s">
        <v>695</v>
      </c>
      <c r="C134" s="872">
        <v>100000</v>
      </c>
      <c r="D134" s="872"/>
      <c r="E134" s="653" t="s">
        <v>13</v>
      </c>
      <c r="F134" s="653">
        <v>0.115</v>
      </c>
      <c r="G134" s="653" t="s">
        <v>672</v>
      </c>
      <c r="H134" s="865">
        <f>C134*F134</f>
        <v>11500</v>
      </c>
      <c r="I134" s="865"/>
      <c r="J134" s="427"/>
      <c r="K134" s="429"/>
      <c r="L134" s="418"/>
    </row>
    <row r="135" spans="1:12" ht="14.25">
      <c r="A135" s="418"/>
      <c r="B135" s="435"/>
      <c r="C135" s="427"/>
      <c r="D135" s="427"/>
      <c r="E135" s="427"/>
      <c r="F135" s="427"/>
      <c r="G135" s="427"/>
      <c r="H135" s="427"/>
      <c r="I135" s="427"/>
      <c r="J135" s="427"/>
      <c r="K135" s="429"/>
      <c r="L135" s="418"/>
    </row>
    <row r="136" spans="1:12" ht="14.25">
      <c r="A136" s="418"/>
      <c r="B136" s="443"/>
      <c r="C136" s="873" t="s">
        <v>701</v>
      </c>
      <c r="D136" s="873"/>
      <c r="E136" s="444"/>
      <c r="F136" s="655" t="s">
        <v>715</v>
      </c>
      <c r="G136" s="655"/>
      <c r="H136" s="444"/>
      <c r="I136" s="444"/>
      <c r="J136" s="444" t="s">
        <v>716</v>
      </c>
      <c r="K136" s="445"/>
      <c r="L136" s="418"/>
    </row>
    <row r="137" spans="1:12" ht="14.25">
      <c r="A137" s="418"/>
      <c r="B137" s="435" t="s">
        <v>700</v>
      </c>
      <c r="C137" s="865">
        <f>H134</f>
        <v>11500</v>
      </c>
      <c r="D137" s="865"/>
      <c r="E137" s="653" t="s">
        <v>13</v>
      </c>
      <c r="F137" s="463">
        <v>52.869</v>
      </c>
      <c r="G137" s="653" t="s">
        <v>673</v>
      </c>
      <c r="H137" s="653">
        <v>1000</v>
      </c>
      <c r="I137" s="653" t="s">
        <v>672</v>
      </c>
      <c r="J137" s="464">
        <f>C137*F137/H137</f>
        <v>607.9935</v>
      </c>
      <c r="K137" s="429"/>
      <c r="L137" s="418"/>
    </row>
    <row r="138" spans="1:12" ht="15" thickBot="1">
      <c r="A138" s="418"/>
      <c r="B138" s="430"/>
      <c r="C138" s="538"/>
      <c r="D138" s="538"/>
      <c r="E138" s="447"/>
      <c r="F138" s="539"/>
      <c r="G138" s="447"/>
      <c r="H138" s="447"/>
      <c r="I138" s="447"/>
      <c r="J138" s="540"/>
      <c r="K138" s="432"/>
      <c r="L138" s="418"/>
    </row>
    <row r="139" spans="1:12" ht="40.5" customHeight="1">
      <c r="A139" s="418"/>
      <c r="B139" s="525" t="s">
        <v>664</v>
      </c>
      <c r="C139" s="526"/>
      <c r="D139" s="526"/>
      <c r="E139" s="527"/>
      <c r="F139" s="528"/>
      <c r="G139" s="527"/>
      <c r="H139" s="527"/>
      <c r="I139" s="527"/>
      <c r="J139" s="529"/>
      <c r="K139" s="530"/>
      <c r="L139" s="418"/>
    </row>
    <row r="140" spans="1:12" ht="14.25">
      <c r="A140" s="418"/>
      <c r="B140" s="531" t="s">
        <v>779</v>
      </c>
      <c r="C140" s="532"/>
      <c r="D140" s="532"/>
      <c r="E140" s="533"/>
      <c r="F140" s="534"/>
      <c r="G140" s="533"/>
      <c r="H140" s="533"/>
      <c r="I140" s="533"/>
      <c r="J140" s="535"/>
      <c r="K140" s="536"/>
      <c r="L140" s="418"/>
    </row>
    <row r="141" spans="1:12" ht="14.25">
      <c r="A141" s="418"/>
      <c r="B141" s="435"/>
      <c r="C141" s="651"/>
      <c r="D141" s="651"/>
      <c r="E141" s="653"/>
      <c r="F141" s="541"/>
      <c r="G141" s="653"/>
      <c r="H141" s="653"/>
      <c r="I141" s="653"/>
      <c r="J141" s="464"/>
      <c r="K141" s="429"/>
      <c r="L141" s="418"/>
    </row>
    <row r="142" spans="1:12" ht="14.25">
      <c r="A142" s="418"/>
      <c r="B142" s="531" t="s">
        <v>780</v>
      </c>
      <c r="C142" s="532"/>
      <c r="D142" s="532"/>
      <c r="E142" s="533"/>
      <c r="F142" s="534"/>
      <c r="G142" s="533"/>
      <c r="H142" s="533"/>
      <c r="I142" s="533"/>
      <c r="J142" s="535"/>
      <c r="K142" s="536"/>
      <c r="L142" s="418"/>
    </row>
    <row r="143" spans="1:12" ht="14.25">
      <c r="A143" s="418"/>
      <c r="B143" s="435"/>
      <c r="C143" s="651"/>
      <c r="D143" s="651"/>
      <c r="E143" s="653"/>
      <c r="F143" s="541"/>
      <c r="G143" s="653"/>
      <c r="H143" s="653"/>
      <c r="I143" s="653"/>
      <c r="J143" s="464"/>
      <c r="K143" s="429"/>
      <c r="L143" s="418"/>
    </row>
    <row r="144" spans="1:12" ht="76.5" customHeight="1">
      <c r="A144" s="418"/>
      <c r="B144" s="862" t="s">
        <v>781</v>
      </c>
      <c r="C144" s="863"/>
      <c r="D144" s="863"/>
      <c r="E144" s="863"/>
      <c r="F144" s="863"/>
      <c r="G144" s="863"/>
      <c r="H144" s="863"/>
      <c r="I144" s="863"/>
      <c r="J144" s="863"/>
      <c r="K144" s="864"/>
      <c r="L144" s="418"/>
    </row>
    <row r="145" spans="1:12" ht="15" thickBot="1">
      <c r="A145" s="418"/>
      <c r="B145" s="435"/>
      <c r="C145" s="651"/>
      <c r="D145" s="651"/>
      <c r="E145" s="653"/>
      <c r="F145" s="541"/>
      <c r="G145" s="653"/>
      <c r="H145" s="653"/>
      <c r="I145" s="653"/>
      <c r="J145" s="464"/>
      <c r="K145" s="429"/>
      <c r="L145" s="418"/>
    </row>
    <row r="146" spans="1:12" ht="14.25">
      <c r="A146" s="418"/>
      <c r="B146" s="423" t="s">
        <v>668</v>
      </c>
      <c r="C146" s="542"/>
      <c r="D146" s="542"/>
      <c r="E146" s="543"/>
      <c r="F146" s="544"/>
      <c r="G146" s="543"/>
      <c r="H146" s="543"/>
      <c r="I146" s="543"/>
      <c r="J146" s="545"/>
      <c r="K146" s="425"/>
      <c r="L146" s="418"/>
    </row>
    <row r="147" spans="1:12" ht="14.25">
      <c r="A147" s="418"/>
      <c r="B147" s="435"/>
      <c r="C147" s="865" t="s">
        <v>782</v>
      </c>
      <c r="D147" s="865"/>
      <c r="E147" s="653"/>
      <c r="F147" s="541" t="s">
        <v>783</v>
      </c>
      <c r="G147" s="653"/>
      <c r="H147" s="653"/>
      <c r="I147" s="653"/>
      <c r="J147" s="866" t="s">
        <v>784</v>
      </c>
      <c r="K147" s="867"/>
      <c r="L147" s="418"/>
    </row>
    <row r="148" spans="1:12" ht="14.25">
      <c r="A148" s="418"/>
      <c r="B148" s="435"/>
      <c r="C148" s="868">
        <v>52.869</v>
      </c>
      <c r="D148" s="868"/>
      <c r="E148" s="653" t="s">
        <v>13</v>
      </c>
      <c r="F148" s="654">
        <v>312000000</v>
      </c>
      <c r="G148" s="546" t="s">
        <v>673</v>
      </c>
      <c r="H148" s="653">
        <v>1000</v>
      </c>
      <c r="I148" s="653" t="s">
        <v>672</v>
      </c>
      <c r="J148" s="866">
        <f>C148*(F148/1000)</f>
        <v>16495128</v>
      </c>
      <c r="K148" s="869"/>
      <c r="L148" s="418"/>
    </row>
    <row r="149" spans="1:12" ht="15" thickBot="1">
      <c r="A149" s="418"/>
      <c r="B149" s="430"/>
      <c r="C149" s="538"/>
      <c r="D149" s="538"/>
      <c r="E149" s="447"/>
      <c r="F149" s="539"/>
      <c r="G149" s="447"/>
      <c r="H149" s="447"/>
      <c r="I149" s="447"/>
      <c r="J149" s="540"/>
      <c r="K149" s="432"/>
      <c r="L149" s="418"/>
    </row>
    <row r="150" spans="1:12" ht="15" thickBot="1">
      <c r="A150" s="418"/>
      <c r="B150" s="430"/>
      <c r="C150" s="431"/>
      <c r="D150" s="431"/>
      <c r="E150" s="431"/>
      <c r="F150" s="431"/>
      <c r="G150" s="431"/>
      <c r="H150" s="431"/>
      <c r="I150" s="431"/>
      <c r="J150" s="431"/>
      <c r="K150" s="432"/>
      <c r="L150" s="418"/>
    </row>
    <row r="151" spans="1:12" ht="14.25">
      <c r="A151" s="418"/>
      <c r="B151" s="418"/>
      <c r="C151" s="418"/>
      <c r="D151" s="418"/>
      <c r="E151" s="418"/>
      <c r="F151" s="418"/>
      <c r="G151" s="418"/>
      <c r="H151" s="418"/>
      <c r="I151" s="418"/>
      <c r="J151" s="418"/>
      <c r="K151" s="418"/>
      <c r="L151" s="418"/>
    </row>
    <row r="152" spans="1:12" ht="14.25">
      <c r="A152" s="418"/>
      <c r="B152" s="418"/>
      <c r="C152" s="418"/>
      <c r="D152" s="418"/>
      <c r="E152" s="418"/>
      <c r="F152" s="418"/>
      <c r="G152" s="418"/>
      <c r="H152" s="418"/>
      <c r="I152" s="418"/>
      <c r="J152" s="418"/>
      <c r="K152" s="418"/>
      <c r="L152" s="418"/>
    </row>
    <row r="153" spans="1:12" ht="14.25">
      <c r="A153" s="418"/>
      <c r="B153" s="418"/>
      <c r="C153" s="418"/>
      <c r="D153" s="418"/>
      <c r="E153" s="418"/>
      <c r="F153" s="418"/>
      <c r="G153" s="418"/>
      <c r="H153" s="418"/>
      <c r="I153" s="418"/>
      <c r="J153" s="418"/>
      <c r="K153" s="418"/>
      <c r="L153" s="418"/>
    </row>
    <row r="154" spans="1:12" ht="14.25">
      <c r="A154" s="465"/>
      <c r="B154" s="465"/>
      <c r="C154" s="465"/>
      <c r="D154" s="465"/>
      <c r="E154" s="465"/>
      <c r="F154" s="465"/>
      <c r="G154" s="465"/>
      <c r="H154" s="465"/>
      <c r="I154" s="465"/>
      <c r="J154" s="465"/>
      <c r="K154" s="465"/>
      <c r="L154" s="465"/>
    </row>
    <row r="155" spans="1:12" ht="14.25">
      <c r="A155" s="465"/>
      <c r="B155" s="465"/>
      <c r="C155" s="465"/>
      <c r="D155" s="465"/>
      <c r="E155" s="465"/>
      <c r="F155" s="465"/>
      <c r="G155" s="465"/>
      <c r="H155" s="465"/>
      <c r="I155" s="465"/>
      <c r="J155" s="465"/>
      <c r="K155" s="465"/>
      <c r="L155" s="465"/>
    </row>
    <row r="156" spans="1:12" ht="14.25">
      <c r="A156" s="465"/>
      <c r="B156" s="465"/>
      <c r="C156" s="465"/>
      <c r="D156" s="465"/>
      <c r="E156" s="465"/>
      <c r="F156" s="465"/>
      <c r="G156" s="465"/>
      <c r="H156" s="465"/>
      <c r="I156" s="465"/>
      <c r="J156" s="465"/>
      <c r="K156" s="465"/>
      <c r="L156" s="465"/>
    </row>
    <row r="157" spans="1:12" ht="14.25">
      <c r="A157" s="465"/>
      <c r="B157" s="465"/>
      <c r="C157" s="465"/>
      <c r="D157" s="465"/>
      <c r="E157" s="465"/>
      <c r="F157" s="465"/>
      <c r="G157" s="465"/>
      <c r="H157" s="465"/>
      <c r="I157" s="465"/>
      <c r="J157" s="465"/>
      <c r="K157" s="465"/>
      <c r="L157" s="465"/>
    </row>
    <row r="158" spans="1:12" ht="14.25">
      <c r="A158" s="465"/>
      <c r="B158" s="465"/>
      <c r="C158" s="465"/>
      <c r="D158" s="465"/>
      <c r="E158" s="465"/>
      <c r="F158" s="465"/>
      <c r="G158" s="465"/>
      <c r="H158" s="465"/>
      <c r="I158" s="465"/>
      <c r="J158" s="465"/>
      <c r="K158" s="465"/>
      <c r="L158" s="465"/>
    </row>
    <row r="159" spans="1:12" ht="14.25">
      <c r="A159" s="465"/>
      <c r="B159" s="465"/>
      <c r="C159" s="465"/>
      <c r="D159" s="465"/>
      <c r="E159" s="465"/>
      <c r="F159" s="465"/>
      <c r="G159" s="465"/>
      <c r="H159" s="465"/>
      <c r="I159" s="465"/>
      <c r="J159" s="465"/>
      <c r="K159" s="465"/>
      <c r="L159" s="465"/>
    </row>
    <row r="160" spans="1:12" ht="14.25">
      <c r="A160" s="465"/>
      <c r="B160" s="465"/>
      <c r="C160" s="465"/>
      <c r="D160" s="465"/>
      <c r="E160" s="465"/>
      <c r="F160" s="465"/>
      <c r="G160" s="465"/>
      <c r="H160" s="465"/>
      <c r="I160" s="465"/>
      <c r="J160" s="465"/>
      <c r="K160" s="465"/>
      <c r="L160" s="465"/>
    </row>
    <row r="161" spans="1:12" ht="14.25">
      <c r="A161" s="465"/>
      <c r="B161" s="465"/>
      <c r="C161" s="465"/>
      <c r="D161" s="465"/>
      <c r="E161" s="465"/>
      <c r="F161" s="465"/>
      <c r="G161" s="465"/>
      <c r="H161" s="465"/>
      <c r="I161" s="465"/>
      <c r="J161" s="465"/>
      <c r="K161" s="465"/>
      <c r="L161" s="465"/>
    </row>
    <row r="162" spans="1:12" ht="14.25">
      <c r="A162" s="465"/>
      <c r="B162" s="465"/>
      <c r="C162" s="465"/>
      <c r="D162" s="465"/>
      <c r="E162" s="465"/>
      <c r="F162" s="465"/>
      <c r="G162" s="465"/>
      <c r="H162" s="465"/>
      <c r="I162" s="465"/>
      <c r="J162" s="465"/>
      <c r="K162" s="465"/>
      <c r="L162" s="465"/>
    </row>
    <row r="163" spans="1:12" ht="14.25">
      <c r="A163" s="465"/>
      <c r="B163" s="465"/>
      <c r="C163" s="465"/>
      <c r="D163" s="465"/>
      <c r="E163" s="465"/>
      <c r="F163" s="465"/>
      <c r="G163" s="465"/>
      <c r="H163" s="465"/>
      <c r="I163" s="465"/>
      <c r="J163" s="465"/>
      <c r="K163" s="465"/>
      <c r="L163" s="465"/>
    </row>
    <row r="164" spans="1:12" ht="14.25">
      <c r="A164" s="465"/>
      <c r="B164" s="465"/>
      <c r="C164" s="465"/>
      <c r="D164" s="465"/>
      <c r="E164" s="465"/>
      <c r="F164" s="465"/>
      <c r="G164" s="465"/>
      <c r="H164" s="465"/>
      <c r="I164" s="465"/>
      <c r="J164" s="465"/>
      <c r="K164" s="465"/>
      <c r="L164" s="465"/>
    </row>
    <row r="165" spans="1:12" ht="14.25">
      <c r="A165" s="465"/>
      <c r="B165" s="465"/>
      <c r="C165" s="465"/>
      <c r="D165" s="465"/>
      <c r="E165" s="465"/>
      <c r="F165" s="465"/>
      <c r="G165" s="465"/>
      <c r="H165" s="465"/>
      <c r="I165" s="465"/>
      <c r="J165" s="465"/>
      <c r="K165" s="465"/>
      <c r="L165" s="465"/>
    </row>
    <row r="166" spans="1:12" ht="14.25">
      <c r="A166" s="465"/>
      <c r="B166" s="465"/>
      <c r="C166" s="465"/>
      <c r="D166" s="465"/>
      <c r="E166" s="465"/>
      <c r="F166" s="465"/>
      <c r="G166" s="465"/>
      <c r="H166" s="465"/>
      <c r="I166" s="465"/>
      <c r="J166" s="465"/>
      <c r="K166" s="465"/>
      <c r="L166" s="465"/>
    </row>
    <row r="167" spans="1:12" ht="14.25">
      <c r="A167" s="465"/>
      <c r="B167" s="465"/>
      <c r="C167" s="465"/>
      <c r="D167" s="465"/>
      <c r="E167" s="465"/>
      <c r="F167" s="465"/>
      <c r="G167" s="465"/>
      <c r="H167" s="465"/>
      <c r="I167" s="465"/>
      <c r="J167" s="465"/>
      <c r="K167" s="465"/>
      <c r="L167" s="465"/>
    </row>
    <row r="168" spans="1:12" ht="14.25">
      <c r="A168" s="465"/>
      <c r="B168" s="465"/>
      <c r="C168" s="465"/>
      <c r="D168" s="465"/>
      <c r="E168" s="465"/>
      <c r="F168" s="465"/>
      <c r="G168" s="465"/>
      <c r="H168" s="465"/>
      <c r="I168" s="465"/>
      <c r="J168" s="465"/>
      <c r="K168" s="465"/>
      <c r="L168" s="465"/>
    </row>
    <row r="169" spans="1:12" ht="14.25">
      <c r="A169" s="465"/>
      <c r="B169" s="465"/>
      <c r="C169" s="465"/>
      <c r="D169" s="465"/>
      <c r="E169" s="465"/>
      <c r="F169" s="465"/>
      <c r="G169" s="465"/>
      <c r="H169" s="465"/>
      <c r="I169" s="465"/>
      <c r="J169" s="465"/>
      <c r="K169" s="465"/>
      <c r="L169" s="465"/>
    </row>
    <row r="170" spans="1:12" ht="14.25">
      <c r="A170" s="465"/>
      <c r="B170" s="465"/>
      <c r="C170" s="465"/>
      <c r="D170" s="465"/>
      <c r="E170" s="465"/>
      <c r="F170" s="465"/>
      <c r="G170" s="465"/>
      <c r="H170" s="465"/>
      <c r="I170" s="465"/>
      <c r="J170" s="465"/>
      <c r="K170" s="465"/>
      <c r="L170" s="465"/>
    </row>
    <row r="171" spans="1:12" ht="14.25">
      <c r="A171" s="465"/>
      <c r="B171" s="465"/>
      <c r="C171" s="465"/>
      <c r="D171" s="465"/>
      <c r="E171" s="465"/>
      <c r="F171" s="465"/>
      <c r="G171" s="465"/>
      <c r="H171" s="465"/>
      <c r="I171" s="465"/>
      <c r="J171" s="465"/>
      <c r="K171" s="465"/>
      <c r="L171" s="465"/>
    </row>
    <row r="172" spans="1:12" ht="14.25">
      <c r="A172" s="465"/>
      <c r="B172" s="465"/>
      <c r="C172" s="465"/>
      <c r="D172" s="465"/>
      <c r="E172" s="465"/>
      <c r="F172" s="465"/>
      <c r="G172" s="465"/>
      <c r="H172" s="465"/>
      <c r="I172" s="465"/>
      <c r="J172" s="465"/>
      <c r="K172" s="465"/>
      <c r="L172" s="465"/>
    </row>
    <row r="173" spans="1:12" ht="14.25">
      <c r="A173" s="465"/>
      <c r="B173" s="465"/>
      <c r="C173" s="465"/>
      <c r="D173" s="465"/>
      <c r="E173" s="465"/>
      <c r="F173" s="465"/>
      <c r="G173" s="465"/>
      <c r="H173" s="465"/>
      <c r="I173" s="465"/>
      <c r="J173" s="465"/>
      <c r="K173" s="465"/>
      <c r="L173" s="465"/>
    </row>
    <row r="174" spans="1:12" ht="14.25">
      <c r="A174" s="465"/>
      <c r="B174" s="465"/>
      <c r="C174" s="465"/>
      <c r="D174" s="465"/>
      <c r="E174" s="465"/>
      <c r="F174" s="465"/>
      <c r="G174" s="465"/>
      <c r="H174" s="465"/>
      <c r="I174" s="465"/>
      <c r="J174" s="465"/>
      <c r="K174" s="465"/>
      <c r="L174" s="465"/>
    </row>
    <row r="175" spans="1:12" ht="14.25">
      <c r="A175" s="465"/>
      <c r="B175" s="465"/>
      <c r="C175" s="465"/>
      <c r="D175" s="465"/>
      <c r="E175" s="465"/>
      <c r="F175" s="465"/>
      <c r="G175" s="465"/>
      <c r="H175" s="465"/>
      <c r="I175" s="465"/>
      <c r="J175" s="465"/>
      <c r="K175" s="465"/>
      <c r="L175" s="465"/>
    </row>
    <row r="176" spans="1:12" ht="14.25">
      <c r="A176" s="465"/>
      <c r="B176" s="465"/>
      <c r="C176" s="465"/>
      <c r="D176" s="465"/>
      <c r="E176" s="465"/>
      <c r="F176" s="465"/>
      <c r="G176" s="465"/>
      <c r="H176" s="465"/>
      <c r="I176" s="465"/>
      <c r="J176" s="465"/>
      <c r="K176" s="465"/>
      <c r="L176" s="465"/>
    </row>
    <row r="177" spans="1:12" ht="14.25">
      <c r="A177" s="465"/>
      <c r="B177" s="465"/>
      <c r="C177" s="465"/>
      <c r="D177" s="465"/>
      <c r="E177" s="465"/>
      <c r="F177" s="465"/>
      <c r="G177" s="465"/>
      <c r="H177" s="465"/>
      <c r="I177" s="465"/>
      <c r="J177" s="465"/>
      <c r="K177" s="465"/>
      <c r="L177" s="465"/>
    </row>
    <row r="178" spans="1:12" ht="14.25">
      <c r="A178" s="465"/>
      <c r="B178" s="465"/>
      <c r="C178" s="465"/>
      <c r="D178" s="465"/>
      <c r="E178" s="465"/>
      <c r="F178" s="465"/>
      <c r="G178" s="465"/>
      <c r="H178" s="465"/>
      <c r="I178" s="465"/>
      <c r="J178" s="465"/>
      <c r="K178" s="465"/>
      <c r="L178" s="465"/>
    </row>
    <row r="179" spans="1:12" ht="14.25">
      <c r="A179" s="465"/>
      <c r="B179" s="465"/>
      <c r="C179" s="465"/>
      <c r="D179" s="465"/>
      <c r="E179" s="465"/>
      <c r="F179" s="465"/>
      <c r="G179" s="465"/>
      <c r="H179" s="465"/>
      <c r="I179" s="465"/>
      <c r="J179" s="465"/>
      <c r="K179" s="465"/>
      <c r="L179" s="465"/>
    </row>
    <row r="180" spans="1:12" ht="14.25">
      <c r="A180" s="465"/>
      <c r="B180" s="465"/>
      <c r="C180" s="465"/>
      <c r="D180" s="465"/>
      <c r="E180" s="465"/>
      <c r="F180" s="465"/>
      <c r="G180" s="465"/>
      <c r="H180" s="465"/>
      <c r="I180" s="465"/>
      <c r="J180" s="465"/>
      <c r="K180" s="465"/>
      <c r="L180" s="465"/>
    </row>
    <row r="181" spans="1:12" ht="14.25">
      <c r="A181" s="465"/>
      <c r="B181" s="465"/>
      <c r="C181" s="465"/>
      <c r="D181" s="465"/>
      <c r="E181" s="465"/>
      <c r="F181" s="465"/>
      <c r="G181" s="465"/>
      <c r="H181" s="465"/>
      <c r="I181" s="465"/>
      <c r="J181" s="465"/>
      <c r="K181" s="465"/>
      <c r="L181" s="465"/>
    </row>
    <row r="182" spans="1:12" ht="14.25">
      <c r="A182" s="465"/>
      <c r="B182" s="465"/>
      <c r="C182" s="465"/>
      <c r="D182" s="465"/>
      <c r="E182" s="465"/>
      <c r="F182" s="465"/>
      <c r="G182" s="465"/>
      <c r="H182" s="465"/>
      <c r="I182" s="465"/>
      <c r="J182" s="465"/>
      <c r="K182" s="465"/>
      <c r="L182" s="465"/>
    </row>
    <row r="183" spans="1:12" ht="14.25">
      <c r="A183" s="465"/>
      <c r="B183" s="465"/>
      <c r="C183" s="465"/>
      <c r="D183" s="465"/>
      <c r="E183" s="465"/>
      <c r="F183" s="465"/>
      <c r="G183" s="465"/>
      <c r="H183" s="465"/>
      <c r="I183" s="465"/>
      <c r="J183" s="465"/>
      <c r="K183" s="465"/>
      <c r="L183" s="465"/>
    </row>
    <row r="184" spans="1:12" ht="14.25">
      <c r="A184" s="465"/>
      <c r="B184" s="465"/>
      <c r="C184" s="465"/>
      <c r="D184" s="465"/>
      <c r="E184" s="465"/>
      <c r="F184" s="465"/>
      <c r="G184" s="465"/>
      <c r="H184" s="465"/>
      <c r="I184" s="465"/>
      <c r="J184" s="465"/>
      <c r="K184" s="465"/>
      <c r="L184" s="465"/>
    </row>
    <row r="185" spans="1:12" ht="14.25">
      <c r="A185" s="465"/>
      <c r="B185" s="465"/>
      <c r="C185" s="465"/>
      <c r="D185" s="465"/>
      <c r="E185" s="465"/>
      <c r="F185" s="465"/>
      <c r="G185" s="465"/>
      <c r="H185" s="465"/>
      <c r="I185" s="465"/>
      <c r="J185" s="465"/>
      <c r="K185" s="465"/>
      <c r="L185" s="465"/>
    </row>
    <row r="186" spans="1:12" ht="14.25">
      <c r="A186" s="465"/>
      <c r="B186" s="465"/>
      <c r="C186" s="465"/>
      <c r="D186" s="465"/>
      <c r="E186" s="465"/>
      <c r="F186" s="465"/>
      <c r="G186" s="465"/>
      <c r="H186" s="465"/>
      <c r="I186" s="465"/>
      <c r="J186" s="465"/>
      <c r="K186" s="465"/>
      <c r="L186" s="465"/>
    </row>
    <row r="187" spans="1:12" ht="14.25">
      <c r="A187" s="465"/>
      <c r="B187" s="465"/>
      <c r="C187" s="465"/>
      <c r="D187" s="465"/>
      <c r="E187" s="465"/>
      <c r="F187" s="465"/>
      <c r="G187" s="465"/>
      <c r="H187" s="465"/>
      <c r="I187" s="465"/>
      <c r="J187" s="465"/>
      <c r="K187" s="465"/>
      <c r="L187" s="465"/>
    </row>
    <row r="188" spans="1:12" ht="14.25">
      <c r="A188" s="465"/>
      <c r="B188" s="465"/>
      <c r="C188" s="465"/>
      <c r="D188" s="465"/>
      <c r="E188" s="465"/>
      <c r="F188" s="465"/>
      <c r="G188" s="465"/>
      <c r="H188" s="465"/>
      <c r="I188" s="465"/>
      <c r="J188" s="465"/>
      <c r="K188" s="465"/>
      <c r="L188" s="465"/>
    </row>
    <row r="189" spans="1:12" ht="14.25">
      <c r="A189" s="465"/>
      <c r="B189" s="465"/>
      <c r="C189" s="465"/>
      <c r="D189" s="465"/>
      <c r="E189" s="465"/>
      <c r="F189" s="465"/>
      <c r="G189" s="465"/>
      <c r="H189" s="465"/>
      <c r="I189" s="465"/>
      <c r="J189" s="465"/>
      <c r="K189" s="465"/>
      <c r="L189" s="465"/>
    </row>
    <row r="190" spans="1:12" ht="14.25">
      <c r="A190" s="465"/>
      <c r="B190" s="465"/>
      <c r="C190" s="465"/>
      <c r="D190" s="465"/>
      <c r="E190" s="465"/>
      <c r="F190" s="465"/>
      <c r="G190" s="465"/>
      <c r="H190" s="465"/>
      <c r="I190" s="465"/>
      <c r="J190" s="465"/>
      <c r="K190" s="465"/>
      <c r="L190" s="465"/>
    </row>
    <row r="191" spans="1:12" ht="14.25">
      <c r="A191" s="465"/>
      <c r="B191" s="465"/>
      <c r="C191" s="465"/>
      <c r="D191" s="465"/>
      <c r="E191" s="465"/>
      <c r="F191" s="465"/>
      <c r="G191" s="465"/>
      <c r="H191" s="465"/>
      <c r="I191" s="465"/>
      <c r="J191" s="465"/>
      <c r="K191" s="465"/>
      <c r="L191" s="465"/>
    </row>
    <row r="192" spans="1:12" ht="14.25">
      <c r="A192" s="465"/>
      <c r="B192" s="465"/>
      <c r="C192" s="465"/>
      <c r="D192" s="465"/>
      <c r="E192" s="465"/>
      <c r="F192" s="465"/>
      <c r="G192" s="465"/>
      <c r="H192" s="465"/>
      <c r="I192" s="465"/>
      <c r="J192" s="465"/>
      <c r="K192" s="465"/>
      <c r="L192" s="465"/>
    </row>
    <row r="193" spans="1:12" ht="14.25">
      <c r="A193" s="465"/>
      <c r="B193" s="465"/>
      <c r="C193" s="465"/>
      <c r="D193" s="465"/>
      <c r="E193" s="465"/>
      <c r="F193" s="465"/>
      <c r="G193" s="465"/>
      <c r="H193" s="465"/>
      <c r="I193" s="465"/>
      <c r="J193" s="465"/>
      <c r="K193" s="465"/>
      <c r="L193" s="465"/>
    </row>
    <row r="194" spans="1:12" ht="14.25">
      <c r="A194" s="465"/>
      <c r="B194" s="465"/>
      <c r="C194" s="465"/>
      <c r="D194" s="465"/>
      <c r="E194" s="465"/>
      <c r="F194" s="465"/>
      <c r="G194" s="465"/>
      <c r="H194" s="465"/>
      <c r="I194" s="465"/>
      <c r="J194" s="465"/>
      <c r="K194" s="465"/>
      <c r="L194" s="465"/>
    </row>
    <row r="195" spans="1:12" ht="14.25">
      <c r="A195" s="465"/>
      <c r="B195" s="465"/>
      <c r="C195" s="465"/>
      <c r="D195" s="465"/>
      <c r="E195" s="465"/>
      <c r="F195" s="465"/>
      <c r="G195" s="465"/>
      <c r="H195" s="465"/>
      <c r="I195" s="465"/>
      <c r="J195" s="465"/>
      <c r="K195" s="465"/>
      <c r="L195" s="465"/>
    </row>
    <row r="196" spans="1:12" ht="14.25">
      <c r="A196" s="465"/>
      <c r="B196" s="465"/>
      <c r="C196" s="465"/>
      <c r="D196" s="465"/>
      <c r="E196" s="465"/>
      <c r="F196" s="465"/>
      <c r="G196" s="465"/>
      <c r="H196" s="465"/>
      <c r="I196" s="465"/>
      <c r="J196" s="465"/>
      <c r="K196" s="465"/>
      <c r="L196" s="465"/>
    </row>
    <row r="197" spans="1:12" ht="14.25">
      <c r="A197" s="465"/>
      <c r="B197" s="465"/>
      <c r="C197" s="465"/>
      <c r="D197" s="465"/>
      <c r="E197" s="465"/>
      <c r="F197" s="465"/>
      <c r="G197" s="465"/>
      <c r="H197" s="465"/>
      <c r="I197" s="465"/>
      <c r="J197" s="465"/>
      <c r="K197" s="465"/>
      <c r="L197" s="465"/>
    </row>
    <row r="198" spans="1:12" ht="14.25">
      <c r="A198" s="465"/>
      <c r="B198" s="465"/>
      <c r="C198" s="465"/>
      <c r="D198" s="465"/>
      <c r="E198" s="465"/>
      <c r="F198" s="465"/>
      <c r="G198" s="465"/>
      <c r="H198" s="465"/>
      <c r="I198" s="465"/>
      <c r="J198" s="465"/>
      <c r="K198" s="465"/>
      <c r="L198" s="465"/>
    </row>
    <row r="199" spans="1:12" ht="14.25">
      <c r="A199" s="465"/>
      <c r="B199" s="465"/>
      <c r="C199" s="465"/>
      <c r="D199" s="465"/>
      <c r="E199" s="465"/>
      <c r="F199" s="465"/>
      <c r="G199" s="465"/>
      <c r="H199" s="465"/>
      <c r="I199" s="465"/>
      <c r="J199" s="465"/>
      <c r="K199" s="465"/>
      <c r="L199" s="465"/>
    </row>
    <row r="200" spans="1:12" ht="14.25">
      <c r="A200" s="465"/>
      <c r="B200" s="465"/>
      <c r="C200" s="465"/>
      <c r="D200" s="465"/>
      <c r="E200" s="465"/>
      <c r="F200" s="465"/>
      <c r="G200" s="465"/>
      <c r="H200" s="465"/>
      <c r="I200" s="465"/>
      <c r="J200" s="465"/>
      <c r="K200" s="465"/>
      <c r="L200" s="465"/>
    </row>
    <row r="201" spans="1:12" ht="14.25">
      <c r="A201" s="465"/>
      <c r="B201" s="465"/>
      <c r="C201" s="465"/>
      <c r="D201" s="465"/>
      <c r="E201" s="465"/>
      <c r="F201" s="465"/>
      <c r="G201" s="465"/>
      <c r="H201" s="465"/>
      <c r="I201" s="465"/>
      <c r="J201" s="465"/>
      <c r="K201" s="465"/>
      <c r="L201" s="465"/>
    </row>
    <row r="202" spans="1:12" ht="14.25">
      <c r="A202" s="465"/>
      <c r="B202" s="465"/>
      <c r="C202" s="465"/>
      <c r="D202" s="465"/>
      <c r="E202" s="465"/>
      <c r="F202" s="465"/>
      <c r="G202" s="465"/>
      <c r="H202" s="465"/>
      <c r="I202" s="465"/>
      <c r="J202" s="465"/>
      <c r="K202" s="465"/>
      <c r="L202" s="465"/>
    </row>
    <row r="203" spans="1:12" ht="14.25">
      <c r="A203" s="465"/>
      <c r="B203" s="465"/>
      <c r="C203" s="465"/>
      <c r="D203" s="465"/>
      <c r="E203" s="465"/>
      <c r="F203" s="465"/>
      <c r="G203" s="465"/>
      <c r="H203" s="465"/>
      <c r="I203" s="465"/>
      <c r="J203" s="465"/>
      <c r="K203" s="465"/>
      <c r="L203" s="465"/>
    </row>
    <row r="204" spans="1:12" ht="14.25">
      <c r="A204" s="465"/>
      <c r="B204" s="465"/>
      <c r="C204" s="465"/>
      <c r="D204" s="465"/>
      <c r="E204" s="465"/>
      <c r="F204" s="465"/>
      <c r="G204" s="465"/>
      <c r="H204" s="465"/>
      <c r="I204" s="465"/>
      <c r="J204" s="465"/>
      <c r="K204" s="465"/>
      <c r="L204" s="465"/>
    </row>
    <row r="205" spans="1:12" ht="14.25">
      <c r="A205" s="465"/>
      <c r="B205" s="465"/>
      <c r="C205" s="465"/>
      <c r="D205" s="465"/>
      <c r="E205" s="465"/>
      <c r="F205" s="465"/>
      <c r="G205" s="465"/>
      <c r="H205" s="465"/>
      <c r="I205" s="465"/>
      <c r="J205" s="465"/>
      <c r="K205" s="465"/>
      <c r="L205" s="465"/>
    </row>
    <row r="206" spans="1:12" ht="14.25">
      <c r="A206" s="465"/>
      <c r="B206" s="465"/>
      <c r="C206" s="465"/>
      <c r="D206" s="465"/>
      <c r="E206" s="465"/>
      <c r="F206" s="465"/>
      <c r="G206" s="465"/>
      <c r="H206" s="465"/>
      <c r="I206" s="465"/>
      <c r="J206" s="465"/>
      <c r="K206" s="465"/>
      <c r="L206" s="465"/>
    </row>
    <row r="207" spans="1:12" ht="14.25">
      <c r="A207" s="465"/>
      <c r="B207" s="465"/>
      <c r="C207" s="465"/>
      <c r="D207" s="465"/>
      <c r="E207" s="465"/>
      <c r="F207" s="465"/>
      <c r="G207" s="465"/>
      <c r="H207" s="465"/>
      <c r="I207" s="465"/>
      <c r="J207" s="465"/>
      <c r="K207" s="465"/>
      <c r="L207" s="465"/>
    </row>
    <row r="208" spans="1:12" ht="14.25">
      <c r="A208" s="465"/>
      <c r="B208" s="465"/>
      <c r="C208" s="465"/>
      <c r="D208" s="465"/>
      <c r="E208" s="465"/>
      <c r="F208" s="465"/>
      <c r="G208" s="465"/>
      <c r="H208" s="465"/>
      <c r="I208" s="465"/>
      <c r="J208" s="465"/>
      <c r="K208" s="465"/>
      <c r="L208" s="465"/>
    </row>
    <row r="209" spans="1:12" ht="14.25">
      <c r="A209" s="465"/>
      <c r="B209" s="465"/>
      <c r="C209" s="465"/>
      <c r="D209" s="465"/>
      <c r="E209" s="465"/>
      <c r="F209" s="465"/>
      <c r="G209" s="465"/>
      <c r="H209" s="465"/>
      <c r="I209" s="465"/>
      <c r="J209" s="465"/>
      <c r="K209" s="465"/>
      <c r="L209" s="465"/>
    </row>
    <row r="210" spans="1:12" ht="14.25">
      <c r="A210" s="465"/>
      <c r="B210" s="465"/>
      <c r="C210" s="465"/>
      <c r="D210" s="465"/>
      <c r="E210" s="465"/>
      <c r="F210" s="465"/>
      <c r="G210" s="465"/>
      <c r="H210" s="465"/>
      <c r="I210" s="465"/>
      <c r="J210" s="465"/>
      <c r="K210" s="465"/>
      <c r="L210" s="465"/>
    </row>
    <row r="211" spans="1:12" ht="14.25">
      <c r="A211" s="465"/>
      <c r="B211" s="465"/>
      <c r="C211" s="465"/>
      <c r="D211" s="465"/>
      <c r="E211" s="465"/>
      <c r="F211" s="465"/>
      <c r="G211" s="465"/>
      <c r="H211" s="465"/>
      <c r="I211" s="465"/>
      <c r="J211" s="465"/>
      <c r="K211" s="465"/>
      <c r="L211" s="465"/>
    </row>
    <row r="212" spans="1:12" ht="14.25">
      <c r="A212" s="465"/>
      <c r="B212" s="465"/>
      <c r="C212" s="465"/>
      <c r="D212" s="465"/>
      <c r="E212" s="465"/>
      <c r="F212" s="465"/>
      <c r="G212" s="465"/>
      <c r="H212" s="465"/>
      <c r="I212" s="465"/>
      <c r="J212" s="465"/>
      <c r="K212" s="465"/>
      <c r="L212" s="465"/>
    </row>
    <row r="213" spans="1:12" ht="14.25">
      <c r="A213" s="465"/>
      <c r="B213" s="465"/>
      <c r="C213" s="465"/>
      <c r="D213" s="465"/>
      <c r="E213" s="465"/>
      <c r="F213" s="465"/>
      <c r="G213" s="465"/>
      <c r="H213" s="465"/>
      <c r="I213" s="465"/>
      <c r="J213" s="465"/>
      <c r="K213" s="465"/>
      <c r="L213" s="465"/>
    </row>
    <row r="214" spans="1:12" ht="14.25">
      <c r="A214" s="465"/>
      <c r="B214" s="465"/>
      <c r="C214" s="465"/>
      <c r="D214" s="465"/>
      <c r="E214" s="465"/>
      <c r="F214" s="465"/>
      <c r="G214" s="465"/>
      <c r="H214" s="465"/>
      <c r="I214" s="465"/>
      <c r="J214" s="465"/>
      <c r="K214" s="465"/>
      <c r="L214" s="465"/>
    </row>
    <row r="215" spans="1:12" ht="14.25">
      <c r="A215" s="465"/>
      <c r="B215" s="465"/>
      <c r="C215" s="465"/>
      <c r="D215" s="465"/>
      <c r="E215" s="465"/>
      <c r="F215" s="465"/>
      <c r="G215" s="465"/>
      <c r="H215" s="465"/>
      <c r="I215" s="465"/>
      <c r="J215" s="465"/>
      <c r="K215" s="465"/>
      <c r="L215" s="465"/>
    </row>
    <row r="216" spans="1:12" ht="14.25">
      <c r="A216" s="465"/>
      <c r="B216" s="465"/>
      <c r="C216" s="465"/>
      <c r="D216" s="465"/>
      <c r="E216" s="465"/>
      <c r="F216" s="465"/>
      <c r="G216" s="465"/>
      <c r="H216" s="465"/>
      <c r="I216" s="465"/>
      <c r="J216" s="465"/>
      <c r="K216" s="465"/>
      <c r="L216" s="465"/>
    </row>
    <row r="217" spans="1:12" ht="14.25">
      <c r="A217" s="465"/>
      <c r="B217" s="465"/>
      <c r="C217" s="465"/>
      <c r="D217" s="465"/>
      <c r="E217" s="465"/>
      <c r="F217" s="465"/>
      <c r="G217" s="465"/>
      <c r="H217" s="465"/>
      <c r="I217" s="465"/>
      <c r="J217" s="465"/>
      <c r="K217" s="465"/>
      <c r="L217" s="465"/>
    </row>
    <row r="218" spans="1:12" ht="14.25">
      <c r="A218" s="465"/>
      <c r="B218" s="465"/>
      <c r="C218" s="465"/>
      <c r="D218" s="465"/>
      <c r="E218" s="465"/>
      <c r="F218" s="465"/>
      <c r="G218" s="465"/>
      <c r="H218" s="465"/>
      <c r="I218" s="465"/>
      <c r="J218" s="465"/>
      <c r="K218" s="465"/>
      <c r="L218" s="465"/>
    </row>
    <row r="219" spans="1:12" ht="14.25">
      <c r="A219" s="465"/>
      <c r="B219" s="465"/>
      <c r="C219" s="465"/>
      <c r="D219" s="465"/>
      <c r="E219" s="465"/>
      <c r="F219" s="465"/>
      <c r="G219" s="465"/>
      <c r="H219" s="465"/>
      <c r="I219" s="465"/>
      <c r="J219" s="465"/>
      <c r="K219" s="465"/>
      <c r="L219" s="465"/>
    </row>
    <row r="220" spans="1:12" ht="14.25">
      <c r="A220" s="465"/>
      <c r="B220" s="465"/>
      <c r="C220" s="465"/>
      <c r="D220" s="465"/>
      <c r="E220" s="465"/>
      <c r="F220" s="465"/>
      <c r="G220" s="465"/>
      <c r="H220" s="465"/>
      <c r="I220" s="465"/>
      <c r="J220" s="465"/>
      <c r="K220" s="465"/>
      <c r="L220" s="465"/>
    </row>
    <row r="221" spans="1:12" ht="14.25">
      <c r="A221" s="465"/>
      <c r="B221" s="465"/>
      <c r="C221" s="465"/>
      <c r="D221" s="465"/>
      <c r="E221" s="465"/>
      <c r="F221" s="465"/>
      <c r="G221" s="465"/>
      <c r="H221" s="465"/>
      <c r="I221" s="465"/>
      <c r="J221" s="465"/>
      <c r="K221" s="465"/>
      <c r="L221" s="465"/>
    </row>
    <row r="222" spans="1:12" ht="14.25">
      <c r="A222" s="465"/>
      <c r="B222" s="465"/>
      <c r="C222" s="465"/>
      <c r="D222" s="465"/>
      <c r="E222" s="465"/>
      <c r="F222" s="465"/>
      <c r="G222" s="465"/>
      <c r="H222" s="465"/>
      <c r="I222" s="465"/>
      <c r="J222" s="465"/>
      <c r="K222" s="465"/>
      <c r="L222" s="465"/>
    </row>
    <row r="223" spans="1:12" ht="14.25">
      <c r="A223" s="465"/>
      <c r="B223" s="465"/>
      <c r="C223" s="465"/>
      <c r="D223" s="465"/>
      <c r="E223" s="465"/>
      <c r="F223" s="465"/>
      <c r="G223" s="465"/>
      <c r="H223" s="465"/>
      <c r="I223" s="465"/>
      <c r="J223" s="465"/>
      <c r="K223" s="465"/>
      <c r="L223" s="465"/>
    </row>
    <row r="224" spans="1:12" ht="14.25">
      <c r="A224" s="465"/>
      <c r="B224" s="465"/>
      <c r="C224" s="465"/>
      <c r="D224" s="465"/>
      <c r="E224" s="465"/>
      <c r="F224" s="465"/>
      <c r="G224" s="465"/>
      <c r="H224" s="465"/>
      <c r="I224" s="465"/>
      <c r="J224" s="465"/>
      <c r="K224" s="465"/>
      <c r="L224" s="465"/>
    </row>
    <row r="225" spans="1:12" ht="14.25">
      <c r="A225" s="465"/>
      <c r="B225" s="465"/>
      <c r="C225" s="465"/>
      <c r="D225" s="465"/>
      <c r="E225" s="465"/>
      <c r="F225" s="465"/>
      <c r="G225" s="465"/>
      <c r="H225" s="465"/>
      <c r="I225" s="465"/>
      <c r="J225" s="465"/>
      <c r="K225" s="465"/>
      <c r="L225" s="465"/>
    </row>
    <row r="226" spans="1:12" ht="14.25">
      <c r="A226" s="465"/>
      <c r="B226" s="465"/>
      <c r="C226" s="465"/>
      <c r="D226" s="465"/>
      <c r="E226" s="465"/>
      <c r="F226" s="465"/>
      <c r="G226" s="465"/>
      <c r="H226" s="465"/>
      <c r="I226" s="465"/>
      <c r="J226" s="465"/>
      <c r="K226" s="465"/>
      <c r="L226" s="465"/>
    </row>
    <row r="227" spans="1:12" ht="14.25">
      <c r="A227" s="465"/>
      <c r="B227" s="465"/>
      <c r="C227" s="465"/>
      <c r="D227" s="465"/>
      <c r="E227" s="465"/>
      <c r="F227" s="465"/>
      <c r="G227" s="465"/>
      <c r="H227" s="465"/>
      <c r="I227" s="465"/>
      <c r="J227" s="465"/>
      <c r="K227" s="465"/>
      <c r="L227" s="465"/>
    </row>
    <row r="228" spans="1:12" ht="14.25">
      <c r="A228" s="465"/>
      <c r="B228" s="465"/>
      <c r="C228" s="465"/>
      <c r="D228" s="465"/>
      <c r="E228" s="465"/>
      <c r="F228" s="465"/>
      <c r="G228" s="465"/>
      <c r="H228" s="465"/>
      <c r="I228" s="465"/>
      <c r="J228" s="465"/>
      <c r="K228" s="465"/>
      <c r="L228" s="465"/>
    </row>
    <row r="229" spans="1:12" ht="14.25">
      <c r="A229" s="465"/>
      <c r="B229" s="465"/>
      <c r="C229" s="465"/>
      <c r="D229" s="465"/>
      <c r="E229" s="465"/>
      <c r="F229" s="465"/>
      <c r="G229" s="465"/>
      <c r="H229" s="465"/>
      <c r="I229" s="465"/>
      <c r="J229" s="465"/>
      <c r="K229" s="465"/>
      <c r="L229" s="465"/>
    </row>
    <row r="230" spans="1:12" ht="14.25">
      <c r="A230" s="465"/>
      <c r="B230" s="465"/>
      <c r="C230" s="465"/>
      <c r="D230" s="465"/>
      <c r="E230" s="465"/>
      <c r="F230" s="465"/>
      <c r="G230" s="465"/>
      <c r="H230" s="465"/>
      <c r="I230" s="465"/>
      <c r="J230" s="465"/>
      <c r="K230" s="465"/>
      <c r="L230" s="465"/>
    </row>
    <row r="231" spans="1:12" ht="14.25">
      <c r="A231" s="465"/>
      <c r="B231" s="465"/>
      <c r="C231" s="465"/>
      <c r="D231" s="465"/>
      <c r="E231" s="465"/>
      <c r="F231" s="465"/>
      <c r="G231" s="465"/>
      <c r="H231" s="465"/>
      <c r="I231" s="465"/>
      <c r="J231" s="465"/>
      <c r="K231" s="465"/>
      <c r="L231" s="465"/>
    </row>
    <row r="232" spans="1:12" ht="14.25">
      <c r="A232" s="465"/>
      <c r="B232" s="465"/>
      <c r="C232" s="465"/>
      <c r="D232" s="465"/>
      <c r="E232" s="465"/>
      <c r="F232" s="465"/>
      <c r="G232" s="465"/>
      <c r="H232" s="465"/>
      <c r="I232" s="465"/>
      <c r="J232" s="465"/>
      <c r="K232" s="465"/>
      <c r="L232" s="465"/>
    </row>
    <row r="233" spans="1:12" ht="14.25">
      <c r="A233" s="465"/>
      <c r="B233" s="465"/>
      <c r="C233" s="465"/>
      <c r="D233" s="465"/>
      <c r="E233" s="465"/>
      <c r="F233" s="465"/>
      <c r="G233" s="465"/>
      <c r="H233" s="465"/>
      <c r="I233" s="465"/>
      <c r="J233" s="465"/>
      <c r="K233" s="465"/>
      <c r="L233" s="465"/>
    </row>
    <row r="234" spans="1:12" ht="14.25">
      <c r="A234" s="465"/>
      <c r="B234" s="465"/>
      <c r="C234" s="465"/>
      <c r="D234" s="465"/>
      <c r="E234" s="465"/>
      <c r="F234" s="465"/>
      <c r="G234" s="465"/>
      <c r="H234" s="465"/>
      <c r="I234" s="465"/>
      <c r="J234" s="465"/>
      <c r="K234" s="465"/>
      <c r="L234" s="465"/>
    </row>
    <row r="235" spans="1:12" ht="14.25">
      <c r="A235" s="465"/>
      <c r="B235" s="465"/>
      <c r="C235" s="465"/>
      <c r="D235" s="465"/>
      <c r="E235" s="465"/>
      <c r="F235" s="465"/>
      <c r="G235" s="465"/>
      <c r="H235" s="465"/>
      <c r="I235" s="465"/>
      <c r="J235" s="465"/>
      <c r="K235" s="465"/>
      <c r="L235" s="465"/>
    </row>
    <row r="236" spans="1:12" ht="14.25">
      <c r="A236" s="465"/>
      <c r="B236" s="465"/>
      <c r="C236" s="465"/>
      <c r="D236" s="465"/>
      <c r="E236" s="465"/>
      <c r="F236" s="465"/>
      <c r="G236" s="465"/>
      <c r="H236" s="465"/>
      <c r="I236" s="465"/>
      <c r="J236" s="465"/>
      <c r="K236" s="465"/>
      <c r="L236" s="465"/>
    </row>
    <row r="237" spans="1:12" ht="14.25">
      <c r="A237" s="465"/>
      <c r="B237" s="465"/>
      <c r="C237" s="465"/>
      <c r="D237" s="465"/>
      <c r="E237" s="465"/>
      <c r="F237" s="465"/>
      <c r="G237" s="465"/>
      <c r="H237" s="465"/>
      <c r="I237" s="465"/>
      <c r="J237" s="465"/>
      <c r="K237" s="465"/>
      <c r="L237" s="465"/>
    </row>
    <row r="238" spans="1:12" ht="14.25">
      <c r="A238" s="465"/>
      <c r="B238" s="465"/>
      <c r="C238" s="465"/>
      <c r="D238" s="465"/>
      <c r="E238" s="465"/>
      <c r="F238" s="465"/>
      <c r="G238" s="465"/>
      <c r="H238" s="465"/>
      <c r="I238" s="465"/>
      <c r="J238" s="465"/>
      <c r="K238" s="465"/>
      <c r="L238" s="465"/>
    </row>
    <row r="239" spans="1:12" ht="14.25">
      <c r="A239" s="465"/>
      <c r="B239" s="465"/>
      <c r="C239" s="465"/>
      <c r="D239" s="465"/>
      <c r="E239" s="465"/>
      <c r="F239" s="465"/>
      <c r="G239" s="465"/>
      <c r="H239" s="465"/>
      <c r="I239" s="465"/>
      <c r="J239" s="465"/>
      <c r="K239" s="465"/>
      <c r="L239" s="465"/>
    </row>
    <row r="240" spans="1:12" ht="14.25">
      <c r="A240" s="465"/>
      <c r="B240" s="465"/>
      <c r="C240" s="465"/>
      <c r="D240" s="465"/>
      <c r="E240" s="465"/>
      <c r="F240" s="465"/>
      <c r="G240" s="465"/>
      <c r="H240" s="465"/>
      <c r="I240" s="465"/>
      <c r="J240" s="465"/>
      <c r="K240" s="465"/>
      <c r="L240" s="465"/>
    </row>
    <row r="241" spans="1:12" ht="14.25">
      <c r="A241" s="465"/>
      <c r="B241" s="465"/>
      <c r="C241" s="465"/>
      <c r="D241" s="465"/>
      <c r="E241" s="465"/>
      <c r="F241" s="465"/>
      <c r="G241" s="465"/>
      <c r="H241" s="465"/>
      <c r="I241" s="465"/>
      <c r="J241" s="465"/>
      <c r="K241" s="465"/>
      <c r="L241" s="465"/>
    </row>
    <row r="242" spans="1:12" ht="14.25">
      <c r="A242" s="465"/>
      <c r="B242" s="465"/>
      <c r="C242" s="465"/>
      <c r="D242" s="465"/>
      <c r="E242" s="465"/>
      <c r="F242" s="465"/>
      <c r="G242" s="465"/>
      <c r="H242" s="465"/>
      <c r="I242" s="465"/>
      <c r="J242" s="465"/>
      <c r="K242" s="465"/>
      <c r="L242" s="465"/>
    </row>
    <row r="243" spans="1:12" ht="14.25">
      <c r="A243" s="465"/>
      <c r="B243" s="465"/>
      <c r="C243" s="465"/>
      <c r="D243" s="465"/>
      <c r="E243" s="465"/>
      <c r="F243" s="465"/>
      <c r="G243" s="465"/>
      <c r="H243" s="465"/>
      <c r="I243" s="465"/>
      <c r="J243" s="465"/>
      <c r="K243" s="465"/>
      <c r="L243" s="465"/>
    </row>
    <row r="244" spans="1:12" ht="14.25">
      <c r="A244" s="465"/>
      <c r="B244" s="465"/>
      <c r="C244" s="465"/>
      <c r="D244" s="465"/>
      <c r="E244" s="465"/>
      <c r="F244" s="465"/>
      <c r="G244" s="465"/>
      <c r="H244" s="465"/>
      <c r="I244" s="465"/>
      <c r="J244" s="465"/>
      <c r="K244" s="465"/>
      <c r="L244" s="465"/>
    </row>
    <row r="245" spans="1:12" ht="14.25">
      <c r="A245" s="465"/>
      <c r="B245" s="465"/>
      <c r="C245" s="465"/>
      <c r="D245" s="465"/>
      <c r="E245" s="465"/>
      <c r="F245" s="465"/>
      <c r="G245" s="465"/>
      <c r="H245" s="465"/>
      <c r="I245" s="465"/>
      <c r="J245" s="465"/>
      <c r="K245" s="465"/>
      <c r="L245" s="465"/>
    </row>
    <row r="246" spans="1:12" ht="14.25">
      <c r="A246" s="465"/>
      <c r="B246" s="465"/>
      <c r="C246" s="465"/>
      <c r="D246" s="465"/>
      <c r="E246" s="465"/>
      <c r="F246" s="465"/>
      <c r="G246" s="465"/>
      <c r="H246" s="465"/>
      <c r="I246" s="465"/>
      <c r="J246" s="465"/>
      <c r="K246" s="465"/>
      <c r="L246" s="465"/>
    </row>
    <row r="247" spans="1:12" ht="14.25">
      <c r="A247" s="465"/>
      <c r="B247" s="465"/>
      <c r="C247" s="465"/>
      <c r="D247" s="465"/>
      <c r="E247" s="465"/>
      <c r="F247" s="465"/>
      <c r="G247" s="465"/>
      <c r="H247" s="465"/>
      <c r="I247" s="465"/>
      <c r="J247" s="465"/>
      <c r="K247" s="465"/>
      <c r="L247" s="465"/>
    </row>
    <row r="248" spans="1:12" ht="14.25">
      <c r="A248" s="465"/>
      <c r="B248" s="465"/>
      <c r="C248" s="465"/>
      <c r="D248" s="465"/>
      <c r="E248" s="465"/>
      <c r="F248" s="465"/>
      <c r="G248" s="465"/>
      <c r="H248" s="465"/>
      <c r="I248" s="465"/>
      <c r="J248" s="465"/>
      <c r="K248" s="465"/>
      <c r="L248" s="465"/>
    </row>
    <row r="249" spans="1:12" ht="14.25">
      <c r="A249" s="465"/>
      <c r="B249" s="465"/>
      <c r="C249" s="465"/>
      <c r="D249" s="465"/>
      <c r="E249" s="465"/>
      <c r="F249" s="465"/>
      <c r="G249" s="465"/>
      <c r="H249" s="465"/>
      <c r="I249" s="465"/>
      <c r="J249" s="465"/>
      <c r="K249" s="465"/>
      <c r="L249" s="465"/>
    </row>
    <row r="250" spans="1:12" ht="14.25">
      <c r="A250" s="465"/>
      <c r="B250" s="465"/>
      <c r="C250" s="465"/>
      <c r="D250" s="465"/>
      <c r="E250" s="465"/>
      <c r="F250" s="465"/>
      <c r="G250" s="465"/>
      <c r="H250" s="465"/>
      <c r="I250" s="465"/>
      <c r="J250" s="465"/>
      <c r="K250" s="465"/>
      <c r="L250" s="465"/>
    </row>
    <row r="251" spans="1:12" ht="14.25">
      <c r="A251" s="465"/>
      <c r="B251" s="465"/>
      <c r="C251" s="465"/>
      <c r="D251" s="465"/>
      <c r="E251" s="465"/>
      <c r="F251" s="465"/>
      <c r="G251" s="465"/>
      <c r="H251" s="465"/>
      <c r="I251" s="465"/>
      <c r="J251" s="465"/>
      <c r="K251" s="465"/>
      <c r="L251" s="465"/>
    </row>
    <row r="252" spans="1:12" ht="14.25">
      <c r="A252" s="465"/>
      <c r="B252" s="465"/>
      <c r="C252" s="465"/>
      <c r="D252" s="465"/>
      <c r="E252" s="465"/>
      <c r="F252" s="465"/>
      <c r="G252" s="465"/>
      <c r="H252" s="465"/>
      <c r="I252" s="465"/>
      <c r="J252" s="465"/>
      <c r="K252" s="465"/>
      <c r="L252" s="465"/>
    </row>
    <row r="253" spans="1:12" ht="14.25">
      <c r="A253" s="465"/>
      <c r="B253" s="465"/>
      <c r="C253" s="465"/>
      <c r="D253" s="465"/>
      <c r="E253" s="465"/>
      <c r="F253" s="465"/>
      <c r="G253" s="465"/>
      <c r="H253" s="465"/>
      <c r="I253" s="465"/>
      <c r="J253" s="465"/>
      <c r="K253" s="465"/>
      <c r="L253" s="465"/>
    </row>
    <row r="254" spans="1:12" ht="14.25">
      <c r="A254" s="465"/>
      <c r="B254" s="465"/>
      <c r="C254" s="465"/>
      <c r="D254" s="465"/>
      <c r="E254" s="465"/>
      <c r="F254" s="465"/>
      <c r="G254" s="465"/>
      <c r="H254" s="465"/>
      <c r="I254" s="465"/>
      <c r="J254" s="465"/>
      <c r="K254" s="465"/>
      <c r="L254" s="465"/>
    </row>
    <row r="255" spans="1:12" ht="14.25">
      <c r="A255" s="465"/>
      <c r="B255" s="465"/>
      <c r="C255" s="465"/>
      <c r="D255" s="465"/>
      <c r="E255" s="465"/>
      <c r="F255" s="465"/>
      <c r="G255" s="465"/>
      <c r="H255" s="465"/>
      <c r="I255" s="465"/>
      <c r="J255" s="465"/>
      <c r="K255" s="465"/>
      <c r="L255" s="465"/>
    </row>
    <row r="256" spans="1:12" ht="14.25">
      <c r="A256" s="465"/>
      <c r="B256" s="465"/>
      <c r="C256" s="465"/>
      <c r="D256" s="465"/>
      <c r="E256" s="465"/>
      <c r="F256" s="465"/>
      <c r="G256" s="465"/>
      <c r="H256" s="465"/>
      <c r="I256" s="465"/>
      <c r="J256" s="465"/>
      <c r="K256" s="465"/>
      <c r="L256" s="465"/>
    </row>
    <row r="257" spans="1:12" ht="14.25">
      <c r="A257" s="465"/>
      <c r="B257" s="465"/>
      <c r="C257" s="465"/>
      <c r="D257" s="465"/>
      <c r="E257" s="465"/>
      <c r="F257" s="465"/>
      <c r="G257" s="465"/>
      <c r="H257" s="465"/>
      <c r="I257" s="465"/>
      <c r="J257" s="465"/>
      <c r="K257" s="465"/>
      <c r="L257" s="465"/>
    </row>
    <row r="258" spans="1:12" ht="14.25">
      <c r="A258" s="465"/>
      <c r="B258" s="465"/>
      <c r="C258" s="465"/>
      <c r="D258" s="465"/>
      <c r="E258" s="465"/>
      <c r="F258" s="465"/>
      <c r="G258" s="465"/>
      <c r="H258" s="465"/>
      <c r="I258" s="465"/>
      <c r="J258" s="465"/>
      <c r="K258" s="465"/>
      <c r="L258" s="465"/>
    </row>
    <row r="259" spans="1:12" ht="14.25">
      <c r="A259" s="465"/>
      <c r="B259" s="465"/>
      <c r="C259" s="465"/>
      <c r="D259" s="465"/>
      <c r="E259" s="465"/>
      <c r="F259" s="465"/>
      <c r="G259" s="465"/>
      <c r="H259" s="465"/>
      <c r="I259" s="465"/>
      <c r="J259" s="465"/>
      <c r="K259" s="465"/>
      <c r="L259" s="465"/>
    </row>
    <row r="260" spans="1:12" ht="14.25">
      <c r="A260" s="465"/>
      <c r="B260" s="465"/>
      <c r="C260" s="465"/>
      <c r="D260" s="465"/>
      <c r="E260" s="465"/>
      <c r="F260" s="465"/>
      <c r="G260" s="465"/>
      <c r="H260" s="465"/>
      <c r="I260" s="465"/>
      <c r="J260" s="465"/>
      <c r="K260" s="465"/>
      <c r="L260" s="465"/>
    </row>
    <row r="261" spans="1:12" ht="14.25">
      <c r="A261" s="465"/>
      <c r="B261" s="465"/>
      <c r="C261" s="465"/>
      <c r="D261" s="465"/>
      <c r="E261" s="465"/>
      <c r="F261" s="465"/>
      <c r="G261" s="465"/>
      <c r="H261" s="465"/>
      <c r="I261" s="465"/>
      <c r="J261" s="465"/>
      <c r="K261" s="465"/>
      <c r="L261" s="465"/>
    </row>
    <row r="262" spans="1:12" ht="14.25">
      <c r="A262" s="465"/>
      <c r="B262" s="465"/>
      <c r="C262" s="465"/>
      <c r="D262" s="465"/>
      <c r="E262" s="465"/>
      <c r="F262" s="465"/>
      <c r="G262" s="465"/>
      <c r="H262" s="465"/>
      <c r="I262" s="465"/>
      <c r="J262" s="465"/>
      <c r="K262" s="465"/>
      <c r="L262" s="465"/>
    </row>
    <row r="263" spans="1:12" ht="14.25">
      <c r="A263" s="465"/>
      <c r="B263" s="465"/>
      <c r="C263" s="465"/>
      <c r="D263" s="465"/>
      <c r="E263" s="465"/>
      <c r="F263" s="465"/>
      <c r="G263" s="465"/>
      <c r="H263" s="465"/>
      <c r="I263" s="465"/>
      <c r="J263" s="465"/>
      <c r="K263" s="465"/>
      <c r="L263" s="465"/>
    </row>
    <row r="264" spans="1:12" ht="14.25">
      <c r="A264" s="465"/>
      <c r="B264" s="465"/>
      <c r="C264" s="465"/>
      <c r="D264" s="465"/>
      <c r="E264" s="465"/>
      <c r="F264" s="465"/>
      <c r="G264" s="465"/>
      <c r="H264" s="465"/>
      <c r="I264" s="465"/>
      <c r="J264" s="465"/>
      <c r="K264" s="465"/>
      <c r="L264" s="465"/>
    </row>
    <row r="265" spans="1:12" ht="14.25">
      <c r="A265" s="465"/>
      <c r="B265" s="465"/>
      <c r="C265" s="465"/>
      <c r="D265" s="465"/>
      <c r="E265" s="465"/>
      <c r="F265" s="465"/>
      <c r="G265" s="465"/>
      <c r="H265" s="465"/>
      <c r="I265" s="465"/>
      <c r="J265" s="465"/>
      <c r="K265" s="465"/>
      <c r="L265" s="465"/>
    </row>
    <row r="266" spans="1:12" ht="14.25">
      <c r="A266" s="465"/>
      <c r="B266" s="465"/>
      <c r="C266" s="465"/>
      <c r="D266" s="465"/>
      <c r="E266" s="465"/>
      <c r="F266" s="465"/>
      <c r="G266" s="465"/>
      <c r="H266" s="465"/>
      <c r="I266" s="465"/>
      <c r="J266" s="465"/>
      <c r="K266" s="465"/>
      <c r="L266" s="465"/>
    </row>
    <row r="267" spans="1:12" ht="14.25">
      <c r="A267" s="465"/>
      <c r="B267" s="465"/>
      <c r="C267" s="465"/>
      <c r="D267" s="465"/>
      <c r="E267" s="465"/>
      <c r="F267" s="465"/>
      <c r="G267" s="465"/>
      <c r="H267" s="465"/>
      <c r="I267" s="465"/>
      <c r="J267" s="465"/>
      <c r="K267" s="465"/>
      <c r="L267" s="465"/>
    </row>
    <row r="268" spans="1:12" ht="14.25">
      <c r="A268" s="465"/>
      <c r="B268" s="465"/>
      <c r="C268" s="465"/>
      <c r="D268" s="465"/>
      <c r="E268" s="465"/>
      <c r="F268" s="465"/>
      <c r="G268" s="465"/>
      <c r="H268" s="465"/>
      <c r="I268" s="465"/>
      <c r="J268" s="465"/>
      <c r="K268" s="465"/>
      <c r="L268" s="465"/>
    </row>
    <row r="269" spans="1:12" ht="14.25">
      <c r="A269" s="465"/>
      <c r="B269" s="465"/>
      <c r="C269" s="465"/>
      <c r="D269" s="465"/>
      <c r="E269" s="465"/>
      <c r="F269" s="465"/>
      <c r="G269" s="465"/>
      <c r="H269" s="465"/>
      <c r="I269" s="465"/>
      <c r="J269" s="465"/>
      <c r="K269" s="465"/>
      <c r="L269" s="465"/>
    </row>
    <row r="270" spans="1:12" ht="14.25">
      <c r="A270" s="465"/>
      <c r="B270" s="465"/>
      <c r="C270" s="465"/>
      <c r="D270" s="465"/>
      <c r="E270" s="465"/>
      <c r="F270" s="465"/>
      <c r="G270" s="465"/>
      <c r="H270" s="465"/>
      <c r="I270" s="465"/>
      <c r="J270" s="465"/>
      <c r="K270" s="465"/>
      <c r="L270" s="465"/>
    </row>
    <row r="271" spans="1:12" ht="14.25">
      <c r="A271" s="465"/>
      <c r="B271" s="465"/>
      <c r="C271" s="465"/>
      <c r="D271" s="465"/>
      <c r="E271" s="465"/>
      <c r="F271" s="465"/>
      <c r="G271" s="465"/>
      <c r="H271" s="465"/>
      <c r="I271" s="465"/>
      <c r="J271" s="465"/>
      <c r="K271" s="465"/>
      <c r="L271" s="465"/>
    </row>
    <row r="272" spans="1:12" ht="14.25">
      <c r="A272" s="465"/>
      <c r="B272" s="465"/>
      <c r="C272" s="465"/>
      <c r="D272" s="465"/>
      <c r="E272" s="465"/>
      <c r="F272" s="465"/>
      <c r="G272" s="465"/>
      <c r="H272" s="465"/>
      <c r="I272" s="465"/>
      <c r="J272" s="465"/>
      <c r="K272" s="465"/>
      <c r="L272" s="465"/>
    </row>
    <row r="273" spans="1:12" ht="14.25">
      <c r="A273" s="465"/>
      <c r="B273" s="465"/>
      <c r="C273" s="465"/>
      <c r="D273" s="465"/>
      <c r="E273" s="465"/>
      <c r="F273" s="465"/>
      <c r="G273" s="465"/>
      <c r="H273" s="465"/>
      <c r="I273" s="465"/>
      <c r="J273" s="465"/>
      <c r="K273" s="465"/>
      <c r="L273" s="465"/>
    </row>
    <row r="274" spans="1:12" ht="14.25">
      <c r="A274" s="465"/>
      <c r="B274" s="465"/>
      <c r="C274" s="465"/>
      <c r="D274" s="465"/>
      <c r="E274" s="465"/>
      <c r="F274" s="465"/>
      <c r="G274" s="465"/>
      <c r="H274" s="465"/>
      <c r="I274" s="465"/>
      <c r="J274" s="465"/>
      <c r="K274" s="465"/>
      <c r="L274" s="465"/>
    </row>
    <row r="275" spans="1:12" ht="14.25">
      <c r="A275" s="465"/>
      <c r="B275" s="465"/>
      <c r="C275" s="465"/>
      <c r="D275" s="465"/>
      <c r="E275" s="465"/>
      <c r="F275" s="465"/>
      <c r="G275" s="465"/>
      <c r="H275" s="465"/>
      <c r="I275" s="465"/>
      <c r="J275" s="465"/>
      <c r="K275" s="465"/>
      <c r="L275" s="465"/>
    </row>
    <row r="276" spans="1:12" ht="14.25">
      <c r="A276" s="465"/>
      <c r="B276" s="465"/>
      <c r="C276" s="465"/>
      <c r="D276" s="465"/>
      <c r="E276" s="465"/>
      <c r="F276" s="465"/>
      <c r="G276" s="465"/>
      <c r="H276" s="465"/>
      <c r="I276" s="465"/>
      <c r="J276" s="465"/>
      <c r="K276" s="465"/>
      <c r="L276" s="465"/>
    </row>
    <row r="277" spans="1:12" ht="14.25">
      <c r="A277" s="465"/>
      <c r="B277" s="465"/>
      <c r="C277" s="465"/>
      <c r="D277" s="465"/>
      <c r="E277" s="465"/>
      <c r="F277" s="465"/>
      <c r="G277" s="465"/>
      <c r="H277" s="465"/>
      <c r="I277" s="465"/>
      <c r="J277" s="465"/>
      <c r="K277" s="465"/>
      <c r="L277" s="465"/>
    </row>
    <row r="278" spans="1:12" ht="14.25">
      <c r="A278" s="465"/>
      <c r="B278" s="465"/>
      <c r="C278" s="465"/>
      <c r="D278" s="465"/>
      <c r="E278" s="465"/>
      <c r="F278" s="465"/>
      <c r="G278" s="465"/>
      <c r="H278" s="465"/>
      <c r="I278" s="465"/>
      <c r="J278" s="465"/>
      <c r="K278" s="465"/>
      <c r="L278" s="465"/>
    </row>
    <row r="279" spans="1:12" ht="14.25">
      <c r="A279" s="465"/>
      <c r="B279" s="465"/>
      <c r="C279" s="465"/>
      <c r="D279" s="465"/>
      <c r="E279" s="465"/>
      <c r="F279" s="465"/>
      <c r="G279" s="465"/>
      <c r="H279" s="465"/>
      <c r="I279" s="465"/>
      <c r="J279" s="465"/>
      <c r="K279" s="465"/>
      <c r="L279" s="465"/>
    </row>
    <row r="280" spans="1:12" ht="14.25">
      <c r="A280" s="465"/>
      <c r="B280" s="465"/>
      <c r="C280" s="465"/>
      <c r="D280" s="465"/>
      <c r="E280" s="465"/>
      <c r="F280" s="465"/>
      <c r="G280" s="465"/>
      <c r="H280" s="465"/>
      <c r="I280" s="465"/>
      <c r="J280" s="465"/>
      <c r="K280" s="465"/>
      <c r="L280" s="465"/>
    </row>
    <row r="281" spans="1:12" ht="14.25">
      <c r="A281" s="465"/>
      <c r="B281" s="465"/>
      <c r="C281" s="465"/>
      <c r="D281" s="465"/>
      <c r="E281" s="465"/>
      <c r="F281" s="465"/>
      <c r="G281" s="465"/>
      <c r="H281" s="465"/>
      <c r="I281" s="465"/>
      <c r="J281" s="465"/>
      <c r="K281" s="465"/>
      <c r="L281" s="465"/>
    </row>
    <row r="282" spans="1:12" ht="14.25">
      <c r="A282" s="465"/>
      <c r="B282" s="465"/>
      <c r="C282" s="465"/>
      <c r="D282" s="465"/>
      <c r="E282" s="465"/>
      <c r="F282" s="465"/>
      <c r="G282" s="465"/>
      <c r="H282" s="465"/>
      <c r="I282" s="465"/>
      <c r="J282" s="465"/>
      <c r="K282" s="465"/>
      <c r="L282" s="465"/>
    </row>
    <row r="283" spans="1:12" ht="14.25">
      <c r="A283" s="465"/>
      <c r="B283" s="465"/>
      <c r="C283" s="465"/>
      <c r="D283" s="465"/>
      <c r="E283" s="465"/>
      <c r="F283" s="465"/>
      <c r="G283" s="465"/>
      <c r="H283" s="465"/>
      <c r="I283" s="465"/>
      <c r="J283" s="465"/>
      <c r="K283" s="465"/>
      <c r="L283" s="465"/>
    </row>
    <row r="284" spans="1:12" ht="14.25">
      <c r="A284" s="465"/>
      <c r="B284" s="465"/>
      <c r="C284" s="465"/>
      <c r="D284" s="465"/>
      <c r="E284" s="465"/>
      <c r="F284" s="465"/>
      <c r="G284" s="465"/>
      <c r="H284" s="465"/>
      <c r="I284" s="465"/>
      <c r="J284" s="465"/>
      <c r="K284" s="465"/>
      <c r="L284" s="465"/>
    </row>
    <row r="285" spans="1:12" ht="14.25">
      <c r="A285" s="465"/>
      <c r="B285" s="465"/>
      <c r="C285" s="465"/>
      <c r="D285" s="465"/>
      <c r="E285" s="465"/>
      <c r="F285" s="465"/>
      <c r="G285" s="465"/>
      <c r="H285" s="465"/>
      <c r="I285" s="465"/>
      <c r="J285" s="465"/>
      <c r="K285" s="465"/>
      <c r="L285" s="465"/>
    </row>
    <row r="286" spans="1:12" ht="14.25">
      <c r="A286" s="465"/>
      <c r="B286" s="465"/>
      <c r="C286" s="465"/>
      <c r="D286" s="465"/>
      <c r="E286" s="465"/>
      <c r="F286" s="465"/>
      <c r="G286" s="465"/>
      <c r="H286" s="465"/>
      <c r="I286" s="465"/>
      <c r="J286" s="465"/>
      <c r="K286" s="465"/>
      <c r="L286" s="465"/>
    </row>
    <row r="287" spans="1:12" ht="14.25">
      <c r="A287" s="465"/>
      <c r="B287" s="465"/>
      <c r="C287" s="465"/>
      <c r="D287" s="465"/>
      <c r="E287" s="465"/>
      <c r="F287" s="465"/>
      <c r="G287" s="465"/>
      <c r="H287" s="465"/>
      <c r="I287" s="465"/>
      <c r="J287" s="465"/>
      <c r="K287" s="465"/>
      <c r="L287" s="465"/>
    </row>
    <row r="288" spans="1:12" ht="14.25">
      <c r="A288" s="465"/>
      <c r="B288" s="465"/>
      <c r="C288" s="465"/>
      <c r="D288" s="465"/>
      <c r="E288" s="465"/>
      <c r="F288" s="465"/>
      <c r="G288" s="465"/>
      <c r="H288" s="465"/>
      <c r="I288" s="465"/>
      <c r="J288" s="465"/>
      <c r="K288" s="465"/>
      <c r="L288" s="465"/>
    </row>
    <row r="289" spans="1:12" ht="14.25">
      <c r="A289" s="465"/>
      <c r="B289" s="465"/>
      <c r="C289" s="465"/>
      <c r="D289" s="465"/>
      <c r="E289" s="465"/>
      <c r="F289" s="465"/>
      <c r="G289" s="465"/>
      <c r="H289" s="465"/>
      <c r="I289" s="465"/>
      <c r="J289" s="465"/>
      <c r="K289" s="465"/>
      <c r="L289" s="465"/>
    </row>
    <row r="290" spans="1:12" ht="14.25">
      <c r="A290" s="465"/>
      <c r="B290" s="465"/>
      <c r="C290" s="465"/>
      <c r="D290" s="465"/>
      <c r="E290" s="465"/>
      <c r="F290" s="465"/>
      <c r="G290" s="465"/>
      <c r="H290" s="465"/>
      <c r="I290" s="465"/>
      <c r="J290" s="465"/>
      <c r="K290" s="465"/>
      <c r="L290" s="465"/>
    </row>
    <row r="291" spans="1:12" ht="14.25">
      <c r="A291" s="465"/>
      <c r="B291" s="465"/>
      <c r="C291" s="465"/>
      <c r="D291" s="465"/>
      <c r="E291" s="465"/>
      <c r="F291" s="465"/>
      <c r="G291" s="465"/>
      <c r="H291" s="465"/>
      <c r="I291" s="465"/>
      <c r="J291" s="465"/>
      <c r="K291" s="465"/>
      <c r="L291" s="465"/>
    </row>
    <row r="292" spans="1:12" ht="14.25">
      <c r="A292" s="465"/>
      <c r="B292" s="465"/>
      <c r="C292" s="465"/>
      <c r="D292" s="465"/>
      <c r="E292" s="465"/>
      <c r="F292" s="465"/>
      <c r="G292" s="465"/>
      <c r="H292" s="465"/>
      <c r="I292" s="465"/>
      <c r="J292" s="465"/>
      <c r="K292" s="465"/>
      <c r="L292" s="465"/>
    </row>
    <row r="293" spans="1:12" ht="14.25">
      <c r="A293" s="465"/>
      <c r="B293" s="465"/>
      <c r="C293" s="465"/>
      <c r="D293" s="465"/>
      <c r="E293" s="465"/>
      <c r="F293" s="465"/>
      <c r="G293" s="465"/>
      <c r="H293" s="465"/>
      <c r="I293" s="465"/>
      <c r="J293" s="465"/>
      <c r="K293" s="465"/>
      <c r="L293" s="465"/>
    </row>
    <row r="294" spans="1:12" ht="14.25">
      <c r="A294" s="465"/>
      <c r="B294" s="465"/>
      <c r="C294" s="465"/>
      <c r="D294" s="465"/>
      <c r="E294" s="465"/>
      <c r="F294" s="465"/>
      <c r="G294" s="465"/>
      <c r="H294" s="465"/>
      <c r="I294" s="465"/>
      <c r="J294" s="465"/>
      <c r="K294" s="465"/>
      <c r="L294" s="465"/>
    </row>
    <row r="295" spans="1:12" ht="14.25">
      <c r="A295" s="465"/>
      <c r="B295" s="465"/>
      <c r="C295" s="465"/>
      <c r="D295" s="465"/>
      <c r="E295" s="465"/>
      <c r="F295" s="465"/>
      <c r="G295" s="465"/>
      <c r="H295" s="465"/>
      <c r="I295" s="465"/>
      <c r="J295" s="465"/>
      <c r="K295" s="465"/>
      <c r="L295" s="465"/>
    </row>
    <row r="296" spans="1:12" ht="14.25">
      <c r="A296" s="465"/>
      <c r="B296" s="465"/>
      <c r="C296" s="465"/>
      <c r="D296" s="465"/>
      <c r="E296" s="465"/>
      <c r="F296" s="465"/>
      <c r="G296" s="465"/>
      <c r="H296" s="465"/>
      <c r="I296" s="465"/>
      <c r="J296" s="465"/>
      <c r="K296" s="465"/>
      <c r="L296" s="465"/>
    </row>
    <row r="297" spans="1:12" ht="14.25">
      <c r="A297" s="465"/>
      <c r="B297" s="465"/>
      <c r="C297" s="465"/>
      <c r="D297" s="465"/>
      <c r="E297" s="465"/>
      <c r="F297" s="465"/>
      <c r="G297" s="465"/>
      <c r="H297" s="465"/>
      <c r="I297" s="465"/>
      <c r="J297" s="465"/>
      <c r="K297" s="465"/>
      <c r="L297" s="465"/>
    </row>
    <row r="298" spans="1:12" ht="14.25">
      <c r="A298" s="465"/>
      <c r="B298" s="465"/>
      <c r="C298" s="465"/>
      <c r="D298" s="465"/>
      <c r="E298" s="465"/>
      <c r="F298" s="465"/>
      <c r="G298" s="465"/>
      <c r="H298" s="465"/>
      <c r="I298" s="465"/>
      <c r="J298" s="465"/>
      <c r="K298" s="465"/>
      <c r="L298" s="465"/>
    </row>
    <row r="299" spans="1:12" ht="14.25">
      <c r="A299" s="465"/>
      <c r="B299" s="465"/>
      <c r="C299" s="465"/>
      <c r="D299" s="465"/>
      <c r="E299" s="465"/>
      <c r="F299" s="465"/>
      <c r="G299" s="465"/>
      <c r="H299" s="465"/>
      <c r="I299" s="465"/>
      <c r="J299" s="465"/>
      <c r="K299" s="465"/>
      <c r="L299" s="465"/>
    </row>
    <row r="300" spans="1:12" ht="14.25">
      <c r="A300" s="465"/>
      <c r="B300" s="465"/>
      <c r="C300" s="465"/>
      <c r="D300" s="465"/>
      <c r="E300" s="465"/>
      <c r="F300" s="465"/>
      <c r="G300" s="465"/>
      <c r="H300" s="465"/>
      <c r="I300" s="465"/>
      <c r="J300" s="465"/>
      <c r="K300" s="465"/>
      <c r="L300" s="465"/>
    </row>
    <row r="301" spans="1:12" ht="14.25">
      <c r="A301" s="465"/>
      <c r="B301" s="465"/>
      <c r="C301" s="465"/>
      <c r="D301" s="465"/>
      <c r="E301" s="465"/>
      <c r="F301" s="465"/>
      <c r="G301" s="465"/>
      <c r="H301" s="465"/>
      <c r="I301" s="465"/>
      <c r="J301" s="465"/>
      <c r="K301" s="465"/>
      <c r="L301" s="465"/>
    </row>
    <row r="302" spans="1:12" ht="14.25">
      <c r="A302" s="465"/>
      <c r="B302" s="465"/>
      <c r="C302" s="465"/>
      <c r="D302" s="465"/>
      <c r="E302" s="465"/>
      <c r="F302" s="465"/>
      <c r="G302" s="465"/>
      <c r="H302" s="465"/>
      <c r="I302" s="465"/>
      <c r="J302" s="465"/>
      <c r="K302" s="465"/>
      <c r="L302" s="465"/>
    </row>
    <row r="303" spans="1:12" ht="14.25">
      <c r="A303" s="465"/>
      <c r="B303" s="465"/>
      <c r="C303" s="465"/>
      <c r="D303" s="465"/>
      <c r="E303" s="465"/>
      <c r="F303" s="465"/>
      <c r="G303" s="465"/>
      <c r="H303" s="465"/>
      <c r="I303" s="465"/>
      <c r="J303" s="465"/>
      <c r="K303" s="465"/>
      <c r="L303" s="465"/>
    </row>
    <row r="304" spans="1:12" ht="14.25">
      <c r="A304" s="465"/>
      <c r="B304" s="465"/>
      <c r="C304" s="465"/>
      <c r="D304" s="465"/>
      <c r="E304" s="465"/>
      <c r="F304" s="465"/>
      <c r="G304" s="465"/>
      <c r="H304" s="465"/>
      <c r="I304" s="465"/>
      <c r="J304" s="465"/>
      <c r="K304" s="465"/>
      <c r="L304" s="465"/>
    </row>
    <row r="305" spans="1:12" ht="14.25">
      <c r="A305" s="465"/>
      <c r="B305" s="465"/>
      <c r="C305" s="465"/>
      <c r="D305" s="465"/>
      <c r="E305" s="465"/>
      <c r="F305" s="465"/>
      <c r="G305" s="465"/>
      <c r="H305" s="465"/>
      <c r="I305" s="465"/>
      <c r="J305" s="465"/>
      <c r="K305" s="465"/>
      <c r="L305" s="465"/>
    </row>
    <row r="306" spans="1:12" ht="14.25">
      <c r="A306" s="465"/>
      <c r="B306" s="465"/>
      <c r="C306" s="465"/>
      <c r="D306" s="465"/>
      <c r="E306" s="465"/>
      <c r="F306" s="465"/>
      <c r="G306" s="465"/>
      <c r="H306" s="465"/>
      <c r="I306" s="465"/>
      <c r="J306" s="465"/>
      <c r="K306" s="465"/>
      <c r="L306" s="465"/>
    </row>
    <row r="307" spans="1:12" ht="14.25">
      <c r="A307" s="465"/>
      <c r="B307" s="465"/>
      <c r="C307" s="465"/>
      <c r="D307" s="465"/>
      <c r="E307" s="465"/>
      <c r="F307" s="465"/>
      <c r="G307" s="465"/>
      <c r="H307" s="465"/>
      <c r="I307" s="465"/>
      <c r="J307" s="465"/>
      <c r="K307" s="465"/>
      <c r="L307" s="465"/>
    </row>
    <row r="308" spans="1:12" ht="14.25">
      <c r="A308" s="465"/>
      <c r="B308" s="465"/>
      <c r="C308" s="465"/>
      <c r="D308" s="465"/>
      <c r="E308" s="465"/>
      <c r="F308" s="465"/>
      <c r="G308" s="465"/>
      <c r="H308" s="465"/>
      <c r="I308" s="465"/>
      <c r="J308" s="465"/>
      <c r="K308" s="465"/>
      <c r="L308" s="465"/>
    </row>
    <row r="309" spans="1:12" ht="14.25">
      <c r="A309" s="465"/>
      <c r="B309" s="465"/>
      <c r="C309" s="465"/>
      <c r="D309" s="465"/>
      <c r="E309" s="465"/>
      <c r="F309" s="465"/>
      <c r="G309" s="465"/>
      <c r="H309" s="465"/>
      <c r="I309" s="465"/>
      <c r="J309" s="465"/>
      <c r="K309" s="465"/>
      <c r="L309" s="465"/>
    </row>
    <row r="310" spans="1:12" ht="14.25">
      <c r="A310" s="465"/>
      <c r="B310" s="465"/>
      <c r="C310" s="465"/>
      <c r="D310" s="465"/>
      <c r="E310" s="465"/>
      <c r="F310" s="465"/>
      <c r="G310" s="465"/>
      <c r="H310" s="465"/>
      <c r="I310" s="465"/>
      <c r="J310" s="465"/>
      <c r="K310" s="465"/>
      <c r="L310" s="465"/>
    </row>
    <row r="311" spans="1:12" ht="14.25">
      <c r="A311" s="465"/>
      <c r="B311" s="465"/>
      <c r="C311" s="465"/>
      <c r="D311" s="465"/>
      <c r="E311" s="465"/>
      <c r="F311" s="465"/>
      <c r="G311" s="465"/>
      <c r="H311" s="465"/>
      <c r="I311" s="465"/>
      <c r="J311" s="465"/>
      <c r="K311" s="465"/>
      <c r="L311" s="465"/>
    </row>
    <row r="312" spans="1:12" ht="14.25">
      <c r="A312" s="465"/>
      <c r="B312" s="465"/>
      <c r="C312" s="465"/>
      <c r="D312" s="465"/>
      <c r="E312" s="465"/>
      <c r="F312" s="465"/>
      <c r="G312" s="465"/>
      <c r="H312" s="465"/>
      <c r="I312" s="465"/>
      <c r="J312" s="465"/>
      <c r="K312" s="465"/>
      <c r="L312" s="465"/>
    </row>
    <row r="313" spans="1:12" ht="14.25">
      <c r="A313" s="465"/>
      <c r="B313" s="465"/>
      <c r="C313" s="465"/>
      <c r="D313" s="465"/>
      <c r="E313" s="465"/>
      <c r="F313" s="465"/>
      <c r="G313" s="465"/>
      <c r="H313" s="465"/>
      <c r="I313" s="465"/>
      <c r="J313" s="465"/>
      <c r="K313" s="465"/>
      <c r="L313" s="465"/>
    </row>
    <row r="314" spans="1:12" ht="14.25">
      <c r="A314" s="465"/>
      <c r="B314" s="465"/>
      <c r="C314" s="465"/>
      <c r="D314" s="465"/>
      <c r="E314" s="465"/>
      <c r="F314" s="465"/>
      <c r="G314" s="465"/>
      <c r="H314" s="465"/>
      <c r="I314" s="465"/>
      <c r="J314" s="465"/>
      <c r="K314" s="465"/>
      <c r="L314" s="465"/>
    </row>
    <row r="315" spans="1:12" ht="14.25">
      <c r="A315" s="465"/>
      <c r="B315" s="465"/>
      <c r="C315" s="465"/>
      <c r="D315" s="465"/>
      <c r="E315" s="465"/>
      <c r="F315" s="465"/>
      <c r="G315" s="465"/>
      <c r="H315" s="465"/>
      <c r="I315" s="465"/>
      <c r="J315" s="465"/>
      <c r="K315" s="465"/>
      <c r="L315" s="465"/>
    </row>
    <row r="316" spans="1:12" ht="14.25">
      <c r="A316" s="465"/>
      <c r="B316" s="465"/>
      <c r="C316" s="465"/>
      <c r="D316" s="465"/>
      <c r="E316" s="465"/>
      <c r="F316" s="465"/>
      <c r="G316" s="465"/>
      <c r="H316" s="465"/>
      <c r="I316" s="465"/>
      <c r="J316" s="465"/>
      <c r="K316" s="465"/>
      <c r="L316" s="465"/>
    </row>
    <row r="317" spans="1:12" ht="14.25">
      <c r="A317" s="465"/>
      <c r="B317" s="465"/>
      <c r="C317" s="465"/>
      <c r="D317" s="465"/>
      <c r="E317" s="465"/>
      <c r="F317" s="465"/>
      <c r="G317" s="465"/>
      <c r="H317" s="465"/>
      <c r="I317" s="465"/>
      <c r="J317" s="465"/>
      <c r="K317" s="465"/>
      <c r="L317" s="465"/>
    </row>
    <row r="318" spans="1:12" ht="14.25">
      <c r="A318" s="465"/>
      <c r="B318" s="465"/>
      <c r="C318" s="465"/>
      <c r="D318" s="465"/>
      <c r="E318" s="465"/>
      <c r="F318" s="465"/>
      <c r="G318" s="465"/>
      <c r="H318" s="465"/>
      <c r="I318" s="465"/>
      <c r="J318" s="465"/>
      <c r="K318" s="465"/>
      <c r="L318" s="465"/>
    </row>
    <row r="319" spans="1:12" ht="14.25">
      <c r="A319" s="465"/>
      <c r="B319" s="465"/>
      <c r="C319" s="465"/>
      <c r="D319" s="465"/>
      <c r="E319" s="465"/>
      <c r="F319" s="465"/>
      <c r="G319" s="465"/>
      <c r="H319" s="465"/>
      <c r="I319" s="465"/>
      <c r="J319" s="465"/>
      <c r="K319" s="465"/>
      <c r="L319" s="465"/>
    </row>
    <row r="320" spans="1:12" ht="14.25">
      <c r="A320" s="465"/>
      <c r="B320" s="465"/>
      <c r="C320" s="465"/>
      <c r="D320" s="465"/>
      <c r="E320" s="465"/>
      <c r="F320" s="465"/>
      <c r="G320" s="465"/>
      <c r="H320" s="465"/>
      <c r="I320" s="465"/>
      <c r="J320" s="465"/>
      <c r="K320" s="465"/>
      <c r="L320" s="465"/>
    </row>
    <row r="321" spans="1:12" ht="14.25">
      <c r="A321" s="465"/>
      <c r="B321" s="465"/>
      <c r="C321" s="465"/>
      <c r="D321" s="465"/>
      <c r="E321" s="465"/>
      <c r="F321" s="465"/>
      <c r="G321" s="465"/>
      <c r="H321" s="465"/>
      <c r="I321" s="465"/>
      <c r="J321" s="465"/>
      <c r="K321" s="465"/>
      <c r="L321" s="465"/>
    </row>
    <row r="322" spans="1:12" ht="14.25">
      <c r="A322" s="465"/>
      <c r="B322" s="465"/>
      <c r="C322" s="465"/>
      <c r="D322" s="465"/>
      <c r="E322" s="465"/>
      <c r="F322" s="465"/>
      <c r="G322" s="465"/>
      <c r="H322" s="465"/>
      <c r="I322" s="465"/>
      <c r="J322" s="465"/>
      <c r="K322" s="465"/>
      <c r="L322" s="465"/>
    </row>
    <row r="323" spans="1:12" ht="14.25">
      <c r="A323" s="465"/>
      <c r="B323" s="465"/>
      <c r="C323" s="465"/>
      <c r="D323" s="465"/>
      <c r="E323" s="465"/>
      <c r="F323" s="465"/>
      <c r="G323" s="465"/>
      <c r="H323" s="465"/>
      <c r="I323" s="465"/>
      <c r="J323" s="465"/>
      <c r="K323" s="465"/>
      <c r="L323" s="465"/>
    </row>
    <row r="324" spans="1:12" ht="14.25">
      <c r="A324" s="465"/>
      <c r="B324" s="465"/>
      <c r="C324" s="465"/>
      <c r="D324" s="465"/>
      <c r="E324" s="465"/>
      <c r="F324" s="465"/>
      <c r="G324" s="465"/>
      <c r="H324" s="465"/>
      <c r="I324" s="465"/>
      <c r="J324" s="465"/>
      <c r="K324" s="465"/>
      <c r="L324" s="465"/>
    </row>
    <row r="325" spans="1:12" ht="14.25">
      <c r="A325" s="465"/>
      <c r="B325" s="465"/>
      <c r="C325" s="465"/>
      <c r="D325" s="465"/>
      <c r="E325" s="465"/>
      <c r="F325" s="465"/>
      <c r="G325" s="465"/>
      <c r="H325" s="465"/>
      <c r="I325" s="465"/>
      <c r="J325" s="465"/>
      <c r="K325" s="465"/>
      <c r="L325" s="465"/>
    </row>
    <row r="326" spans="1:12" ht="14.25">
      <c r="A326" s="465"/>
      <c r="B326" s="465"/>
      <c r="C326" s="465"/>
      <c r="D326" s="465"/>
      <c r="E326" s="465"/>
      <c r="F326" s="465"/>
      <c r="G326" s="465"/>
      <c r="H326" s="465"/>
      <c r="I326" s="465"/>
      <c r="J326" s="465"/>
      <c r="K326" s="465"/>
      <c r="L326" s="465"/>
    </row>
    <row r="327" spans="1:12" ht="14.25">
      <c r="A327" s="465"/>
      <c r="B327" s="465"/>
      <c r="C327" s="465"/>
      <c r="D327" s="465"/>
      <c r="E327" s="465"/>
      <c r="F327" s="465"/>
      <c r="G327" s="465"/>
      <c r="H327" s="465"/>
      <c r="I327" s="465"/>
      <c r="J327" s="465"/>
      <c r="K327" s="465"/>
      <c r="L327" s="465"/>
    </row>
    <row r="328" spans="1:12" ht="14.25">
      <c r="A328" s="465"/>
      <c r="B328" s="465"/>
      <c r="C328" s="465"/>
      <c r="D328" s="465"/>
      <c r="E328" s="465"/>
      <c r="F328" s="465"/>
      <c r="G328" s="465"/>
      <c r="H328" s="465"/>
      <c r="I328" s="465"/>
      <c r="J328" s="465"/>
      <c r="K328" s="465"/>
      <c r="L328" s="465"/>
    </row>
    <row r="329" spans="1:12" ht="14.25">
      <c r="A329" s="465"/>
      <c r="B329" s="465"/>
      <c r="C329" s="465"/>
      <c r="D329" s="465"/>
      <c r="E329" s="465"/>
      <c r="F329" s="465"/>
      <c r="G329" s="465"/>
      <c r="H329" s="465"/>
      <c r="I329" s="465"/>
      <c r="J329" s="465"/>
      <c r="K329" s="465"/>
      <c r="L329" s="465"/>
    </row>
    <row r="330" spans="1:12" ht="14.25">
      <c r="A330" s="465"/>
      <c r="B330" s="465"/>
      <c r="C330" s="465"/>
      <c r="D330" s="465"/>
      <c r="E330" s="465"/>
      <c r="F330" s="465"/>
      <c r="G330" s="465"/>
      <c r="H330" s="465"/>
      <c r="I330" s="465"/>
      <c r="J330" s="465"/>
      <c r="K330" s="465"/>
      <c r="L330" s="465"/>
    </row>
    <row r="331" spans="1:12" ht="14.25">
      <c r="A331" s="465"/>
      <c r="B331" s="465"/>
      <c r="C331" s="465"/>
      <c r="D331" s="465"/>
      <c r="E331" s="465"/>
      <c r="F331" s="465"/>
      <c r="G331" s="465"/>
      <c r="H331" s="465"/>
      <c r="I331" s="465"/>
      <c r="J331" s="465"/>
      <c r="K331" s="465"/>
      <c r="L331" s="465"/>
    </row>
    <row r="332" spans="1:12" ht="14.25">
      <c r="A332" s="465"/>
      <c r="B332" s="465"/>
      <c r="C332" s="465"/>
      <c r="D332" s="465"/>
      <c r="E332" s="465"/>
      <c r="F332" s="465"/>
      <c r="G332" s="465"/>
      <c r="H332" s="465"/>
      <c r="I332" s="465"/>
      <c r="J332" s="465"/>
      <c r="K332" s="465"/>
      <c r="L332" s="465"/>
    </row>
    <row r="333" spans="1:12" ht="14.25">
      <c r="A333" s="465"/>
      <c r="B333" s="465"/>
      <c r="C333" s="465"/>
      <c r="D333" s="465"/>
      <c r="E333" s="465"/>
      <c r="F333" s="465"/>
      <c r="G333" s="465"/>
      <c r="H333" s="465"/>
      <c r="I333" s="465"/>
      <c r="J333" s="465"/>
      <c r="K333" s="465"/>
      <c r="L333" s="465"/>
    </row>
    <row r="334" spans="1:12" ht="14.25">
      <c r="A334" s="465"/>
      <c r="B334" s="465"/>
      <c r="C334" s="465"/>
      <c r="D334" s="465"/>
      <c r="E334" s="465"/>
      <c r="F334" s="465"/>
      <c r="G334" s="465"/>
      <c r="H334" s="465"/>
      <c r="I334" s="465"/>
      <c r="J334" s="465"/>
      <c r="K334" s="465"/>
      <c r="L334" s="465"/>
    </row>
    <row r="335" spans="1:12" ht="14.25">
      <c r="A335" s="465"/>
      <c r="B335" s="465"/>
      <c r="C335" s="465"/>
      <c r="D335" s="465"/>
      <c r="E335" s="465"/>
      <c r="F335" s="465"/>
      <c r="G335" s="465"/>
      <c r="H335" s="465"/>
      <c r="I335" s="465"/>
      <c r="J335" s="465"/>
      <c r="K335" s="465"/>
      <c r="L335" s="465"/>
    </row>
    <row r="336" spans="1:12" ht="14.25">
      <c r="A336" s="465"/>
      <c r="B336" s="465"/>
      <c r="C336" s="465"/>
      <c r="D336" s="465"/>
      <c r="E336" s="465"/>
      <c r="F336" s="465"/>
      <c r="G336" s="465"/>
      <c r="H336" s="465"/>
      <c r="I336" s="465"/>
      <c r="J336" s="465"/>
      <c r="K336" s="465"/>
      <c r="L336" s="465"/>
    </row>
    <row r="337" spans="1:12" ht="14.25">
      <c r="A337" s="465"/>
      <c r="B337" s="465"/>
      <c r="C337" s="465"/>
      <c r="D337" s="465"/>
      <c r="E337" s="465"/>
      <c r="F337" s="465"/>
      <c r="G337" s="465"/>
      <c r="H337" s="465"/>
      <c r="I337" s="465"/>
      <c r="J337" s="465"/>
      <c r="K337" s="465"/>
      <c r="L337" s="465"/>
    </row>
    <row r="338" spans="1:12" ht="14.25">
      <c r="A338" s="465"/>
      <c r="B338" s="465"/>
      <c r="C338" s="465"/>
      <c r="D338" s="465"/>
      <c r="E338" s="465"/>
      <c r="F338" s="465"/>
      <c r="G338" s="465"/>
      <c r="H338" s="465"/>
      <c r="I338" s="465"/>
      <c r="J338" s="465"/>
      <c r="K338" s="465"/>
      <c r="L338" s="465"/>
    </row>
    <row r="339" spans="1:12" ht="14.25">
      <c r="A339" s="465"/>
      <c r="B339" s="465"/>
      <c r="C339" s="465"/>
      <c r="D339" s="465"/>
      <c r="E339" s="465"/>
      <c r="F339" s="465"/>
      <c r="G339" s="465"/>
      <c r="H339" s="465"/>
      <c r="I339" s="465"/>
      <c r="J339" s="465"/>
      <c r="K339" s="465"/>
      <c r="L339" s="465"/>
    </row>
    <row r="340" spans="1:12" ht="14.25">
      <c r="A340" s="465"/>
      <c r="B340" s="465"/>
      <c r="C340" s="465"/>
      <c r="D340" s="465"/>
      <c r="E340" s="465"/>
      <c r="F340" s="465"/>
      <c r="G340" s="465"/>
      <c r="H340" s="465"/>
      <c r="I340" s="465"/>
      <c r="J340" s="465"/>
      <c r="K340" s="465"/>
      <c r="L340" s="465"/>
    </row>
    <row r="341" spans="1:12" ht="14.25">
      <c r="A341" s="465"/>
      <c r="B341" s="465"/>
      <c r="C341" s="465"/>
      <c r="D341" s="465"/>
      <c r="E341" s="465"/>
      <c r="F341" s="465"/>
      <c r="G341" s="465"/>
      <c r="H341" s="465"/>
      <c r="I341" s="465"/>
      <c r="J341" s="465"/>
      <c r="K341" s="465"/>
      <c r="L341" s="465"/>
    </row>
    <row r="342" spans="1:12" ht="14.25">
      <c r="A342" s="465"/>
      <c r="B342" s="465"/>
      <c r="C342" s="465"/>
      <c r="D342" s="465"/>
      <c r="E342" s="465"/>
      <c r="F342" s="465"/>
      <c r="G342" s="465"/>
      <c r="H342" s="465"/>
      <c r="I342" s="465"/>
      <c r="J342" s="465"/>
      <c r="K342" s="465"/>
      <c r="L342" s="465"/>
    </row>
    <row r="343" spans="1:12" ht="14.25">
      <c r="A343" s="465"/>
      <c r="B343" s="465"/>
      <c r="C343" s="465"/>
      <c r="D343" s="465"/>
      <c r="E343" s="465"/>
      <c r="F343" s="465"/>
      <c r="G343" s="465"/>
      <c r="H343" s="465"/>
      <c r="I343" s="465"/>
      <c r="J343" s="465"/>
      <c r="K343" s="465"/>
      <c r="L343" s="465"/>
    </row>
    <row r="344" spans="1:12" ht="14.25">
      <c r="A344" s="465"/>
      <c r="B344" s="465"/>
      <c r="C344" s="465"/>
      <c r="D344" s="465"/>
      <c r="E344" s="465"/>
      <c r="F344" s="465"/>
      <c r="G344" s="465"/>
      <c r="H344" s="465"/>
      <c r="I344" s="465"/>
      <c r="J344" s="465"/>
      <c r="K344" s="465"/>
      <c r="L344" s="465"/>
    </row>
    <row r="345" spans="1:12" ht="14.25">
      <c r="A345" s="465"/>
      <c r="B345" s="465"/>
      <c r="C345" s="465"/>
      <c r="D345" s="465"/>
      <c r="E345" s="465"/>
      <c r="F345" s="465"/>
      <c r="G345" s="465"/>
      <c r="H345" s="465"/>
      <c r="I345" s="465"/>
      <c r="J345" s="465"/>
      <c r="K345" s="465"/>
      <c r="L345" s="465"/>
    </row>
    <row r="346" spans="1:12" ht="14.25">
      <c r="A346" s="465"/>
      <c r="B346" s="465"/>
      <c r="C346" s="465"/>
      <c r="D346" s="465"/>
      <c r="E346" s="465"/>
      <c r="F346" s="465"/>
      <c r="G346" s="465"/>
      <c r="H346" s="465"/>
      <c r="I346" s="465"/>
      <c r="J346" s="465"/>
      <c r="K346" s="465"/>
      <c r="L346" s="465"/>
    </row>
    <row r="347" spans="1:12" ht="14.25">
      <c r="A347" s="465"/>
      <c r="B347" s="465"/>
      <c r="C347" s="465"/>
      <c r="D347" s="465"/>
      <c r="E347" s="465"/>
      <c r="F347" s="465"/>
      <c r="G347" s="465"/>
      <c r="H347" s="465"/>
      <c r="I347" s="465"/>
      <c r="J347" s="465"/>
      <c r="K347" s="465"/>
      <c r="L347" s="465"/>
    </row>
    <row r="348" spans="1:12" ht="14.25">
      <c r="A348" s="465"/>
      <c r="B348" s="465"/>
      <c r="C348" s="465"/>
      <c r="D348" s="465"/>
      <c r="E348" s="465"/>
      <c r="F348" s="465"/>
      <c r="G348" s="465"/>
      <c r="H348" s="465"/>
      <c r="I348" s="465"/>
      <c r="J348" s="465"/>
      <c r="K348" s="465"/>
      <c r="L348" s="465"/>
    </row>
    <row r="349" spans="1:12" ht="14.25">
      <c r="A349" s="465"/>
      <c r="B349" s="465"/>
      <c r="C349" s="465"/>
      <c r="D349" s="465"/>
      <c r="E349" s="465"/>
      <c r="F349" s="465"/>
      <c r="G349" s="465"/>
      <c r="H349" s="465"/>
      <c r="I349" s="465"/>
      <c r="J349" s="465"/>
      <c r="K349" s="465"/>
      <c r="L349" s="465"/>
    </row>
    <row r="350" spans="1:12" ht="14.25">
      <c r="A350" s="465"/>
      <c r="B350" s="465"/>
      <c r="C350" s="465"/>
      <c r="D350" s="465"/>
      <c r="E350" s="465"/>
      <c r="F350" s="465"/>
      <c r="G350" s="465"/>
      <c r="H350" s="465"/>
      <c r="I350" s="465"/>
      <c r="J350" s="465"/>
      <c r="K350" s="465"/>
      <c r="L350" s="465"/>
    </row>
    <row r="351" spans="1:12" ht="14.25">
      <c r="A351" s="465"/>
      <c r="B351" s="465"/>
      <c r="C351" s="465"/>
      <c r="D351" s="465"/>
      <c r="E351" s="465"/>
      <c r="F351" s="465"/>
      <c r="G351" s="465"/>
      <c r="H351" s="465"/>
      <c r="I351" s="465"/>
      <c r="J351" s="465"/>
      <c r="K351" s="465"/>
      <c r="L351" s="465"/>
    </row>
    <row r="352" spans="1:12" ht="14.25">
      <c r="A352" s="465"/>
      <c r="B352" s="465"/>
      <c r="C352" s="465"/>
      <c r="D352" s="465"/>
      <c r="E352" s="465"/>
      <c r="F352" s="465"/>
      <c r="G352" s="465"/>
      <c r="H352" s="465"/>
      <c r="I352" s="465"/>
      <c r="J352" s="465"/>
      <c r="K352" s="465"/>
      <c r="L352" s="465"/>
    </row>
    <row r="353" spans="1:12" ht="14.25">
      <c r="A353" s="465"/>
      <c r="B353" s="465"/>
      <c r="C353" s="465"/>
      <c r="D353" s="465"/>
      <c r="E353" s="465"/>
      <c r="F353" s="465"/>
      <c r="G353" s="465"/>
      <c r="H353" s="465"/>
      <c r="I353" s="465"/>
      <c r="J353" s="465"/>
      <c r="K353" s="465"/>
      <c r="L353" s="465"/>
    </row>
    <row r="354" spans="1:12" ht="14.25">
      <c r="A354" s="465"/>
      <c r="B354" s="465"/>
      <c r="C354" s="465"/>
      <c r="D354" s="465"/>
      <c r="E354" s="465"/>
      <c r="F354" s="465"/>
      <c r="G354" s="465"/>
      <c r="H354" s="465"/>
      <c r="I354" s="465"/>
      <c r="J354" s="465"/>
      <c r="K354" s="465"/>
      <c r="L354" s="465"/>
    </row>
  </sheetData>
  <sheetProtection sheet="1" objects="1" scenarios="1"/>
  <mergeCells count="55">
    <mergeCell ref="B110:K110"/>
    <mergeCell ref="C120:D120"/>
    <mergeCell ref="B106:K106"/>
    <mergeCell ref="B108:K108"/>
    <mergeCell ref="B6:K6"/>
    <mergeCell ref="B7:K7"/>
    <mergeCell ref="B8:K8"/>
    <mergeCell ref="B10:K10"/>
    <mergeCell ref="B12:K12"/>
    <mergeCell ref="C25:D25"/>
    <mergeCell ref="F23:G23"/>
    <mergeCell ref="B30:K30"/>
    <mergeCell ref="B31:K31"/>
    <mergeCell ref="B33:K33"/>
    <mergeCell ref="B35:K35"/>
    <mergeCell ref="C41:D41"/>
    <mergeCell ref="B48:C48"/>
    <mergeCell ref="G50:H50"/>
    <mergeCell ref="I51:K51"/>
    <mergeCell ref="B52:K52"/>
    <mergeCell ref="B53:K53"/>
    <mergeCell ref="B58:K58"/>
    <mergeCell ref="B55:K55"/>
    <mergeCell ref="B57:K57"/>
    <mergeCell ref="C74:D74"/>
    <mergeCell ref="C77:D77"/>
    <mergeCell ref="C80:D80"/>
    <mergeCell ref="C83:D83"/>
    <mergeCell ref="B85:K85"/>
    <mergeCell ref="B86:K86"/>
    <mergeCell ref="B88:K88"/>
    <mergeCell ref="B90:K90"/>
    <mergeCell ref="C94:D94"/>
    <mergeCell ref="C97:D97"/>
    <mergeCell ref="C100:D100"/>
    <mergeCell ref="B105:K105"/>
    <mergeCell ref="C136:D136"/>
    <mergeCell ref="C137:D137"/>
    <mergeCell ref="C114:D114"/>
    <mergeCell ref="C117:D117"/>
    <mergeCell ref="B125:K125"/>
    <mergeCell ref="B126:K126"/>
    <mergeCell ref="B128:K128"/>
    <mergeCell ref="B130:K130"/>
    <mergeCell ref="C123:D123"/>
    <mergeCell ref="B144:K144"/>
    <mergeCell ref="C147:D147"/>
    <mergeCell ref="J147:K147"/>
    <mergeCell ref="C148:D148"/>
    <mergeCell ref="J148:K148"/>
    <mergeCell ref="C103:D103"/>
    <mergeCell ref="C133:D133"/>
    <mergeCell ref="H133:I133"/>
    <mergeCell ref="C134:D134"/>
    <mergeCell ref="H134:I134"/>
  </mergeCells>
  <printOptions/>
  <pageMargins left="0.7" right="0.7" top="0.75" bottom="0.75" header="0.3" footer="0.3"/>
  <pageSetup blackAndWhite="1" horizontalDpi="600" verticalDpi="600" orientation="portrait" scale="71" r:id="rId1"/>
</worksheet>
</file>

<file path=xl/worksheets/sheet4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488" t="s">
        <v>642</v>
      </c>
    </row>
    <row r="3" ht="31.5">
      <c r="A3" s="489" t="s">
        <v>643</v>
      </c>
    </row>
    <row r="4" ht="15.75">
      <c r="A4" s="490" t="s">
        <v>644</v>
      </c>
    </row>
    <row r="7" ht="31.5">
      <c r="A7" s="489" t="s">
        <v>645</v>
      </c>
    </row>
    <row r="8" ht="15.75">
      <c r="A8" s="490" t="s">
        <v>646</v>
      </c>
    </row>
    <row r="11" ht="15.75">
      <c r="A11" s="390" t="s">
        <v>647</v>
      </c>
    </row>
    <row r="12" ht="15.75">
      <c r="A12" s="490" t="s">
        <v>648</v>
      </c>
    </row>
    <row r="15" ht="15.75">
      <c r="A15" s="390" t="s">
        <v>649</v>
      </c>
    </row>
    <row r="16" ht="15.75">
      <c r="A16" s="490" t="s">
        <v>650</v>
      </c>
    </row>
    <row r="19" ht="15.75">
      <c r="A19" s="390" t="s">
        <v>651</v>
      </c>
    </row>
    <row r="20" ht="15.75">
      <c r="A20" s="490" t="s">
        <v>652</v>
      </c>
    </row>
    <row r="23" ht="15.75">
      <c r="A23" s="390" t="s">
        <v>653</v>
      </c>
    </row>
    <row r="24" ht="15.75">
      <c r="A24" s="490" t="s">
        <v>654</v>
      </c>
    </row>
    <row r="27" ht="15.75">
      <c r="A27" s="390" t="s">
        <v>655</v>
      </c>
    </row>
    <row r="28" ht="15.75">
      <c r="A28" s="490" t="s">
        <v>656</v>
      </c>
    </row>
    <row r="31" ht="15.75">
      <c r="A31" s="390" t="s">
        <v>657</v>
      </c>
    </row>
    <row r="32" ht="15.75">
      <c r="A32" s="490" t="s">
        <v>658</v>
      </c>
    </row>
    <row r="35" ht="15.75">
      <c r="A35" s="390" t="s">
        <v>659</v>
      </c>
    </row>
    <row r="36" ht="15.75">
      <c r="A36" s="490" t="s">
        <v>660</v>
      </c>
    </row>
    <row r="39" ht="15.75">
      <c r="A39" s="390" t="s">
        <v>661</v>
      </c>
    </row>
    <row r="40" ht="15.75">
      <c r="A40" s="490" t="s">
        <v>662</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r:id="rId11"/>
</worksheet>
</file>

<file path=xl/worksheets/sheet42.xml><?xml version="1.0" encoding="utf-8"?>
<worksheet xmlns="http://schemas.openxmlformats.org/spreadsheetml/2006/main" xmlns:r="http://schemas.openxmlformats.org/officeDocument/2006/relationships">
  <dimension ref="A1:A198"/>
  <sheetViews>
    <sheetView zoomScalePageLayoutView="0" workbookViewId="0" topLeftCell="A1">
      <selection activeCell="C13" sqref="C13"/>
    </sheetView>
  </sheetViews>
  <sheetFormatPr defaultColWidth="8.796875" defaultRowHeight="15"/>
  <cols>
    <col min="1" max="1" width="82.8984375" style="8" customWidth="1"/>
    <col min="2" max="16384" width="8.8984375" style="8" customWidth="1"/>
  </cols>
  <sheetData>
    <row r="1" ht="15.75">
      <c r="A1" s="409" t="s">
        <v>967</v>
      </c>
    </row>
    <row r="2" ht="15.75">
      <c r="A2" s="8" t="s">
        <v>968</v>
      </c>
    </row>
    <row r="4" ht="15.75">
      <c r="A4" s="409" t="s">
        <v>964</v>
      </c>
    </row>
    <row r="5" ht="15.75">
      <c r="A5" s="8" t="s">
        <v>965</v>
      </c>
    </row>
    <row r="7" ht="15.75">
      <c r="A7" s="409" t="s">
        <v>961</v>
      </c>
    </row>
    <row r="8" ht="15.75">
      <c r="A8" s="8" t="s">
        <v>962</v>
      </c>
    </row>
    <row r="9" ht="15.75">
      <c r="A9" s="8" t="s">
        <v>963</v>
      </c>
    </row>
    <row r="11" ht="15.75">
      <c r="A11" s="409" t="s">
        <v>886</v>
      </c>
    </row>
    <row r="12" ht="15.75">
      <c r="A12" s="743" t="s">
        <v>887</v>
      </c>
    </row>
    <row r="13" ht="15.75">
      <c r="A13" s="8" t="s">
        <v>888</v>
      </c>
    </row>
    <row r="14" ht="15.75">
      <c r="A14" s="8" t="s">
        <v>889</v>
      </c>
    </row>
    <row r="15" ht="15.75">
      <c r="A15" s="8" t="s">
        <v>890</v>
      </c>
    </row>
    <row r="16" ht="15.75">
      <c r="A16" s="8" t="s">
        <v>891</v>
      </c>
    </row>
    <row r="17" ht="15.75">
      <c r="A17" s="8" t="s">
        <v>892</v>
      </c>
    </row>
    <row r="18" ht="15.75">
      <c r="A18" s="8" t="s">
        <v>893</v>
      </c>
    </row>
    <row r="19" ht="15.75">
      <c r="A19" s="8" t="s">
        <v>894</v>
      </c>
    </row>
    <row r="20" ht="15.75">
      <c r="A20" s="8" t="s">
        <v>895</v>
      </c>
    </row>
    <row r="21" ht="15.75">
      <c r="A21" s="8" t="s">
        <v>896</v>
      </c>
    </row>
    <row r="22" ht="15.75">
      <c r="A22" s="8" t="s">
        <v>897</v>
      </c>
    </row>
    <row r="23" ht="15.75">
      <c r="A23" s="8" t="s">
        <v>898</v>
      </c>
    </row>
    <row r="24" ht="15.75">
      <c r="A24" s="8" t="s">
        <v>899</v>
      </c>
    </row>
    <row r="25" ht="15.75">
      <c r="A25" s="8" t="s">
        <v>900</v>
      </c>
    </row>
    <row r="26" ht="15.75">
      <c r="A26" s="8" t="s">
        <v>901</v>
      </c>
    </row>
    <row r="27" ht="15.75">
      <c r="A27" s="8" t="s">
        <v>902</v>
      </c>
    </row>
    <row r="28" ht="47.25">
      <c r="A28" s="11" t="s">
        <v>903</v>
      </c>
    </row>
    <row r="29" ht="15.75">
      <c r="A29" s="10" t="s">
        <v>904</v>
      </c>
    </row>
    <row r="30" ht="31.5">
      <c r="A30" s="11" t="s">
        <v>905</v>
      </c>
    </row>
    <row r="31" ht="15.75">
      <c r="A31" s="8" t="s">
        <v>906</v>
      </c>
    </row>
    <row r="32" ht="15.75">
      <c r="A32" s="8" t="s">
        <v>907</v>
      </c>
    </row>
    <row r="33" ht="15.75">
      <c r="A33" s="8" t="s">
        <v>908</v>
      </c>
    </row>
    <row r="34" ht="15.75">
      <c r="A34" s="8" t="s">
        <v>909</v>
      </c>
    </row>
    <row r="35" ht="15.75">
      <c r="A35" s="8" t="s">
        <v>910</v>
      </c>
    </row>
    <row r="36" ht="15.75">
      <c r="A36" s="8" t="s">
        <v>911</v>
      </c>
    </row>
    <row r="37" ht="15.75">
      <c r="A37" s="8" t="s">
        <v>912</v>
      </c>
    </row>
    <row r="38" ht="15.75">
      <c r="A38" s="8" t="s">
        <v>913</v>
      </c>
    </row>
    <row r="39" ht="15.75">
      <c r="A39" s="8" t="s">
        <v>914</v>
      </c>
    </row>
    <row r="40" ht="15.75">
      <c r="A40" s="8" t="s">
        <v>915</v>
      </c>
    </row>
    <row r="41" ht="15.75">
      <c r="A41" s="8" t="s">
        <v>916</v>
      </c>
    </row>
    <row r="42" ht="15.75">
      <c r="A42" s="8" t="s">
        <v>917</v>
      </c>
    </row>
    <row r="43" ht="15.75">
      <c r="A43" s="8" t="s">
        <v>918</v>
      </c>
    </row>
    <row r="44" ht="15.75">
      <c r="A44" s="8" t="s">
        <v>919</v>
      </c>
    </row>
    <row r="45" ht="15.75">
      <c r="A45" s="8" t="s">
        <v>920</v>
      </c>
    </row>
    <row r="46" ht="15.75">
      <c r="A46" s="8" t="s">
        <v>921</v>
      </c>
    </row>
    <row r="48" ht="15.75">
      <c r="A48" s="409" t="s">
        <v>793</v>
      </c>
    </row>
    <row r="49" ht="15.75">
      <c r="A49" s="8" t="s">
        <v>794</v>
      </c>
    </row>
    <row r="50" ht="15.75">
      <c r="A50" s="8" t="s">
        <v>795</v>
      </c>
    </row>
    <row r="52" ht="15.75">
      <c r="A52" s="409" t="s">
        <v>791</v>
      </c>
    </row>
    <row r="53" ht="15.75">
      <c r="A53" s="8" t="s">
        <v>792</v>
      </c>
    </row>
    <row r="55" ht="15.75">
      <c r="A55" s="409" t="s">
        <v>789</v>
      </c>
    </row>
    <row r="56" ht="15.75">
      <c r="A56" s="8" t="s">
        <v>790</v>
      </c>
    </row>
    <row r="58" ht="15.75">
      <c r="A58" s="409" t="s">
        <v>788</v>
      </c>
    </row>
    <row r="59" ht="15.75">
      <c r="A59" s="411" t="s">
        <v>787</v>
      </c>
    </row>
    <row r="61" ht="15.75">
      <c r="A61" s="409" t="s">
        <v>639</v>
      </c>
    </row>
    <row r="62" ht="15.75">
      <c r="A62" s="411" t="s">
        <v>636</v>
      </c>
    </row>
    <row r="63" ht="15.75">
      <c r="A63" s="411" t="s">
        <v>637</v>
      </c>
    </row>
    <row r="64" ht="31.5">
      <c r="A64" s="410" t="s">
        <v>638</v>
      </c>
    </row>
    <row r="65" ht="15.75">
      <c r="A65" s="411" t="s">
        <v>751</v>
      </c>
    </row>
    <row r="66" ht="15.75">
      <c r="A66" s="411" t="s">
        <v>752</v>
      </c>
    </row>
    <row r="67" ht="15.75">
      <c r="A67" s="411" t="s">
        <v>753</v>
      </c>
    </row>
    <row r="68" ht="15.75">
      <c r="A68" s="411" t="s">
        <v>754</v>
      </c>
    </row>
    <row r="69" ht="15.75">
      <c r="A69" s="411" t="s">
        <v>755</v>
      </c>
    </row>
    <row r="70" ht="15.75">
      <c r="A70" s="411" t="s">
        <v>756</v>
      </c>
    </row>
    <row r="71" ht="15.75">
      <c r="A71" s="411" t="s">
        <v>757</v>
      </c>
    </row>
    <row r="72" ht="15.75">
      <c r="A72" s="411" t="s">
        <v>758</v>
      </c>
    </row>
    <row r="73" ht="15.75">
      <c r="A73" s="411" t="s">
        <v>759</v>
      </c>
    </row>
    <row r="74" ht="15.75">
      <c r="A74" s="411" t="s">
        <v>760</v>
      </c>
    </row>
    <row r="75" ht="15.75">
      <c r="A75" s="411" t="s">
        <v>761</v>
      </c>
    </row>
    <row r="76" ht="15.75">
      <c r="A76" s="411" t="s">
        <v>762</v>
      </c>
    </row>
    <row r="77" ht="15.75">
      <c r="A77" s="411" t="s">
        <v>763</v>
      </c>
    </row>
    <row r="78" ht="15.75">
      <c r="A78" s="411" t="s">
        <v>764</v>
      </c>
    </row>
    <row r="79" ht="15.75">
      <c r="A79" s="411" t="s">
        <v>765</v>
      </c>
    </row>
    <row r="80" ht="15.75">
      <c r="A80" s="411" t="s">
        <v>766</v>
      </c>
    </row>
    <row r="81" ht="15.75">
      <c r="A81" s="411" t="s">
        <v>767</v>
      </c>
    </row>
    <row r="82" ht="15.75">
      <c r="A82" s="411" t="s">
        <v>768</v>
      </c>
    </row>
    <row r="83" ht="15.75">
      <c r="A83" s="411" t="s">
        <v>769</v>
      </c>
    </row>
    <row r="84" ht="15.75">
      <c r="A84" s="411" t="s">
        <v>770</v>
      </c>
    </row>
    <row r="85" ht="15.75">
      <c r="A85" s="411" t="s">
        <v>771</v>
      </c>
    </row>
    <row r="86" ht="15.75">
      <c r="A86" s="411" t="s">
        <v>772</v>
      </c>
    </row>
    <row r="87" ht="15.75">
      <c r="A87" s="411" t="s">
        <v>773</v>
      </c>
    </row>
    <row r="88" ht="15.75">
      <c r="A88" s="411" t="s">
        <v>774</v>
      </c>
    </row>
    <row r="89" ht="15.75">
      <c r="A89" s="411" t="s">
        <v>775</v>
      </c>
    </row>
    <row r="92" ht="15.75">
      <c r="A92" s="345" t="s">
        <v>620</v>
      </c>
    </row>
    <row r="93" ht="15.75">
      <c r="A93" s="8" t="s">
        <v>621</v>
      </c>
    </row>
    <row r="94" ht="15.75">
      <c r="A94" s="8" t="s">
        <v>622</v>
      </c>
    </row>
    <row r="95" ht="15.75">
      <c r="A95" s="8" t="s">
        <v>623</v>
      </c>
    </row>
    <row r="97" ht="15.75">
      <c r="A97" s="345" t="s">
        <v>610</v>
      </c>
    </row>
    <row r="98" ht="15.75">
      <c r="A98" s="8" t="s">
        <v>619</v>
      </c>
    </row>
    <row r="100" ht="15.75">
      <c r="A100" s="345" t="s">
        <v>594</v>
      </c>
    </row>
    <row r="101" ht="15.75">
      <c r="A101" s="343" t="s">
        <v>595</v>
      </c>
    </row>
    <row r="102" ht="15.75">
      <c r="A102" s="343" t="s">
        <v>596</v>
      </c>
    </row>
    <row r="103" ht="15.75">
      <c r="A103" s="343" t="s">
        <v>597</v>
      </c>
    </row>
    <row r="105" ht="15.75">
      <c r="A105" s="321" t="s">
        <v>367</v>
      </c>
    </row>
    <row r="106" ht="15.75">
      <c r="A106" s="330" t="s">
        <v>369</v>
      </c>
    </row>
    <row r="107" ht="15.75">
      <c r="A107" s="328" t="s">
        <v>370</v>
      </c>
    </row>
    <row r="108" ht="15.75">
      <c r="A108" s="328" t="s">
        <v>371</v>
      </c>
    </row>
    <row r="109" ht="21" customHeight="1">
      <c r="A109" s="329" t="s">
        <v>372</v>
      </c>
    </row>
    <row r="110" ht="15.75">
      <c r="A110" s="328" t="s">
        <v>373</v>
      </c>
    </row>
    <row r="111" ht="15.75">
      <c r="A111" s="328" t="s">
        <v>374</v>
      </c>
    </row>
    <row r="112" ht="15.75">
      <c r="A112" s="328" t="s">
        <v>375</v>
      </c>
    </row>
    <row r="113" ht="15.75">
      <c r="A113" s="328" t="s">
        <v>376</v>
      </c>
    </row>
    <row r="114" ht="15.75">
      <c r="A114" s="8" t="s">
        <v>377</v>
      </c>
    </row>
    <row r="116" ht="15.75">
      <c r="A116" s="321" t="s">
        <v>338</v>
      </c>
    </row>
    <row r="117" ht="15.75">
      <c r="A117" s="8" t="s">
        <v>339</v>
      </c>
    </row>
    <row r="118" ht="15.75">
      <c r="A118" s="8" t="s">
        <v>340</v>
      </c>
    </row>
    <row r="119" ht="15.75">
      <c r="A119" s="8" t="s">
        <v>341</v>
      </c>
    </row>
    <row r="120" ht="15.75">
      <c r="A120" s="8" t="s">
        <v>342</v>
      </c>
    </row>
    <row r="122" ht="15.75">
      <c r="A122" s="321" t="s">
        <v>335</v>
      </c>
    </row>
    <row r="123" ht="15.75">
      <c r="A123" s="8" t="s">
        <v>336</v>
      </c>
    </row>
    <row r="124" ht="15.75">
      <c r="A124" s="8" t="s">
        <v>337</v>
      </c>
    </row>
    <row r="126" ht="15.75">
      <c r="A126" s="321" t="s">
        <v>317</v>
      </c>
    </row>
    <row r="127" ht="15.75">
      <c r="A127" s="8" t="s">
        <v>305</v>
      </c>
    </row>
    <row r="128" ht="15.75">
      <c r="A128" s="8" t="s">
        <v>306</v>
      </c>
    </row>
    <row r="129" ht="15.75">
      <c r="A129" s="8" t="s">
        <v>307</v>
      </c>
    </row>
    <row r="130" ht="15.75">
      <c r="A130" s="8" t="s">
        <v>300</v>
      </c>
    </row>
    <row r="131" ht="15.75">
      <c r="A131" s="8" t="s">
        <v>308</v>
      </c>
    </row>
    <row r="132" ht="15.75">
      <c r="A132" s="8" t="s">
        <v>309</v>
      </c>
    </row>
    <row r="133" ht="31.5">
      <c r="A133" s="11" t="s">
        <v>310</v>
      </c>
    </row>
    <row r="134" ht="31.5">
      <c r="A134" s="11" t="s">
        <v>311</v>
      </c>
    </row>
    <row r="135" ht="15.75">
      <c r="A135" s="11" t="s">
        <v>318</v>
      </c>
    </row>
    <row r="136" ht="15.75">
      <c r="A136" s="11" t="s">
        <v>312</v>
      </c>
    </row>
    <row r="137" ht="31.5">
      <c r="A137" s="11" t="s">
        <v>313</v>
      </c>
    </row>
    <row r="138" ht="15.75">
      <c r="A138" s="8" t="s">
        <v>314</v>
      </c>
    </row>
    <row r="139" ht="31.5">
      <c r="A139" s="11" t="s">
        <v>319</v>
      </c>
    </row>
    <row r="140" ht="15.75">
      <c r="A140" s="8" t="s">
        <v>186</v>
      </c>
    </row>
    <row r="141" ht="15.75">
      <c r="A141" s="8" t="s">
        <v>315</v>
      </c>
    </row>
    <row r="142" ht="35.25" customHeight="1">
      <c r="A142" s="8" t="s">
        <v>316</v>
      </c>
    </row>
    <row r="143" ht="20.25" customHeight="1">
      <c r="A143" s="11" t="s">
        <v>185</v>
      </c>
    </row>
    <row r="144" ht="15.75">
      <c r="A144" s="8" t="s">
        <v>187</v>
      </c>
    </row>
    <row r="145" ht="31.5">
      <c r="A145" s="11" t="s">
        <v>183</v>
      </c>
    </row>
    <row r="146" ht="15.75">
      <c r="A146" s="8" t="s">
        <v>184</v>
      </c>
    </row>
    <row r="148" ht="15.75">
      <c r="A148" s="321" t="s">
        <v>320</v>
      </c>
    </row>
    <row r="149" ht="15.75">
      <c r="A149" s="8" t="s">
        <v>321</v>
      </c>
    </row>
    <row r="150" ht="15.75">
      <c r="A150" s="8" t="s">
        <v>322</v>
      </c>
    </row>
    <row r="151" ht="15.75">
      <c r="A151" s="8" t="s">
        <v>323</v>
      </c>
    </row>
    <row r="152" ht="15.75">
      <c r="A152" s="8" t="s">
        <v>324</v>
      </c>
    </row>
    <row r="154" ht="15.75">
      <c r="A154" s="321" t="s">
        <v>297</v>
      </c>
    </row>
    <row r="155" ht="15.75">
      <c r="A155" s="8" t="s">
        <v>298</v>
      </c>
    </row>
    <row r="157" ht="15.75">
      <c r="A157" s="321" t="s">
        <v>292</v>
      </c>
    </row>
    <row r="158" ht="31.5">
      <c r="A158" s="11" t="s">
        <v>293</v>
      </c>
    </row>
    <row r="159" ht="15.75">
      <c r="A159" s="8" t="s">
        <v>294</v>
      </c>
    </row>
    <row r="160" ht="15.75">
      <c r="A160" s="8" t="s">
        <v>296</v>
      </c>
    </row>
    <row r="161" ht="15.75">
      <c r="A161" s="8" t="s">
        <v>295</v>
      </c>
    </row>
    <row r="162" ht="18" customHeight="1"/>
    <row r="163" ht="48.75" customHeight="1">
      <c r="A163" s="8" t="s">
        <v>220</v>
      </c>
    </row>
    <row r="164" ht="47.25">
      <c r="A164" s="11" t="s">
        <v>251</v>
      </c>
    </row>
    <row r="165" ht="15.75">
      <c r="A165" s="8" t="s">
        <v>221</v>
      </c>
    </row>
    <row r="166" ht="15.75">
      <c r="A166" s="8" t="s">
        <v>222</v>
      </c>
    </row>
    <row r="167" ht="15.75">
      <c r="A167" s="8" t="s">
        <v>252</v>
      </c>
    </row>
    <row r="168" ht="15.75">
      <c r="A168" s="8" t="s">
        <v>223</v>
      </c>
    </row>
    <row r="169" ht="15.75">
      <c r="A169" s="8" t="s">
        <v>224</v>
      </c>
    </row>
    <row r="170" ht="15.75">
      <c r="A170" s="8" t="s">
        <v>261</v>
      </c>
    </row>
    <row r="171" ht="15.75">
      <c r="A171" s="8" t="s">
        <v>225</v>
      </c>
    </row>
    <row r="172" ht="15.75">
      <c r="A172" s="8" t="s">
        <v>226</v>
      </c>
    </row>
    <row r="173" ht="31.5">
      <c r="A173" s="11" t="s">
        <v>227</v>
      </c>
    </row>
    <row r="174" ht="31.5">
      <c r="A174" s="11" t="s">
        <v>326</v>
      </c>
    </row>
    <row r="175" ht="15.75">
      <c r="A175" s="8" t="s">
        <v>228</v>
      </c>
    </row>
    <row r="176" ht="15.75">
      <c r="A176" s="8" t="s">
        <v>229</v>
      </c>
    </row>
    <row r="177" ht="15.75">
      <c r="A177" s="8" t="s">
        <v>253</v>
      </c>
    </row>
    <row r="178" ht="15.75">
      <c r="A178" s="8" t="s">
        <v>230</v>
      </c>
    </row>
    <row r="179" ht="15.75">
      <c r="A179" s="8" t="s">
        <v>254</v>
      </c>
    </row>
    <row r="180" ht="31.5">
      <c r="A180" s="11" t="s">
        <v>255</v>
      </c>
    </row>
    <row r="181" ht="15.75">
      <c r="A181" s="8" t="s">
        <v>237</v>
      </c>
    </row>
    <row r="182" ht="15.75">
      <c r="A182" s="8" t="s">
        <v>238</v>
      </c>
    </row>
    <row r="183" ht="31.5">
      <c r="A183" s="11" t="s">
        <v>239</v>
      </c>
    </row>
    <row r="184" ht="15.75">
      <c r="A184" s="8" t="s">
        <v>278</v>
      </c>
    </row>
    <row r="185" ht="15.75">
      <c r="A185" s="8" t="s">
        <v>277</v>
      </c>
    </row>
    <row r="186" ht="15.75">
      <c r="A186" s="8" t="s">
        <v>279</v>
      </c>
    </row>
    <row r="187" ht="15.75">
      <c r="A187" s="8" t="s">
        <v>280</v>
      </c>
    </row>
    <row r="188" ht="15.75">
      <c r="A188" s="8" t="s">
        <v>281</v>
      </c>
    </row>
    <row r="189" ht="15.75">
      <c r="A189" s="8" t="s">
        <v>282</v>
      </c>
    </row>
    <row r="190" ht="15.75">
      <c r="A190" s="8" t="s">
        <v>283</v>
      </c>
    </row>
    <row r="191" ht="15.75">
      <c r="A191" s="8" t="s">
        <v>284</v>
      </c>
    </row>
    <row r="192" ht="15.75">
      <c r="A192" s="8" t="s">
        <v>285</v>
      </c>
    </row>
    <row r="193" ht="15.75">
      <c r="A193" s="8" t="s">
        <v>286</v>
      </c>
    </row>
    <row r="194" ht="15.75">
      <c r="A194" s="8" t="s">
        <v>287</v>
      </c>
    </row>
    <row r="195" ht="15.75">
      <c r="A195" s="8" t="s">
        <v>288</v>
      </c>
    </row>
    <row r="196" ht="15.75">
      <c r="A196" s="8" t="s">
        <v>289</v>
      </c>
    </row>
    <row r="197" ht="15.75">
      <c r="A197" s="8" t="s">
        <v>291</v>
      </c>
    </row>
    <row r="198" ht="15.75">
      <c r="A198" s="8" t="s">
        <v>290</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G92"/>
  <sheetViews>
    <sheetView tabSelected="1" zoomScalePageLayoutView="0" workbookViewId="0" topLeftCell="A1">
      <selection activeCell="F52" sqref="F52"/>
    </sheetView>
  </sheetViews>
  <sheetFormatPr defaultColWidth="8.796875" defaultRowHeight="15"/>
  <cols>
    <col min="1" max="1" width="8.8984375" style="83" customWidth="1"/>
    <col min="2" max="2" width="24.3984375" style="23" customWidth="1"/>
    <col min="3" max="3" width="10.796875" style="23" customWidth="1"/>
    <col min="4" max="4" width="5.796875" style="23" customWidth="1"/>
    <col min="5" max="5" width="14" style="23" customWidth="1"/>
    <col min="6" max="7" width="13.796875" style="23" customWidth="1"/>
    <col min="8" max="16384" width="8.8984375" style="83" customWidth="1"/>
  </cols>
  <sheetData>
    <row r="1" spans="2:7" ht="15.75">
      <c r="B1" s="22"/>
      <c r="C1" s="22"/>
      <c r="D1" s="22"/>
      <c r="E1" s="22"/>
      <c r="F1" s="22"/>
      <c r="G1" s="22">
        <f>inputPrYr!C5</f>
        <v>2013</v>
      </c>
    </row>
    <row r="2" spans="2:7" ht="15.75">
      <c r="B2" s="22"/>
      <c r="C2" s="22"/>
      <c r="D2" s="24" t="s">
        <v>84</v>
      </c>
      <c r="E2" s="22"/>
      <c r="F2" s="22"/>
      <c r="G2" s="119"/>
    </row>
    <row r="3" spans="2:7" ht="15.75">
      <c r="B3" s="791" t="str">
        <f>CONCATENATE("To the Clerk of ",inputPrYr!D3,", State of Kansas")</f>
        <v>To the Clerk of Sedgwick County, State of Kansas</v>
      </c>
      <c r="C3" s="781"/>
      <c r="D3" s="781"/>
      <c r="E3" s="781"/>
      <c r="F3" s="781"/>
      <c r="G3" s="781"/>
    </row>
    <row r="4" spans="2:7" ht="15.75">
      <c r="B4" s="34" t="s">
        <v>624</v>
      </c>
      <c r="C4" s="33"/>
      <c r="D4" s="33"/>
      <c r="E4" s="33"/>
      <c r="F4" s="33"/>
      <c r="G4" s="33"/>
    </row>
    <row r="5" spans="2:7" ht="15.75">
      <c r="B5" s="789" t="str">
        <f>(inputPrYr!D2)</f>
        <v>Valley Center</v>
      </c>
      <c r="C5" s="790"/>
      <c r="D5" s="790"/>
      <c r="E5" s="790"/>
      <c r="F5" s="790"/>
      <c r="G5" s="790"/>
    </row>
    <row r="6" spans="2:7" ht="15.75">
      <c r="B6" s="34" t="s">
        <v>334</v>
      </c>
      <c r="C6" s="33"/>
      <c r="D6" s="33"/>
      <c r="E6" s="33"/>
      <c r="F6" s="33"/>
      <c r="G6" s="33"/>
    </row>
    <row r="7" spans="2:7" ht="15.75">
      <c r="B7" s="34" t="s">
        <v>0</v>
      </c>
      <c r="C7" s="33"/>
      <c r="D7" s="33"/>
      <c r="E7" s="33"/>
      <c r="F7" s="33"/>
      <c r="G7" s="33"/>
    </row>
    <row r="8" spans="2:7" ht="15.75">
      <c r="B8" s="34" t="str">
        <f>CONCATENATE("maximum expenditures for the various funds for the year ",G1,"; and")</f>
        <v>maximum expenditures for the various funds for the year 2013; and</v>
      </c>
      <c r="C8" s="33"/>
      <c r="D8" s="33"/>
      <c r="E8" s="33"/>
      <c r="F8" s="33"/>
      <c r="G8" s="33"/>
    </row>
    <row r="9" spans="2:7" ht="15.75">
      <c r="B9" s="34" t="str">
        <f>CONCATENATE("(3) the Amount(s) of ",G1-1," Ad Valorem Tax are within statutory limitations.")</f>
        <v>(3) the Amount(s) of 2012 Ad Valorem Tax are within statutory limitations.</v>
      </c>
      <c r="C9" s="33"/>
      <c r="D9" s="33"/>
      <c r="E9" s="33"/>
      <c r="F9" s="33"/>
      <c r="G9" s="33"/>
    </row>
    <row r="10" spans="2:7" ht="15.75">
      <c r="B10" s="22"/>
      <c r="C10" s="22"/>
      <c r="D10" s="22"/>
      <c r="E10" s="120" t="str">
        <f>CONCATENATE("",G1," Adopted Budget")</f>
        <v>2013 Adopted Budget</v>
      </c>
      <c r="F10" s="121"/>
      <c r="G10" s="122"/>
    </row>
    <row r="11" spans="2:7" ht="21" customHeight="1">
      <c r="B11" s="22"/>
      <c r="C11" s="22"/>
      <c r="D11" s="123"/>
      <c r="E11" s="124" t="s">
        <v>1</v>
      </c>
      <c r="F11" s="125" t="s">
        <v>179</v>
      </c>
      <c r="G11" s="125" t="s">
        <v>2</v>
      </c>
    </row>
    <row r="12" spans="2:7" ht="15.75">
      <c r="B12" s="29"/>
      <c r="C12" s="22"/>
      <c r="D12" s="125" t="s">
        <v>3</v>
      </c>
      <c r="E12" s="126" t="s">
        <v>264</v>
      </c>
      <c r="F12" s="127" t="str">
        <f>CONCATENATE("",G1-1," Ad")</f>
        <v>2012 Ad</v>
      </c>
      <c r="G12" s="126" t="s">
        <v>4</v>
      </c>
    </row>
    <row r="13" spans="2:7" ht="15.75">
      <c r="B13" s="128" t="s">
        <v>5</v>
      </c>
      <c r="C13" s="55"/>
      <c r="D13" s="129" t="s">
        <v>6</v>
      </c>
      <c r="E13" s="129" t="s">
        <v>632</v>
      </c>
      <c r="F13" s="130" t="s">
        <v>180</v>
      </c>
      <c r="G13" s="129" t="s">
        <v>7</v>
      </c>
    </row>
    <row r="14" spans="2:7" ht="15.75">
      <c r="B14" s="131" t="str">
        <f>CONCATENATE("Computation to Determine Limit for ",G1,"")</f>
        <v>Computation to Determine Limit for 2013</v>
      </c>
      <c r="C14" s="77"/>
      <c r="D14" s="132">
        <v>2</v>
      </c>
      <c r="E14" s="133"/>
      <c r="F14" s="133"/>
      <c r="G14" s="133"/>
    </row>
    <row r="15" spans="2:7" ht="15.75">
      <c r="B15" s="131" t="s">
        <v>801</v>
      </c>
      <c r="C15" s="55"/>
      <c r="D15" s="129">
        <v>3</v>
      </c>
      <c r="E15" s="126"/>
      <c r="F15" s="126"/>
      <c r="G15" s="126"/>
    </row>
    <row r="16" spans="2:7" ht="15.75">
      <c r="B16" s="131" t="s">
        <v>148</v>
      </c>
      <c r="C16" s="55"/>
      <c r="D16" s="129">
        <v>4</v>
      </c>
      <c r="E16" s="126"/>
      <c r="F16" s="126"/>
      <c r="G16" s="126"/>
    </row>
    <row r="17" spans="2:7" ht="15.75">
      <c r="B17" s="131" t="s">
        <v>8</v>
      </c>
      <c r="C17" s="77"/>
      <c r="D17" s="132">
        <v>5</v>
      </c>
      <c r="E17" s="134"/>
      <c r="F17" s="134"/>
      <c r="G17" s="134"/>
    </row>
    <row r="18" spans="2:7" ht="15.75">
      <c r="B18" s="131" t="s">
        <v>9</v>
      </c>
      <c r="C18" s="77"/>
      <c r="D18" s="132">
        <v>6</v>
      </c>
      <c r="E18" s="134"/>
      <c r="F18" s="134"/>
      <c r="G18" s="134"/>
    </row>
    <row r="19" spans="2:7" ht="15.75">
      <c r="B19" s="142" t="str">
        <f>IF(inputPrYr!D19="","","Computation to Determine State Library Grant")</f>
        <v>Computation to Determine State Library Grant</v>
      </c>
      <c r="C19" s="77"/>
      <c r="D19" s="140">
        <f>IF(inputPrYr!D19="","",'Library Grant '!F40)</f>
        <v>7</v>
      </c>
      <c r="E19" s="134"/>
      <c r="F19" s="134"/>
      <c r="G19" s="134"/>
    </row>
    <row r="20" spans="2:7" ht="15.75">
      <c r="B20" s="135" t="s">
        <v>10</v>
      </c>
      <c r="C20" s="136" t="s">
        <v>11</v>
      </c>
      <c r="D20" s="137"/>
      <c r="E20" s="69"/>
      <c r="F20" s="69"/>
      <c r="G20" s="69"/>
    </row>
    <row r="21" spans="2:7" ht="15.75">
      <c r="B21" s="47" t="str">
        <f>inputPrYr!B17</f>
        <v>General</v>
      </c>
      <c r="C21" s="138" t="str">
        <f>IF(inputPrYr!C17&gt;0,(inputPrYr!C17),"  ")</f>
        <v>12-101a</v>
      </c>
      <c r="D21" s="132">
        <f>IF(general!D59&gt;0,general!D59,"")</f>
        <v>8</v>
      </c>
      <c r="E21" s="520">
        <f>IF(general!$E$111&lt;&gt;0,general!$E$111,"  ")</f>
        <v>2235160</v>
      </c>
      <c r="F21" s="561">
        <f>IF(general!$E$118&lt;&gt;0,general!$E$118,0)</f>
        <v>779519</v>
      </c>
      <c r="G21" s="560">
        <f>IF($G$50=0,"",ROUND(F21/$G$50*1000,3))</f>
      </c>
    </row>
    <row r="22" spans="2:7" ht="15.75">
      <c r="B22" s="68" t="str">
        <f>IF(inputPrYr!$B18&gt;"  ",(inputPrYr!$B18),"  ")</f>
        <v>Debt Service</v>
      </c>
      <c r="C22" s="138" t="str">
        <f>IF(inputPrYr!C18&gt;0,(inputPrYr!C18),"  ")</f>
        <v>10-113</v>
      </c>
      <c r="D22" s="132">
        <f>IF('DebtSvs-Library'!C83=0,"",'DebtSvs-Library'!C83)</f>
        <v>9</v>
      </c>
      <c r="E22" s="520">
        <f>IF('DebtSvs-Library'!E33&lt;&gt;0,'DebtSvs-Library'!E33,"  ")</f>
        <v>2064545</v>
      </c>
      <c r="F22" s="561">
        <f>IF('DebtSvs-Library'!E40&lt;&gt;0,'DebtSvs-Library'!E40,0)</f>
        <v>699970</v>
      </c>
      <c r="G22" s="560">
        <f>IF($G$50=0,"",ROUND(F22/$G$50*1000,3))</f>
      </c>
    </row>
    <row r="23" spans="2:7" ht="15.75">
      <c r="B23" s="68" t="str">
        <f>IF(inputPrYr!$B19&gt;"  ",(inputPrYr!$B19),"  ")</f>
        <v>Library</v>
      </c>
      <c r="C23" s="138" t="str">
        <f>IF(inputPrYr!C19&gt;0,(inputPrYr!C19),"  ")</f>
        <v>12-1220</v>
      </c>
      <c r="D23" s="132">
        <f>IF('DebtSvs-Library'!C83=0,"",'DebtSvs-Library'!C83)</f>
        <v>9</v>
      </c>
      <c r="E23" s="520">
        <f>IF('DebtSvs-Library'!E73&lt;&gt;0,'DebtSvs-Library'!E73,"  ")</f>
        <v>231700</v>
      </c>
      <c r="F23" s="561">
        <f>IF('DebtSvs-Library'!E80&lt;&gt;0,'DebtSvs-Library'!E80,0)</f>
        <v>193882</v>
      </c>
      <c r="G23" s="560">
        <f>IF($G$50=0,"",ROUND(F23/$G$50*1000,3))</f>
      </c>
    </row>
    <row r="24" spans="2:7" ht="15.75">
      <c r="B24" s="68" t="str">
        <f>IF(inputPrYr!$B21&gt;"  ",(inputPrYr!$B21),"  ")</f>
        <v>Employee Benefit</v>
      </c>
      <c r="C24" s="138" t="str">
        <f>IF(inputPrYr!C21&gt;0,(inputPrYr!C21),"  ")</f>
        <v>12-16, 102</v>
      </c>
      <c r="D24" s="132">
        <f>IF('levy page9'!C83&gt;0,'levy page9'!C83,"  ")</f>
        <v>10</v>
      </c>
      <c r="E24" s="520">
        <f>IF('levy page9'!$E$33&gt;0,'levy page9'!$E$33,"  ")</f>
        <v>686000</v>
      </c>
      <c r="F24" s="561">
        <f>IF('levy page9'!$E$40&lt;&gt;0,'levy page9'!$E$40,0)</f>
        <v>593106</v>
      </c>
      <c r="G24" s="560">
        <f aca="true" t="shared" si="0" ref="G24:G33">IF($G$50=0,"",ROUND(F24/$G$50*1000,3))</f>
      </c>
    </row>
    <row r="25" spans="2:7" ht="15.75">
      <c r="B25" s="68" t="str">
        <f>IF(inputPrYr!$B22&gt;"  ",(inputPrYr!$B22),"  ")</f>
        <v>Emergency Equipment</v>
      </c>
      <c r="C25" s="138" t="str">
        <f>IF(inputPrYr!C22&gt;0,(inputPrYr!C22),"  ")</f>
        <v>12-110b</v>
      </c>
      <c r="D25" s="132">
        <f>IF('levy page9'!C83&gt;0,'levy page9'!C83,"  ")</f>
        <v>10</v>
      </c>
      <c r="E25" s="520">
        <f>IF('levy page9'!$E$73&gt;0,'levy page9'!$E$73,"  ")</f>
        <v>47700</v>
      </c>
      <c r="F25" s="561">
        <f>IF('levy page9'!$E$80&lt;&gt;0,'levy page9'!$E$80,0)</f>
        <v>43080</v>
      </c>
      <c r="G25" s="560">
        <f t="shared" si="0"/>
      </c>
    </row>
    <row r="26" spans="2:7" ht="15.75">
      <c r="B26" s="68" t="str">
        <f>IF(inputPrYr!$B23&gt;"  ",(inputPrYr!$B23),"  ")</f>
        <v>  </v>
      </c>
      <c r="C26" s="138" t="str">
        <f>IF(inputPrYr!C23&gt;0,(inputPrYr!C23),"  ")</f>
        <v>  </v>
      </c>
      <c r="D26" s="132" t="str">
        <f>IF('levy page10'!C83&gt;0,'levy page10'!C83,"  ")</f>
        <v>  </v>
      </c>
      <c r="E26" s="520" t="str">
        <f>IF('levy page10'!$E$33&gt;0,'levy page10'!$E$33,"  ")</f>
        <v>  </v>
      </c>
      <c r="F26" s="561">
        <f>IF('levy page10'!$E$40&lt;&gt;0,'levy page10'!$E$40,0)</f>
        <v>0</v>
      </c>
      <c r="G26" s="560">
        <f t="shared" si="0"/>
      </c>
    </row>
    <row r="27" spans="2:7" ht="15.75">
      <c r="B27" s="68" t="str">
        <f>IF(inputPrYr!$B24&gt;"  ",(inputPrYr!$B24),"  ")</f>
        <v>  </v>
      </c>
      <c r="C27" s="138" t="str">
        <f>IF(inputPrYr!C24&gt;0,(inputPrYr!C24),"  ")</f>
        <v>  </v>
      </c>
      <c r="D27" s="132" t="str">
        <f>IF('levy page10'!C83&gt;0,'levy page10'!C83,"  ")</f>
        <v>  </v>
      </c>
      <c r="E27" s="520" t="str">
        <f>IF('levy page10'!$E$73&gt;0,'levy page10'!$E$73,"  ")</f>
        <v>  </v>
      </c>
      <c r="F27" s="561">
        <f>IF('levy page10'!$E$80&lt;&gt;0,'levy page10'!$E$80,0)</f>
        <v>0</v>
      </c>
      <c r="G27" s="560">
        <f t="shared" si="0"/>
      </c>
    </row>
    <row r="28" spans="2:7" ht="15.75">
      <c r="B28" s="68" t="str">
        <f>IF(inputPrYr!$B25&gt;"  ",(inputPrYr!$B25),"  ")</f>
        <v>  </v>
      </c>
      <c r="C28" s="138" t="str">
        <f>IF(inputPrYr!C25&gt;0,(inputPrYr!C25),"  ")</f>
        <v>  </v>
      </c>
      <c r="D28" s="132" t="str">
        <f>IF('levy page11'!C83&gt;0,'levy page11'!C83,"  ")</f>
        <v>  </v>
      </c>
      <c r="E28" s="520" t="str">
        <f>IF('levy page11'!$E$33&gt;0,'levy page11'!$E$33,"  ")</f>
        <v>  </v>
      </c>
      <c r="F28" s="561">
        <f>IF('levy page11'!$E$40&lt;&gt;0,'levy page11'!$E$40,0)</f>
        <v>0</v>
      </c>
      <c r="G28" s="560">
        <f t="shared" si="0"/>
      </c>
    </row>
    <row r="29" spans="2:7" ht="15.75">
      <c r="B29" s="68" t="str">
        <f>IF(inputPrYr!$B26&gt;"  ",(inputPrYr!$B26),"  ")</f>
        <v>  </v>
      </c>
      <c r="C29" s="138" t="str">
        <f>IF(inputPrYr!C26&gt;0,(inputPrYr!C26),"  ")</f>
        <v>  </v>
      </c>
      <c r="D29" s="132" t="str">
        <f>IF('levy page11'!C83&gt;0,'levy page11'!C83,"  ")</f>
        <v>  </v>
      </c>
      <c r="E29" s="520" t="str">
        <f>IF('levy page11'!$E$73&gt;0,'levy page11'!$E$73,"  ")</f>
        <v>  </v>
      </c>
      <c r="F29" s="561">
        <f>IF('levy page11'!$E$80&lt;&gt;0,'levy page11'!$E$80,0)</f>
        <v>0</v>
      </c>
      <c r="G29" s="560">
        <f t="shared" si="0"/>
      </c>
    </row>
    <row r="30" spans="2:7" ht="15.75">
      <c r="B30" s="68" t="str">
        <f>IF(inputPrYr!$B27&gt;"  ",(inputPrYr!$B27),"  ")</f>
        <v>  </v>
      </c>
      <c r="C30" s="138" t="str">
        <f>IF(inputPrYr!C27&gt;0,(inputPrYr!C27),"  ")</f>
        <v>  </v>
      </c>
      <c r="D30" s="132" t="str">
        <f>IF('levy page12'!C83&gt;0,'levy page12'!C83,"  ")</f>
        <v>  </v>
      </c>
      <c r="E30" s="520" t="str">
        <f>IF('levy page12'!$E$33&gt;0,'levy page12'!$E$33,"  ")</f>
        <v>  </v>
      </c>
      <c r="F30" s="561">
        <f>IF('levy page12'!$E$40&lt;&gt;0,'levy page12'!$E$40,0)</f>
        <v>0</v>
      </c>
      <c r="G30" s="560">
        <f t="shared" si="0"/>
      </c>
    </row>
    <row r="31" spans="2:7" ht="15.75">
      <c r="B31" s="68" t="str">
        <f>IF(inputPrYr!$B28&gt;"  ",(inputPrYr!$B28),"  ")</f>
        <v>  </v>
      </c>
      <c r="C31" s="138" t="str">
        <f>IF(inputPrYr!C28&gt;0,(inputPrYr!C28),"  ")</f>
        <v>  </v>
      </c>
      <c r="D31" s="132" t="str">
        <f>IF('levy page12'!C83&gt;0,'levy page12'!C83,"  ")</f>
        <v>  </v>
      </c>
      <c r="E31" s="520" t="str">
        <f>IF('levy page12'!$E$73&gt;0,'levy page12'!$E$73,"  ")</f>
        <v>  </v>
      </c>
      <c r="F31" s="561">
        <f>IF('levy page12'!$E$80&lt;&gt;0,'levy page12'!$E$80,0)</f>
        <v>0</v>
      </c>
      <c r="G31" s="560">
        <f t="shared" si="0"/>
      </c>
    </row>
    <row r="32" spans="2:7" ht="15.75">
      <c r="B32" s="68" t="str">
        <f>IF(inputPrYr!$B29&gt;"  ",(inputPrYr!$B29),"  ")</f>
        <v>  </v>
      </c>
      <c r="C32" s="138" t="str">
        <f>IF(inputPrYr!C29&gt;0,(inputPrYr!C29),"  ")</f>
        <v>  </v>
      </c>
      <c r="D32" s="132" t="str">
        <f>IF('levy page13'!C83&gt;0,'levy page13'!C83,"  ")</f>
        <v>  </v>
      </c>
      <c r="E32" s="520" t="str">
        <f>IF('levy page13'!$E$33&gt;0,'levy page13'!$E$33,"  ")</f>
        <v>  </v>
      </c>
      <c r="F32" s="561">
        <f>IF('levy page13'!$E$40&lt;&gt;0,'levy page13'!$E$40,0)</f>
        <v>0</v>
      </c>
      <c r="G32" s="560">
        <f t="shared" si="0"/>
      </c>
    </row>
    <row r="33" spans="2:7" ht="15.75">
      <c r="B33" s="68" t="str">
        <f>IF(inputPrYr!$B30&gt;"  ",(inputPrYr!$B30),"  ")</f>
        <v>  </v>
      </c>
      <c r="C33" s="138" t="str">
        <f>IF(inputPrYr!C30&gt;0,(inputPrYr!C30),"  ")</f>
        <v>  </v>
      </c>
      <c r="D33" s="132" t="str">
        <f>IF('levy page13'!C83&gt;0,'levy page13'!C83,"  ")</f>
        <v>  </v>
      </c>
      <c r="E33" s="520" t="str">
        <f>IF('levy page13'!$E$73&gt;0,'levy page13'!$E$73,"  ")</f>
        <v>  </v>
      </c>
      <c r="F33" s="561">
        <f>IF('levy page13'!$E$80&lt;&gt;0,'levy page13'!$E$80,0)</f>
        <v>0</v>
      </c>
      <c r="G33" s="560">
        <f t="shared" si="0"/>
      </c>
    </row>
    <row r="34" spans="2:7" ht="15.75">
      <c r="B34" s="139" t="str">
        <f>IF(inputPrYr!$B34&gt;"  ",(inputPrYr!$B34),"  ")</f>
        <v>Special Highway</v>
      </c>
      <c r="C34" s="77"/>
      <c r="D34" s="140">
        <f>IF('Sp Hiway'!C65&gt;0,'Sp Hiway'!C65,"  ")</f>
        <v>11</v>
      </c>
      <c r="E34" s="520">
        <f>IF('Sp Hiway'!$E$28&gt;0,'Sp Hiway'!$E$28,"  ")</f>
        <v>839400</v>
      </c>
      <c r="F34" s="520"/>
      <c r="G34" s="564"/>
    </row>
    <row r="35" spans="2:7" ht="15.75">
      <c r="B35" s="139" t="str">
        <f>IF(inputPrYr!$B35&gt;"  ",(inputPrYr!$B35),"  ")</f>
        <v>Equipment Reserve</v>
      </c>
      <c r="C35" s="77"/>
      <c r="D35" s="140">
        <f>IF('Sp Hiway'!C65&gt;0,'Sp Hiway'!C65,"  ")</f>
        <v>11</v>
      </c>
      <c r="E35" s="520">
        <f>IF('Sp Hiway'!$E$59&gt;0,'Sp Hiway'!$E$59,"  ")</f>
        <v>10000</v>
      </c>
      <c r="F35" s="520"/>
      <c r="G35" s="564"/>
    </row>
    <row r="36" spans="2:7" ht="15.75">
      <c r="B36" s="139" t="str">
        <f>IF(inputPrYr!$B36&gt;"  ",(inputPrYr!$B36),"  ")</f>
        <v>ADSAP</v>
      </c>
      <c r="C36" s="77"/>
      <c r="D36" s="140">
        <f>IF(nolevypage15!C65&gt;0,nolevypage15!C65,"  ")</f>
        <v>12</v>
      </c>
      <c r="E36" s="520">
        <f>IF(nolevypage15!$E$28&gt;0,nolevypage15!$E$28,"  ")</f>
        <v>1000</v>
      </c>
      <c r="F36" s="520"/>
      <c r="G36" s="564"/>
    </row>
    <row r="37" spans="2:7" ht="15.75">
      <c r="B37" s="139" t="str">
        <f>IF(inputPrYr!$B37&gt;"  ",(inputPrYr!$B37),"  ")</f>
        <v>Active Aging</v>
      </c>
      <c r="C37" s="77"/>
      <c r="D37" s="140">
        <f>IF(nolevypage15!C65&gt;0,nolevypage15!C65,"  ")</f>
        <v>12</v>
      </c>
      <c r="E37" s="520">
        <f>IF(nolevypage15!$E$59&gt;0,nolevypage15!$E$59,"  ")</f>
        <v>5000</v>
      </c>
      <c r="F37" s="520"/>
      <c r="G37" s="564"/>
    </row>
    <row r="38" spans="2:7" ht="15.75">
      <c r="B38" s="139" t="str">
        <f>IF(inputPrYr!$B38&gt;"  ",(inputPrYr!$B38),"  ")</f>
        <v>Special Alcohol &amp; Drug</v>
      </c>
      <c r="C38" s="77"/>
      <c r="D38" s="140">
        <f>IF(nolevypage16!C65&gt;0,nolevypage16!C65,"  ")</f>
        <v>13</v>
      </c>
      <c r="E38" s="520">
        <f>IF(nolevypage16!$E$28&gt;0,nolevypage16!$E$28,"  ")</f>
        <v>1000</v>
      </c>
      <c r="F38" s="520"/>
      <c r="G38" s="564"/>
    </row>
    <row r="39" spans="2:7" ht="15.75">
      <c r="B39" s="141" t="str">
        <f>IF(inputPrYr!$B39&gt;"  ",(inputPrYr!$B39),"  ")</f>
        <v>Special Park &amp; Recreation</v>
      </c>
      <c r="C39" s="77"/>
      <c r="D39" s="140">
        <f>IF(nolevypage16!C65&gt;0,nolevypage16!C65,"  ")</f>
        <v>13</v>
      </c>
      <c r="E39" s="520">
        <f>IF(nolevypage16!$E$59&gt;0,nolevypage16!$E$59,"  ")</f>
        <v>1000</v>
      </c>
      <c r="F39" s="520"/>
      <c r="G39" s="564"/>
    </row>
    <row r="40" spans="2:7" ht="15.75">
      <c r="B40" s="139" t="str">
        <f>IF(inputPrYr!$B40&gt;"  ",(inputPrYr!$B40),"  ")</f>
        <v>Drug Tax Distribution</v>
      </c>
      <c r="C40" s="77"/>
      <c r="D40" s="140">
        <f>IF(nolevypage17!C66&gt;0,nolevypage17!C66,"  ")</f>
        <v>14</v>
      </c>
      <c r="E40" s="520">
        <f>IF(nolevypage17!$E$28&gt;0,nolevypage17!$E$28,"  ")</f>
        <v>1000</v>
      </c>
      <c r="F40" s="520"/>
      <c r="G40" s="564"/>
    </row>
    <row r="41" spans="2:7" ht="15.75">
      <c r="B41" s="139" t="str">
        <f>IF(inputPrYr!$B41&gt;"  ",(inputPrYr!$B41),"  ")</f>
        <v>  </v>
      </c>
      <c r="C41" s="77"/>
      <c r="D41" s="140">
        <f>IF(nolevypage17!C66&gt;0,nolevypage17!C66,"  ")</f>
        <v>14</v>
      </c>
      <c r="E41" s="520" t="str">
        <f>IF(nolevypage17!$E$60&gt;0,nolevypage17!$E$60,"  ")</f>
        <v>  </v>
      </c>
      <c r="F41" s="520"/>
      <c r="G41" s="564"/>
    </row>
    <row r="42" spans="2:7" ht="15.75">
      <c r="B42" s="139" t="str">
        <f>IF(inputPrYr!$B44&gt;"  ",(inputPrYr!$B44),"  ")</f>
        <v>Water Utility</v>
      </c>
      <c r="C42" s="74"/>
      <c r="D42" s="140">
        <f>IF(SinNoLevy18!$C$53&gt;0,SinNoLevy18!$C$53,"  ")</f>
        <v>15</v>
      </c>
      <c r="E42" s="520">
        <f>IF(SinNoLevy18!$E$47&gt;0,SinNoLevy18!$E$47,"  ")</f>
        <v>1316800</v>
      </c>
      <c r="F42" s="520"/>
      <c r="G42" s="564"/>
    </row>
    <row r="43" spans="2:7" ht="15.75">
      <c r="B43" s="139" t="str">
        <f>IF(inputPrYr!$B45&gt;"  ",(inputPrYr!$B45),"  ")</f>
        <v>Sewer Utility</v>
      </c>
      <c r="C43" s="74"/>
      <c r="D43" s="140">
        <f>IF(SinNoLevy19!$C$53&gt;0,SinNoLevy19!$C$53,"  ")</f>
        <v>16</v>
      </c>
      <c r="E43" s="520">
        <f>IF(SinNoLevy19!$E$47&gt;0,SinNoLevy19!$E$47,"  ")</f>
        <v>1036600</v>
      </c>
      <c r="F43" s="520"/>
      <c r="G43" s="564"/>
    </row>
    <row r="44" spans="2:7" ht="15.75">
      <c r="B44" s="139" t="str">
        <f>IF(inputPrYr!$B46&gt;"  ",(inputPrYr!$B46),"  ")</f>
        <v>Storm Water Utility</v>
      </c>
      <c r="C44" s="74"/>
      <c r="D44" s="140">
        <f>IF(SinNoLevy20!$C$53&gt;0,SinNoLevy20!$C$53,"  ")</f>
        <v>17</v>
      </c>
      <c r="E44" s="520">
        <f>IF(SinNoLevy20!$E$47&gt;0,SinNoLevy20!$E$47,"  ")</f>
        <v>45350</v>
      </c>
      <c r="F44" s="520"/>
      <c r="G44" s="564"/>
    </row>
    <row r="45" spans="2:7" ht="15.75">
      <c r="B45" s="139" t="str">
        <f>IF(inputPrYr!$B47&gt;"  ",(inputPrYr!$B47),"  ")</f>
        <v>Solid Waste Utility</v>
      </c>
      <c r="C45" s="74"/>
      <c r="D45" s="140">
        <f>IF(SinNoLevy21!$C$53&gt;0,SinNoLevy21!$C$53,"  ")</f>
        <v>18</v>
      </c>
      <c r="E45" s="520">
        <f>IF(SinNoLevy21!$E$47&gt;0,SinNoLevy21!$E$47,"  ")</f>
        <v>332500</v>
      </c>
      <c r="F45" s="520"/>
      <c r="G45" s="564"/>
    </row>
    <row r="46" spans="2:7" ht="15.75">
      <c r="B46" s="139" t="str">
        <f>IF(inputPrYr!$B51&gt;"  ",(NonBudA!$A3),"  ")</f>
        <v>Non-Budgeted Funds-A</v>
      </c>
      <c r="C46" s="74"/>
      <c r="D46" s="140">
        <f>IF(NonBudA!F33&gt;0,NonBudA!F33,"  ")</f>
        <v>19</v>
      </c>
      <c r="E46" s="520"/>
      <c r="F46" s="520"/>
      <c r="G46" s="564"/>
    </row>
    <row r="47" spans="2:7" ht="16.5" thickBot="1">
      <c r="B47" s="139" t="str">
        <f>IF(inputPrYr!$B57&gt;"  ",(NonBudB!$A3),"  ")</f>
        <v>  </v>
      </c>
      <c r="C47" s="74"/>
      <c r="D47" s="140" t="str">
        <f>IF(NonBudB!F33&gt;0,NonBudB!F33,"  ")</f>
        <v>  </v>
      </c>
      <c r="E47" s="520"/>
      <c r="F47" s="520"/>
      <c r="G47" s="564"/>
    </row>
    <row r="48" spans="2:7" ht="16.5" thickBot="1">
      <c r="B48" s="374" t="s">
        <v>750</v>
      </c>
      <c r="C48" s="74"/>
      <c r="D48" s="229" t="s">
        <v>13</v>
      </c>
      <c r="E48" s="563">
        <f>SUM(E21:E47)</f>
        <v>8854755</v>
      </c>
      <c r="F48" s="563">
        <f>SUM(F21:F47)</f>
        <v>2309557</v>
      </c>
      <c r="G48" s="562">
        <f>IF(SUM(G21:G47)=0,"",SUM(G21:G47))</f>
      </c>
    </row>
    <row r="49" spans="2:7" ht="16.5" thickTop="1">
      <c r="B49" s="144" t="s">
        <v>244</v>
      </c>
      <c r="C49" s="145"/>
      <c r="D49" s="146"/>
      <c r="E49" s="517"/>
      <c r="F49" s="518" t="str">
        <f>IF(F48&gt;computation!J40,"Yes","No")</f>
        <v>Yes</v>
      </c>
      <c r="G49" s="551" t="s">
        <v>152</v>
      </c>
    </row>
    <row r="50" spans="2:7" ht="15.75">
      <c r="B50" s="131" t="s">
        <v>243</v>
      </c>
      <c r="C50" s="77"/>
      <c r="D50" s="132">
        <f>summ!D61</f>
        <v>20</v>
      </c>
      <c r="E50" s="143"/>
      <c r="F50" s="22"/>
      <c r="G50" s="383"/>
    </row>
    <row r="51" spans="2:7" ht="15.75">
      <c r="B51" s="131" t="s">
        <v>268</v>
      </c>
      <c r="C51" s="77"/>
      <c r="D51" s="132">
        <f>IF(nhood!C40&gt;0,nhood!C40,"")</f>
        <v>21</v>
      </c>
      <c r="E51" s="143"/>
      <c r="F51" s="22"/>
      <c r="G51" s="794" t="str">
        <f>CONCATENATE("Nov 1, ",G1-1," Total Assessed Valuation")</f>
        <v>Nov 1, 2012 Total Assessed Valuation</v>
      </c>
    </row>
    <row r="52" spans="2:7" ht="15.75">
      <c r="B52" s="378"/>
      <c r="C52" s="379"/>
      <c r="D52" s="380"/>
      <c r="E52" s="376"/>
      <c r="F52" s="377"/>
      <c r="G52" s="795"/>
    </row>
    <row r="53" spans="2:7" ht="15.75">
      <c r="B53" s="61" t="s">
        <v>14</v>
      </c>
      <c r="C53" s="60"/>
      <c r="D53" s="22"/>
      <c r="E53" s="375"/>
      <c r="F53" s="60"/>
      <c r="G53" s="60"/>
    </row>
    <row r="54" spans="2:7" ht="15.75">
      <c r="B54" s="332" t="s">
        <v>988</v>
      </c>
      <c r="C54" s="60"/>
      <c r="D54" s="60" t="s">
        <v>799</v>
      </c>
      <c r="E54" s="558"/>
      <c r="F54" s="60"/>
      <c r="G54" s="60"/>
    </row>
    <row r="55" spans="2:7" ht="15.75">
      <c r="B55" s="331" t="s">
        <v>989</v>
      </c>
      <c r="C55" s="22"/>
      <c r="D55" s="61" t="s">
        <v>1088</v>
      </c>
      <c r="E55" s="559"/>
      <c r="F55" s="60" t="s">
        <v>1090</v>
      </c>
      <c r="G55" s="60"/>
    </row>
    <row r="56" spans="2:7" ht="15.75">
      <c r="B56" s="61" t="s">
        <v>163</v>
      </c>
      <c r="C56" s="60"/>
      <c r="D56" s="60" t="s">
        <v>799</v>
      </c>
      <c r="E56" s="557"/>
      <c r="F56" s="258"/>
      <c r="G56" s="258"/>
    </row>
    <row r="57" spans="2:7" ht="15.75">
      <c r="B57" s="332" t="s">
        <v>990</v>
      </c>
      <c r="C57" s="29"/>
      <c r="D57" s="60" t="s">
        <v>1089</v>
      </c>
      <c r="E57" s="60"/>
      <c r="F57" s="22" t="s">
        <v>1091</v>
      </c>
      <c r="G57" s="22"/>
    </row>
    <row r="58" spans="2:7" ht="15.75">
      <c r="B58" s="331" t="s">
        <v>991</v>
      </c>
      <c r="C58" s="147"/>
      <c r="D58" s="60" t="s">
        <v>799</v>
      </c>
      <c r="E58" s="60"/>
      <c r="F58" s="258"/>
      <c r="G58" s="258"/>
    </row>
    <row r="59" spans="2:7" ht="15.75">
      <c r="B59" s="61" t="s">
        <v>860</v>
      </c>
      <c r="C59" s="60"/>
      <c r="D59" s="22" t="s">
        <v>1092</v>
      </c>
      <c r="E59" s="22"/>
      <c r="F59" s="22" t="s">
        <v>1093</v>
      </c>
      <c r="G59" s="22"/>
    </row>
    <row r="60" spans="2:7" ht="15.75">
      <c r="B60" s="332" t="s">
        <v>992</v>
      </c>
      <c r="C60" s="148"/>
      <c r="D60" s="792"/>
      <c r="E60" s="793"/>
      <c r="F60" s="793"/>
      <c r="G60" s="793"/>
    </row>
    <row r="61" spans="2:7" ht="15.75">
      <c r="B61" s="30" t="s">
        <v>260</v>
      </c>
      <c r="C61" s="149">
        <f>G1-1</f>
        <v>2012</v>
      </c>
      <c r="D61" s="792" t="s">
        <v>15</v>
      </c>
      <c r="E61" s="793"/>
      <c r="F61" s="793"/>
      <c r="G61" s="793"/>
    </row>
    <row r="62" spans="2:7" ht="15.75">
      <c r="B62" s="523"/>
      <c r="C62" s="22"/>
      <c r="D62" s="60"/>
      <c r="E62" s="60"/>
      <c r="F62" s="60"/>
      <c r="G62" s="60"/>
    </row>
    <row r="63" spans="2:7" ht="15.75">
      <c r="B63" s="44" t="s">
        <v>16</v>
      </c>
      <c r="C63" s="22"/>
      <c r="D63" s="792"/>
      <c r="E63" s="793"/>
      <c r="F63" s="793"/>
      <c r="G63" s="793"/>
    </row>
    <row r="64" ht="15.75">
      <c r="B64" s="8"/>
    </row>
    <row r="74" spans="2:7" ht="15">
      <c r="B74" s="83"/>
      <c r="C74" s="83"/>
      <c r="D74" s="83"/>
      <c r="E74" s="83"/>
      <c r="F74" s="83"/>
      <c r="G74" s="83"/>
    </row>
    <row r="75" spans="2:7" ht="15">
      <c r="B75" s="83"/>
      <c r="C75" s="83"/>
      <c r="D75" s="83"/>
      <c r="E75" s="83"/>
      <c r="F75" s="83"/>
      <c r="G75" s="83"/>
    </row>
    <row r="76" spans="2:7" ht="15">
      <c r="B76" s="83"/>
      <c r="C76" s="83"/>
      <c r="D76" s="83"/>
      <c r="E76" s="83"/>
      <c r="F76" s="83"/>
      <c r="G76" s="83"/>
    </row>
    <row r="77" spans="2:7" ht="15">
      <c r="B77" s="83"/>
      <c r="C77" s="83"/>
      <c r="D77" s="83"/>
      <c r="E77" s="83"/>
      <c r="F77" s="83"/>
      <c r="G77" s="83"/>
    </row>
    <row r="78" spans="2:7" ht="15">
      <c r="B78" s="83"/>
      <c r="C78" s="83"/>
      <c r="D78" s="83"/>
      <c r="E78" s="83"/>
      <c r="F78" s="83"/>
      <c r="G78" s="83"/>
    </row>
    <row r="79" spans="2:7" ht="15">
      <c r="B79" s="83"/>
      <c r="C79" s="83"/>
      <c r="D79" s="83"/>
      <c r="E79" s="83"/>
      <c r="F79" s="83"/>
      <c r="G79" s="83"/>
    </row>
    <row r="80" spans="2:7" ht="15">
      <c r="B80" s="83"/>
      <c r="C80" s="83"/>
      <c r="D80" s="83"/>
      <c r="E80" s="83"/>
      <c r="F80" s="83"/>
      <c r="G80" s="83"/>
    </row>
    <row r="81" spans="2:7" ht="15">
      <c r="B81" s="83"/>
      <c r="C81" s="83"/>
      <c r="D81" s="83"/>
      <c r="E81" s="83"/>
      <c r="F81" s="83"/>
      <c r="G81" s="83"/>
    </row>
    <row r="82" spans="2:7" ht="15">
      <c r="B82" s="83"/>
      <c r="C82" s="83"/>
      <c r="D82" s="83"/>
      <c r="E82" s="83"/>
      <c r="F82" s="83"/>
      <c r="G82" s="83"/>
    </row>
    <row r="83" spans="2:7" ht="15">
      <c r="B83" s="83"/>
      <c r="C83" s="83"/>
      <c r="D83" s="83"/>
      <c r="E83" s="83"/>
      <c r="F83" s="83"/>
      <c r="G83" s="83"/>
    </row>
    <row r="84" spans="2:7" ht="15">
      <c r="B84" s="83"/>
      <c r="C84" s="83"/>
      <c r="D84" s="83"/>
      <c r="E84" s="83"/>
      <c r="F84" s="83"/>
      <c r="G84" s="83"/>
    </row>
    <row r="85" spans="2:7" ht="15">
      <c r="B85" s="83"/>
      <c r="C85" s="83"/>
      <c r="D85" s="83"/>
      <c r="E85" s="83"/>
      <c r="F85" s="83"/>
      <c r="G85" s="83"/>
    </row>
    <row r="86" spans="2:7" ht="15">
      <c r="B86" s="83"/>
      <c r="C86" s="83"/>
      <c r="D86" s="83"/>
      <c r="E86" s="83"/>
      <c r="F86" s="83"/>
      <c r="G86" s="83"/>
    </row>
    <row r="87" spans="2:7" ht="15">
      <c r="B87" s="83"/>
      <c r="C87" s="83"/>
      <c r="D87" s="83"/>
      <c r="E87" s="83"/>
      <c r="F87" s="83"/>
      <c r="G87" s="83"/>
    </row>
    <row r="88" spans="2:7" ht="15">
      <c r="B88" s="83"/>
      <c r="C88" s="83"/>
      <c r="D88" s="83"/>
      <c r="E88" s="83"/>
      <c r="F88" s="83"/>
      <c r="G88" s="83"/>
    </row>
    <row r="89" spans="2:7" ht="15">
      <c r="B89" s="83"/>
      <c r="C89" s="83"/>
      <c r="D89" s="83"/>
      <c r="E89" s="83"/>
      <c r="F89" s="83"/>
      <c r="G89" s="83"/>
    </row>
    <row r="92" spans="2:7" ht="15.75">
      <c r="B92" s="8"/>
      <c r="C92" s="8"/>
      <c r="D92" s="8"/>
      <c r="E92" s="8"/>
      <c r="F92" s="8"/>
      <c r="G92" s="8"/>
    </row>
  </sheetData>
  <sheetProtection/>
  <mergeCells count="6">
    <mergeCell ref="B5:G5"/>
    <mergeCell ref="B3:G3"/>
    <mergeCell ref="D63:G63"/>
    <mergeCell ref="G51:G52"/>
    <mergeCell ref="D60:G60"/>
    <mergeCell ref="D61:G61"/>
  </mergeCells>
  <printOptions/>
  <pageMargins left="1" right="0.5" top="0.75" bottom="0.5" header="0.5" footer="0.25"/>
  <pageSetup blackAndWhite="1" fitToHeight="1" fitToWidth="1" horizontalDpi="120" verticalDpi="120" orientation="portrait" scale="7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31">
      <selection activeCell="J38" sqref="J38"/>
    </sheetView>
  </sheetViews>
  <sheetFormatPr defaultColWidth="8.796875" defaultRowHeight="15.75" customHeight="1"/>
  <cols>
    <col min="1" max="2" width="3.296875" style="8" customWidth="1"/>
    <col min="3" max="3" width="31.296875" style="8" customWidth="1"/>
    <col min="4" max="4" width="2.296875" style="8" customWidth="1"/>
    <col min="5" max="5" width="15.796875" style="8" customWidth="1"/>
    <col min="6" max="6" width="2" style="8" customWidth="1"/>
    <col min="7" max="7" width="15.796875" style="8" customWidth="1"/>
    <col min="8" max="8" width="1.8984375" style="8" customWidth="1"/>
    <col min="9" max="9" width="1.796875" style="8" customWidth="1"/>
    <col min="10" max="10" width="15.796875" style="8" customWidth="1"/>
    <col min="11" max="16384" width="8.8984375" style="8" customWidth="1"/>
  </cols>
  <sheetData>
    <row r="1" spans="1:10" ht="15.75" customHeight="1">
      <c r="A1" s="22"/>
      <c r="B1" s="22"/>
      <c r="C1" s="151" t="str">
        <f>inputPrYr!D2</f>
        <v>Valley Center</v>
      </c>
      <c r="D1" s="22"/>
      <c r="E1" s="22"/>
      <c r="F1" s="22"/>
      <c r="G1" s="22"/>
      <c r="H1" s="22"/>
      <c r="I1" s="22"/>
      <c r="J1" s="22">
        <f>inputPrYr!$C$5</f>
        <v>2013</v>
      </c>
    </row>
    <row r="2" spans="1:10" ht="15.75" customHeight="1">
      <c r="A2" s="22"/>
      <c r="B2" s="22"/>
      <c r="C2" s="22"/>
      <c r="D2" s="22"/>
      <c r="E2" s="22"/>
      <c r="F2" s="22"/>
      <c r="G2" s="22"/>
      <c r="H2" s="22"/>
      <c r="I2" s="22"/>
      <c r="J2" s="22"/>
    </row>
    <row r="3" spans="1:10" ht="15.75">
      <c r="A3" s="799" t="str">
        <f>CONCATENATE("Computation to Determine Limit for ",J1,"")</f>
        <v>Computation to Determine Limit for 2013</v>
      </c>
      <c r="B3" s="800"/>
      <c r="C3" s="800"/>
      <c r="D3" s="800"/>
      <c r="E3" s="800"/>
      <c r="F3" s="800"/>
      <c r="G3" s="800"/>
      <c r="H3" s="800"/>
      <c r="I3" s="800"/>
      <c r="J3" s="800"/>
    </row>
    <row r="4" spans="1:10" ht="15.75">
      <c r="A4" s="22"/>
      <c r="B4" s="22"/>
      <c r="C4" s="22"/>
      <c r="D4" s="22"/>
      <c r="E4" s="800"/>
      <c r="F4" s="800"/>
      <c r="G4" s="800"/>
      <c r="H4" s="152"/>
      <c r="I4" s="22"/>
      <c r="J4" s="153" t="s">
        <v>97</v>
      </c>
    </row>
    <row r="5" spans="1:10" ht="15.75">
      <c r="A5" s="154" t="s">
        <v>98</v>
      </c>
      <c r="B5" s="22" t="str">
        <f>CONCATENATE("Total Tax Levy Amount in ",J1-1," Budget")</f>
        <v>Total Tax Levy Amount in 2012 Budget</v>
      </c>
      <c r="C5" s="22"/>
      <c r="D5" s="22"/>
      <c r="E5" s="51"/>
      <c r="F5" s="51"/>
      <c r="G5" s="51"/>
      <c r="H5" s="155" t="s">
        <v>99</v>
      </c>
      <c r="I5" s="51" t="s">
        <v>100</v>
      </c>
      <c r="J5" s="156">
        <f>inputPrYr!E31</f>
        <v>2261493</v>
      </c>
    </row>
    <row r="6" spans="1:10" ht="15.75">
      <c r="A6" s="154" t="s">
        <v>101</v>
      </c>
      <c r="B6" s="22" t="str">
        <f>CONCATENATE("Debt Service Levy in ",J1-1," Budget")</f>
        <v>Debt Service Levy in 2012 Budget</v>
      </c>
      <c r="C6" s="22"/>
      <c r="D6" s="22"/>
      <c r="E6" s="51"/>
      <c r="F6" s="51"/>
      <c r="G6" s="51"/>
      <c r="H6" s="155" t="s">
        <v>102</v>
      </c>
      <c r="I6" s="51" t="s">
        <v>100</v>
      </c>
      <c r="J6" s="56">
        <f>inputPrYr!E18</f>
        <v>757979</v>
      </c>
    </row>
    <row r="7" spans="1:10" ht="15.75">
      <c r="A7" s="154" t="s">
        <v>129</v>
      </c>
      <c r="B7" s="41" t="s">
        <v>126</v>
      </c>
      <c r="C7" s="22"/>
      <c r="D7" s="22"/>
      <c r="E7" s="51"/>
      <c r="F7" s="51"/>
      <c r="G7" s="51"/>
      <c r="H7" s="51"/>
      <c r="I7" s="51" t="s">
        <v>100</v>
      </c>
      <c r="J7" s="56">
        <f>J5-J6</f>
        <v>1503514</v>
      </c>
    </row>
    <row r="8" spans="1:10" ht="15.75">
      <c r="A8" s="22"/>
      <c r="B8" s="22"/>
      <c r="C8" s="22"/>
      <c r="D8" s="22"/>
      <c r="E8" s="51"/>
      <c r="F8" s="51"/>
      <c r="G8" s="51"/>
      <c r="H8" s="51"/>
      <c r="I8" s="51"/>
      <c r="J8" s="51"/>
    </row>
    <row r="9" spans="1:10" ht="15.75">
      <c r="A9" s="22"/>
      <c r="B9" s="41" t="str">
        <f>CONCATENATE("",J1-1," Valuation Information for Valuation Adjustments:")</f>
        <v>2012 Valuation Information for Valuation Adjustments:</v>
      </c>
      <c r="C9" s="22"/>
      <c r="D9" s="22"/>
      <c r="E9" s="51"/>
      <c r="F9" s="51"/>
      <c r="G9" s="51"/>
      <c r="H9" s="51"/>
      <c r="I9" s="51"/>
      <c r="J9" s="51"/>
    </row>
    <row r="10" spans="1:10" ht="15.75">
      <c r="A10" s="22"/>
      <c r="B10" s="22"/>
      <c r="C10" s="41"/>
      <c r="D10" s="22"/>
      <c r="E10" s="51"/>
      <c r="F10" s="51"/>
      <c r="G10" s="51"/>
      <c r="H10" s="51"/>
      <c r="I10" s="51"/>
      <c r="J10" s="51"/>
    </row>
    <row r="11" spans="1:10" ht="15.75">
      <c r="A11" s="154" t="s">
        <v>103</v>
      </c>
      <c r="B11" s="41" t="str">
        <f>CONCATENATE("New Improvements for ",J1-1,":")</f>
        <v>New Improvements for 2012:</v>
      </c>
      <c r="C11" s="22"/>
      <c r="D11" s="22"/>
      <c r="E11" s="155"/>
      <c r="F11" s="155" t="s">
        <v>99</v>
      </c>
      <c r="G11" s="156">
        <f>inputOth!E8</f>
        <v>336152</v>
      </c>
      <c r="H11" s="58"/>
      <c r="I11" s="51"/>
      <c r="J11" s="51"/>
    </row>
    <row r="12" spans="1:10" ht="15.75">
      <c r="A12" s="154"/>
      <c r="B12" s="157"/>
      <c r="C12" s="22"/>
      <c r="D12" s="22"/>
      <c r="E12" s="155"/>
      <c r="F12" s="155"/>
      <c r="G12" s="58"/>
      <c r="H12" s="58"/>
      <c r="I12" s="51"/>
      <c r="J12" s="51"/>
    </row>
    <row r="13" spans="1:10" ht="15.75">
      <c r="A13" s="154" t="s">
        <v>104</v>
      </c>
      <c r="B13" s="41" t="str">
        <f>CONCATENATE("Increase in Personal Property for ",J1-1,":")</f>
        <v>Increase in Personal Property for 2012:</v>
      </c>
      <c r="C13" s="22"/>
      <c r="D13" s="22"/>
      <c r="E13" s="155"/>
      <c r="F13" s="155"/>
      <c r="G13" s="58"/>
      <c r="H13" s="58"/>
      <c r="I13" s="51"/>
      <c r="J13" s="51"/>
    </row>
    <row r="14" spans="1:10" ht="15.75">
      <c r="A14" s="119"/>
      <c r="B14" s="22" t="s">
        <v>105</v>
      </c>
      <c r="C14" s="22" t="str">
        <f>CONCATENATE("Personal Property ",J1-1,"")</f>
        <v>Personal Property 2012</v>
      </c>
      <c r="D14" s="157" t="s">
        <v>99</v>
      </c>
      <c r="E14" s="156">
        <f>inputOth!E9</f>
        <v>1574272</v>
      </c>
      <c r="F14" s="155"/>
      <c r="G14" s="51"/>
      <c r="H14" s="51"/>
      <c r="I14" s="58"/>
      <c r="J14" s="51"/>
    </row>
    <row r="15" spans="1:10" ht="15.75">
      <c r="A15" s="157"/>
      <c r="B15" s="22" t="s">
        <v>106</v>
      </c>
      <c r="C15" s="22" t="str">
        <f>CONCATENATE("Personal Property ",J1-2,"")</f>
        <v>Personal Property 2011</v>
      </c>
      <c r="D15" s="157" t="s">
        <v>102</v>
      </c>
      <c r="E15" s="56">
        <f>inputOth!E15</f>
        <v>1622498</v>
      </c>
      <c r="F15" s="155"/>
      <c r="G15" s="58"/>
      <c r="H15" s="58"/>
      <c r="I15" s="51"/>
      <c r="J15" s="51"/>
    </row>
    <row r="16" spans="1:10" ht="15.75">
      <c r="A16" s="157"/>
      <c r="B16" s="22" t="s">
        <v>107</v>
      </c>
      <c r="C16" s="22" t="s">
        <v>128</v>
      </c>
      <c r="D16" s="22"/>
      <c r="E16" s="51"/>
      <c r="F16" s="51" t="s">
        <v>99</v>
      </c>
      <c r="G16" s="156">
        <f>IF(E14&gt;E15,E14-E15,0)</f>
        <v>0</v>
      </c>
      <c r="H16" s="58"/>
      <c r="I16" s="51"/>
      <c r="J16" s="51"/>
    </row>
    <row r="17" spans="1:10" ht="15.75">
      <c r="A17" s="157"/>
      <c r="B17" s="157"/>
      <c r="C17" s="22"/>
      <c r="D17" s="22"/>
      <c r="E17" s="51"/>
      <c r="F17" s="51"/>
      <c r="G17" s="58" t="s">
        <v>120</v>
      </c>
      <c r="H17" s="58"/>
      <c r="I17" s="51"/>
      <c r="J17" s="51"/>
    </row>
    <row r="18" spans="1:10" ht="15.75">
      <c r="A18" s="157" t="s">
        <v>108</v>
      </c>
      <c r="B18" s="41" t="str">
        <f>CONCATENATE("Valuation of annexed territory for ",J1-1,":")</f>
        <v>Valuation of annexed territory for 2012:</v>
      </c>
      <c r="C18" s="22"/>
      <c r="D18" s="22"/>
      <c r="E18" s="58"/>
      <c r="F18" s="51"/>
      <c r="G18" s="51"/>
      <c r="H18" s="51"/>
      <c r="I18" s="51"/>
      <c r="J18" s="51"/>
    </row>
    <row r="19" spans="1:10" ht="15.75">
      <c r="A19" s="157"/>
      <c r="B19" s="22" t="s">
        <v>109</v>
      </c>
      <c r="C19" s="22" t="s">
        <v>130</v>
      </c>
      <c r="D19" s="157" t="s">
        <v>99</v>
      </c>
      <c r="E19" s="156">
        <f>inputOth!E11</f>
        <v>0</v>
      </c>
      <c r="F19" s="51"/>
      <c r="G19" s="51"/>
      <c r="H19" s="51"/>
      <c r="I19" s="51"/>
      <c r="J19" s="51"/>
    </row>
    <row r="20" spans="1:10" ht="15.75">
      <c r="A20" s="157"/>
      <c r="B20" s="22" t="s">
        <v>110</v>
      </c>
      <c r="C20" s="22" t="s">
        <v>131</v>
      </c>
      <c r="D20" s="157" t="s">
        <v>99</v>
      </c>
      <c r="E20" s="156">
        <f>inputOth!E12</f>
        <v>0</v>
      </c>
      <c r="F20" s="51"/>
      <c r="G20" s="58"/>
      <c r="H20" s="58"/>
      <c r="I20" s="51"/>
      <c r="J20" s="51"/>
    </row>
    <row r="21" spans="1:10" ht="15.75">
      <c r="A21" s="157"/>
      <c r="B21" s="22" t="s">
        <v>111</v>
      </c>
      <c r="C21" s="22" t="s">
        <v>127</v>
      </c>
      <c r="D21" s="157" t="s">
        <v>102</v>
      </c>
      <c r="E21" s="156">
        <f>inputOth!E13</f>
        <v>0</v>
      </c>
      <c r="F21" s="51"/>
      <c r="G21" s="58"/>
      <c r="H21" s="58"/>
      <c r="I21" s="51"/>
      <c r="J21" s="51"/>
    </row>
    <row r="22" spans="1:10" ht="15.75">
      <c r="A22" s="157"/>
      <c r="B22" s="22" t="s">
        <v>112</v>
      </c>
      <c r="C22" s="22" t="s">
        <v>132</v>
      </c>
      <c r="D22" s="157"/>
      <c r="E22" s="58"/>
      <c r="F22" s="51" t="s">
        <v>99</v>
      </c>
      <c r="G22" s="156">
        <f>E19+E20-E21</f>
        <v>0</v>
      </c>
      <c r="H22" s="58"/>
      <c r="I22" s="51"/>
      <c r="J22" s="51"/>
    </row>
    <row r="23" spans="1:10" ht="15.75">
      <c r="A23" s="157"/>
      <c r="B23" s="157"/>
      <c r="C23" s="22"/>
      <c r="D23" s="157"/>
      <c r="E23" s="58"/>
      <c r="F23" s="51"/>
      <c r="G23" s="58"/>
      <c r="H23" s="58"/>
      <c r="I23" s="51"/>
      <c r="J23" s="51"/>
    </row>
    <row r="24" spans="1:10" ht="15.75">
      <c r="A24" s="157" t="s">
        <v>113</v>
      </c>
      <c r="B24" s="41" t="str">
        <f>CONCATENATE("Valuation of Property that has Changed in Use during ",J1-1,":")</f>
        <v>Valuation of Property that has Changed in Use during 2012:</v>
      </c>
      <c r="C24" s="22"/>
      <c r="D24" s="22"/>
      <c r="E24" s="51"/>
      <c r="F24" s="51"/>
      <c r="G24" s="51">
        <f>inputOth!E14</f>
        <v>38832</v>
      </c>
      <c r="H24" s="51"/>
      <c r="I24" s="51"/>
      <c r="J24" s="51"/>
    </row>
    <row r="25" spans="1:10" ht="15.75">
      <c r="A25" s="22" t="s">
        <v>1</v>
      </c>
      <c r="B25" s="22"/>
      <c r="C25" s="22"/>
      <c r="D25" s="157"/>
      <c r="E25" s="58"/>
      <c r="F25" s="51"/>
      <c r="G25" s="158"/>
      <c r="H25" s="58"/>
      <c r="I25" s="51"/>
      <c r="J25" s="51"/>
    </row>
    <row r="26" spans="1:10" ht="15.75">
      <c r="A26" s="157" t="s">
        <v>114</v>
      </c>
      <c r="B26" s="41" t="s">
        <v>133</v>
      </c>
      <c r="C26" s="22"/>
      <c r="D26" s="22"/>
      <c r="E26" s="51"/>
      <c r="F26" s="51"/>
      <c r="G26" s="156">
        <f>G11+G16+G22+G24</f>
        <v>374984</v>
      </c>
      <c r="H26" s="58"/>
      <c r="I26" s="51"/>
      <c r="J26" s="51"/>
    </row>
    <row r="27" spans="1:10" ht="15.75">
      <c r="A27" s="157"/>
      <c r="B27" s="157"/>
      <c r="C27" s="41"/>
      <c r="D27" s="22"/>
      <c r="E27" s="51"/>
      <c r="F27" s="51"/>
      <c r="G27" s="58"/>
      <c r="H27" s="58"/>
      <c r="I27" s="51"/>
      <c r="J27" s="51"/>
    </row>
    <row r="28" spans="1:10" ht="15.75">
      <c r="A28" s="157" t="s">
        <v>115</v>
      </c>
      <c r="B28" s="22" t="str">
        <f>CONCATENATE("Total Estimated Valuation July 1, ",J1-1,"")</f>
        <v>Total Estimated Valuation July 1, 2012</v>
      </c>
      <c r="C28" s="22"/>
      <c r="D28" s="22"/>
      <c r="E28" s="156">
        <f>inputOth!E7</f>
        <v>43081575</v>
      </c>
      <c r="F28" s="51"/>
      <c r="G28" s="51"/>
      <c r="H28" s="51"/>
      <c r="I28" s="155"/>
      <c r="J28" s="51"/>
    </row>
    <row r="29" spans="1:10" ht="15.75">
      <c r="A29" s="157"/>
      <c r="B29" s="157"/>
      <c r="C29" s="22"/>
      <c r="D29" s="22"/>
      <c r="E29" s="58"/>
      <c r="F29" s="51"/>
      <c r="G29" s="51"/>
      <c r="H29" s="51"/>
      <c r="I29" s="155"/>
      <c r="J29" s="51"/>
    </row>
    <row r="30" spans="1:10" ht="15.75">
      <c r="A30" s="157" t="s">
        <v>116</v>
      </c>
      <c r="B30" s="41" t="s">
        <v>134</v>
      </c>
      <c r="C30" s="22"/>
      <c r="D30" s="22"/>
      <c r="E30" s="51"/>
      <c r="F30" s="51"/>
      <c r="G30" s="156">
        <f>E28-G26</f>
        <v>42706591</v>
      </c>
      <c r="H30" s="58"/>
      <c r="I30" s="155"/>
      <c r="J30" s="51"/>
    </row>
    <row r="31" spans="1:10" ht="15.75">
      <c r="A31" s="157"/>
      <c r="B31" s="157"/>
      <c r="C31" s="41"/>
      <c r="D31" s="22"/>
      <c r="E31" s="22"/>
      <c r="F31" s="22"/>
      <c r="G31" s="94"/>
      <c r="H31" s="60"/>
      <c r="I31" s="157"/>
      <c r="J31" s="22"/>
    </row>
    <row r="32" spans="1:10" ht="15.75">
      <c r="A32" s="157" t="s">
        <v>117</v>
      </c>
      <c r="B32" s="22" t="s">
        <v>135</v>
      </c>
      <c r="C32" s="22"/>
      <c r="D32" s="22"/>
      <c r="E32" s="22"/>
      <c r="F32" s="22"/>
      <c r="G32" s="159">
        <f>IF(G30&gt;0,G26/G30,0)</f>
        <v>0.008780471379698744</v>
      </c>
      <c r="H32" s="60"/>
      <c r="I32" s="22"/>
      <c r="J32" s="22"/>
    </row>
    <row r="33" spans="1:10" ht="15.75">
      <c r="A33" s="157"/>
      <c r="B33" s="157"/>
      <c r="C33" s="22"/>
      <c r="D33" s="22"/>
      <c r="E33" s="22"/>
      <c r="F33" s="22"/>
      <c r="G33" s="60"/>
      <c r="H33" s="60"/>
      <c r="I33" s="22"/>
      <c r="J33" s="22"/>
    </row>
    <row r="34" spans="1:10" ht="15.75">
      <c r="A34" s="157" t="s">
        <v>118</v>
      </c>
      <c r="B34" s="22" t="s">
        <v>136</v>
      </c>
      <c r="C34" s="22"/>
      <c r="D34" s="22"/>
      <c r="E34" s="22"/>
      <c r="F34" s="22"/>
      <c r="G34" s="60"/>
      <c r="H34" s="160" t="s">
        <v>99</v>
      </c>
      <c r="I34" s="22" t="s">
        <v>100</v>
      </c>
      <c r="J34" s="156">
        <f>ROUND(G32*J7,0)</f>
        <v>13202</v>
      </c>
    </row>
    <row r="35" spans="1:10" ht="15.75">
      <c r="A35" s="157"/>
      <c r="B35" s="157"/>
      <c r="C35" s="22"/>
      <c r="D35" s="22"/>
      <c r="E35" s="22"/>
      <c r="F35" s="22"/>
      <c r="G35" s="60"/>
      <c r="H35" s="160"/>
      <c r="I35" s="22"/>
      <c r="J35" s="58"/>
    </row>
    <row r="36" spans="1:10" ht="16.5" thickBot="1">
      <c r="A36" s="157" t="s">
        <v>119</v>
      </c>
      <c r="B36" s="41" t="s">
        <v>142</v>
      </c>
      <c r="C36" s="22"/>
      <c r="D36" s="22"/>
      <c r="E36" s="22"/>
      <c r="F36" s="22"/>
      <c r="G36" s="22"/>
      <c r="H36" s="22"/>
      <c r="I36" s="22" t="s">
        <v>100</v>
      </c>
      <c r="J36" s="161">
        <f>J7+J34</f>
        <v>1516716</v>
      </c>
    </row>
    <row r="37" spans="1:10" ht="16.5" thickTop="1">
      <c r="A37" s="22"/>
      <c r="B37" s="22"/>
      <c r="C37" s="22"/>
      <c r="D37" s="22"/>
      <c r="E37" s="22"/>
      <c r="F37" s="22"/>
      <c r="G37" s="22"/>
      <c r="H37" s="22"/>
      <c r="I37" s="22"/>
      <c r="J37" s="22"/>
    </row>
    <row r="38" spans="1:10" ht="15.75">
      <c r="A38" s="157" t="s">
        <v>140</v>
      </c>
      <c r="B38" s="41" t="str">
        <f>CONCATENATE("Debt Service Levy in this ",J1," Budget")</f>
        <v>Debt Service Levy in this 2013 Budget</v>
      </c>
      <c r="C38" s="22"/>
      <c r="D38" s="22"/>
      <c r="E38" s="22"/>
      <c r="F38" s="22"/>
      <c r="G38" s="22"/>
      <c r="H38" s="22"/>
      <c r="I38" s="22"/>
      <c r="J38" s="162">
        <f>'DebtSvs-Library'!E40</f>
        <v>699970</v>
      </c>
    </row>
    <row r="39" spans="1:10" ht="15.75">
      <c r="A39" s="157"/>
      <c r="B39" s="41"/>
      <c r="C39" s="22"/>
      <c r="D39" s="22"/>
      <c r="E39" s="22"/>
      <c r="F39" s="22"/>
      <c r="G39" s="22"/>
      <c r="H39" s="22"/>
      <c r="I39" s="22"/>
      <c r="J39" s="60"/>
    </row>
    <row r="40" spans="1:10" ht="16.5" thickBot="1">
      <c r="A40" s="157" t="s">
        <v>141</v>
      </c>
      <c r="B40" s="41" t="s">
        <v>143</v>
      </c>
      <c r="C40" s="22"/>
      <c r="D40" s="22"/>
      <c r="E40" s="22"/>
      <c r="F40" s="22"/>
      <c r="G40" s="22"/>
      <c r="H40" s="22"/>
      <c r="I40" s="22"/>
      <c r="J40" s="161">
        <f>J36+J38</f>
        <v>2216686</v>
      </c>
    </row>
    <row r="41" spans="1:10" ht="16.5" thickTop="1">
      <c r="A41" s="22"/>
      <c r="B41" s="22"/>
      <c r="C41" s="22"/>
      <c r="D41" s="22"/>
      <c r="E41" s="22"/>
      <c r="F41" s="22"/>
      <c r="G41" s="22"/>
      <c r="H41" s="22"/>
      <c r="I41" s="22"/>
      <c r="J41" s="22"/>
    </row>
    <row r="42" spans="1:10" s="163" customFormat="1" ht="18.75">
      <c r="A42" s="797" t="str">
        <f>CONCATENATE("If the ",J1," budget includes tax levies exceeding the total on line 15, you must")</f>
        <v>If the 2013 budget includes tax levies exceeding the total on line 15, you must</v>
      </c>
      <c r="B42" s="797"/>
      <c r="C42" s="797"/>
      <c r="D42" s="797"/>
      <c r="E42" s="797"/>
      <c r="F42" s="797"/>
      <c r="G42" s="797"/>
      <c r="H42" s="797"/>
      <c r="I42" s="797"/>
      <c r="J42" s="797"/>
    </row>
    <row r="43" spans="1:10" s="163" customFormat="1" ht="18.75">
      <c r="A43" s="798" t="s">
        <v>207</v>
      </c>
      <c r="B43" s="798"/>
      <c r="C43" s="798"/>
      <c r="D43" s="798"/>
      <c r="E43" s="798"/>
      <c r="F43" s="798"/>
      <c r="G43" s="798"/>
      <c r="H43" s="798"/>
      <c r="I43" s="798"/>
      <c r="J43" s="798"/>
    </row>
    <row r="44" spans="1:10" ht="15.75" customHeight="1">
      <c r="A44" s="792" t="s">
        <v>208</v>
      </c>
      <c r="B44" s="792"/>
      <c r="C44" s="792"/>
      <c r="D44" s="792"/>
      <c r="E44" s="796"/>
      <c r="F44" s="792"/>
      <c r="G44" s="792"/>
      <c r="H44" s="792"/>
      <c r="I44" s="792"/>
      <c r="J44" s="792"/>
    </row>
  </sheetData>
  <sheetProtection sheet="1"/>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25">
      <selection activeCell="G5" sqref="G5"/>
    </sheetView>
  </sheetViews>
  <sheetFormatPr defaultColWidth="8.796875" defaultRowHeight="15"/>
  <cols>
    <col min="1" max="1" width="8.8984375" style="23" customWidth="1"/>
    <col min="2" max="2" width="17.8984375" style="23" customWidth="1"/>
    <col min="3" max="3" width="15.296875" style="23" customWidth="1"/>
    <col min="4" max="7" width="10.796875" style="23" customWidth="1"/>
    <col min="8" max="16384" width="8.8984375" style="23" customWidth="1"/>
  </cols>
  <sheetData>
    <row r="1" spans="1:7" ht="15.75">
      <c r="A1" s="553"/>
      <c r="B1" s="151" t="str">
        <f>inputPrYr!D2</f>
        <v>Valley Center</v>
      </c>
      <c r="C1" s="151"/>
      <c r="D1" s="22"/>
      <c r="E1" s="22"/>
      <c r="F1" s="22"/>
      <c r="G1" s="22"/>
    </row>
    <row r="2" spans="1:7" ht="15.75">
      <c r="A2" s="553"/>
      <c r="B2" s="22"/>
      <c r="C2" s="22"/>
      <c r="D2" s="22"/>
      <c r="E2" s="22"/>
      <c r="F2" s="22"/>
      <c r="G2" s="22">
        <f>inputPrYr!$C$5</f>
        <v>2013</v>
      </c>
    </row>
    <row r="3" spans="1:7" ht="15.75">
      <c r="A3" s="553"/>
      <c r="B3" s="799" t="s">
        <v>952</v>
      </c>
      <c r="C3" s="799"/>
      <c r="D3" s="799"/>
      <c r="E3" s="799"/>
      <c r="F3" s="799"/>
      <c r="G3" s="22"/>
    </row>
    <row r="4" spans="1:7" ht="15.75">
      <c r="A4" s="553"/>
      <c r="B4" s="22"/>
      <c r="C4" s="164"/>
      <c r="D4" s="165"/>
      <c r="E4" s="165"/>
      <c r="F4" s="22"/>
      <c r="G4" s="22"/>
    </row>
    <row r="5" spans="1:7" ht="21" customHeight="1">
      <c r="A5" s="553"/>
      <c r="B5" s="166" t="s">
        <v>206</v>
      </c>
      <c r="C5" s="167" t="s">
        <v>800</v>
      </c>
      <c r="D5" s="801" t="str">
        <f>CONCATENATE("Allocation for Year ",G2,"")</f>
        <v>Allocation for Year 2013</v>
      </c>
      <c r="E5" s="802"/>
      <c r="F5" s="803"/>
      <c r="G5" s="554"/>
    </row>
    <row r="6" spans="1:7" ht="15.75">
      <c r="A6" s="553"/>
      <c r="B6" s="168" t="str">
        <f>CONCATENATE("for ",G2-1,"")</f>
        <v>for 2012</v>
      </c>
      <c r="C6" s="168" t="str">
        <f>CONCATENATE("Amount for ",G2-2,"")</f>
        <v>Amount for 2011</v>
      </c>
      <c r="D6" s="129" t="s">
        <v>93</v>
      </c>
      <c r="E6" s="129" t="s">
        <v>94</v>
      </c>
      <c r="F6" s="129" t="s">
        <v>92</v>
      </c>
      <c r="G6" s="556"/>
    </row>
    <row r="7" spans="1:7" ht="15.75">
      <c r="A7" s="553"/>
      <c r="B7" s="68" t="str">
        <f>(inputPrYr!B17)</f>
        <v>General</v>
      </c>
      <c r="C7" s="132">
        <f>(inputPrYr!E17)</f>
        <v>719017</v>
      </c>
      <c r="D7" s="132">
        <f>IF(inputOth!E39=0,0,D22-SUM(D8:D19))</f>
        <v>95309</v>
      </c>
      <c r="E7" s="132">
        <f>IF(inputOth!E40=0,0,E23-SUM(E8:E19))</f>
        <v>1891</v>
      </c>
      <c r="F7" s="132">
        <f>IF(inputOth!E41=0,0,F24-SUM(F8:F19))</f>
        <v>1514</v>
      </c>
      <c r="G7" s="554"/>
    </row>
    <row r="8" spans="1:7" ht="15.75">
      <c r="A8" s="553"/>
      <c r="B8" s="68" t="str">
        <f>IF(inputPrYr!$B18&gt;"  ",(inputPrYr!$B18),"  ")</f>
        <v>Debt Service</v>
      </c>
      <c r="C8" s="132">
        <f>IF(inputPrYr!$E18&gt;0,(inputPrYr!$E18),"  ")</f>
        <v>757979</v>
      </c>
      <c r="D8" s="132">
        <f>IF(inputPrYr!E18&gt;0,ROUND(C8*$D$27,0),"  ")</f>
        <v>100473</v>
      </c>
      <c r="E8" s="132">
        <f>IF(inputPrYr!E18&gt;0,ROUND(+C8*E$28,0)," ")</f>
        <v>1994</v>
      </c>
      <c r="F8" s="132">
        <f>IF(inputPrYr!E18&gt;0,ROUND(+C8*F$29,0)," ")</f>
        <v>1595</v>
      </c>
      <c r="G8" s="554"/>
    </row>
    <row r="9" spans="1:7" ht="15.75">
      <c r="A9" s="553"/>
      <c r="B9" s="68" t="str">
        <f>IF(inputPrYr!$B19&gt;"  ",(inputPrYr!$B19),"  ")</f>
        <v>Library</v>
      </c>
      <c r="C9" s="132">
        <f>IF(inputPrYr!$E19&gt;0,(inputPrYr!$E19),"  ")</f>
        <v>198733</v>
      </c>
      <c r="D9" s="132">
        <f>IF(inputPrYr!E19&gt;0,ROUND(C9*$D$27,0),"  ")</f>
        <v>26343</v>
      </c>
      <c r="E9" s="132">
        <f>IF(inputPrYr!E19&gt;0,ROUND(+C9*E$28,0)," ")</f>
        <v>523</v>
      </c>
      <c r="F9" s="132">
        <f>IF(inputPrYr!E19&gt;0,ROUND(+C9*F$29,0)," ")</f>
        <v>418</v>
      </c>
      <c r="G9" s="554"/>
    </row>
    <row r="10" spans="1:7" ht="15.75">
      <c r="A10" s="553"/>
      <c r="B10" s="68" t="str">
        <f>IF(inputPrYr!$B21&gt;"  ",(inputPrYr!$B21),"  ")</f>
        <v>Employee Benefit</v>
      </c>
      <c r="C10" s="132">
        <f>IF(inputPrYr!$E21&gt;0,(inputPrYr!$E21),"  ")</f>
        <v>542973</v>
      </c>
      <c r="D10" s="132">
        <f>IF(inputPrYr!E21&gt;0,ROUND(C10*$D$27,0),"  ")</f>
        <v>71973</v>
      </c>
      <c r="E10" s="132">
        <f>IF(inputPrYr!E21&gt;0,ROUND(+C10*E$28,0)," ")</f>
        <v>1429</v>
      </c>
      <c r="F10" s="132">
        <f>IF(inputPrYr!E21&gt;0,ROUND(+C10*F$29,0)," ")</f>
        <v>1143</v>
      </c>
      <c r="G10" s="554"/>
    </row>
    <row r="11" spans="1:7" ht="15.75">
      <c r="A11" s="553"/>
      <c r="B11" s="68" t="str">
        <f>IF(inputPrYr!$B22&gt;"  ",(inputPrYr!$B22),"  ")</f>
        <v>Emergency Equipment</v>
      </c>
      <c r="C11" s="132">
        <f>IF(inputPrYr!$E22&gt;0,(inputPrYr!$E22),"  ")</f>
        <v>42791</v>
      </c>
      <c r="D11" s="132">
        <f>IF(inputPrYr!E22&gt;0,ROUND(C11*$D$27,0),"  ")</f>
        <v>5672</v>
      </c>
      <c r="E11" s="132">
        <f>IF(inputPrYr!E22&gt;0,ROUND(+C11*E$28,0)," ")</f>
        <v>113</v>
      </c>
      <c r="F11" s="132">
        <f>IF(inputPrYr!E22&gt;0,ROUND(+C11*F$29,0)," ")</f>
        <v>90</v>
      </c>
      <c r="G11" s="554"/>
    </row>
    <row r="12" spans="1:7" ht="15.75">
      <c r="A12" s="553"/>
      <c r="B12" s="68" t="str">
        <f>IF(inputPrYr!$B23&gt;"  ",(inputPrYr!$B23),"  ")</f>
        <v>  </v>
      </c>
      <c r="C12" s="132" t="str">
        <f>IF(inputPrYr!$E23&gt;0,(inputPrYr!$E23),"  ")</f>
        <v>  </v>
      </c>
      <c r="D12" s="132" t="str">
        <f>IF(inputPrYr!E23&gt;0,ROUND(C12*$D$27,0),"  ")</f>
        <v>  </v>
      </c>
      <c r="E12" s="132" t="str">
        <f>IF(inputPrYr!E23&gt;0,ROUND(+C12*E$28,0)," ")</f>
        <v> </v>
      </c>
      <c r="F12" s="132" t="str">
        <f>IF(inputPrYr!E23&gt;0,ROUND(+C12*F$29,0)," ")</f>
        <v> </v>
      </c>
      <c r="G12" s="554"/>
    </row>
    <row r="13" spans="1:7" ht="15.75">
      <c r="A13" s="553"/>
      <c r="B13" s="68" t="str">
        <f>IF(inputPrYr!$B24&gt;"  ",(inputPrYr!$B24),"  ")</f>
        <v>  </v>
      </c>
      <c r="C13" s="132" t="str">
        <f>IF(inputPrYr!$E24&gt;0,(inputPrYr!$E24),"  ")</f>
        <v>  </v>
      </c>
      <c r="D13" s="132" t="str">
        <f>IF(inputPrYr!E24&gt;0,ROUND(C13*$D$27,0),"  ")</f>
        <v>  </v>
      </c>
      <c r="E13" s="132" t="str">
        <f>IF(inputPrYr!E24&gt;0,ROUND(+C13*E$28,0)," ")</f>
        <v> </v>
      </c>
      <c r="F13" s="132" t="str">
        <f>IF(inputPrYr!E24&gt;0,ROUND(+C13*F$29,0)," ")</f>
        <v> </v>
      </c>
      <c r="G13" s="554"/>
    </row>
    <row r="14" spans="1:7" ht="15.75">
      <c r="A14" s="553"/>
      <c r="B14" s="68" t="str">
        <f>IF(inputPrYr!$B25&gt;"  ",(inputPrYr!$B25),"  ")</f>
        <v>  </v>
      </c>
      <c r="C14" s="132" t="str">
        <f>IF(inputPrYr!$E25&gt;0,(inputPrYr!$E25),"  ")</f>
        <v>  </v>
      </c>
      <c r="D14" s="132" t="str">
        <f>IF(inputPrYr!E25&gt;0,ROUND(C14*$D$27,0),"  ")</f>
        <v>  </v>
      </c>
      <c r="E14" s="132" t="str">
        <f>IF(inputPrYr!E25&gt;0,ROUND(+C14*E$28,0)," ")</f>
        <v> </v>
      </c>
      <c r="F14" s="132" t="str">
        <f>IF(inputPrYr!E25&gt;0,ROUND(+C14*F$29,0)," ")</f>
        <v> </v>
      </c>
      <c r="G14" s="554"/>
    </row>
    <row r="15" spans="1:7" ht="15.75">
      <c r="A15" s="553"/>
      <c r="B15" s="68" t="str">
        <f>IF(inputPrYr!$B26&gt;"  ",(inputPrYr!$B26),"  ")</f>
        <v>  </v>
      </c>
      <c r="C15" s="132" t="str">
        <f>IF(inputPrYr!$E26&gt;0,(inputPrYr!$E26),"  ")</f>
        <v>  </v>
      </c>
      <c r="D15" s="132" t="str">
        <f>IF(inputPrYr!E26&gt;0,ROUND(C15*$D$27,0),"  ")</f>
        <v>  </v>
      </c>
      <c r="E15" s="132" t="str">
        <f>IF(inputPrYr!E26&gt;0,ROUND(+C15*E$28,0)," ")</f>
        <v> </v>
      </c>
      <c r="F15" s="132" t="str">
        <f>IF(inputPrYr!E26&gt;0,ROUND(+C15*F$29,0)," ")</f>
        <v> </v>
      </c>
      <c r="G15" s="554"/>
    </row>
    <row r="16" spans="1:7" ht="15.75">
      <c r="A16" s="553"/>
      <c r="B16" s="68" t="str">
        <f>IF(inputPrYr!$B27&gt;"  ",(inputPrYr!$B27),"  ")</f>
        <v>  </v>
      </c>
      <c r="C16" s="132" t="str">
        <f>IF(inputPrYr!$E27&gt;0,(inputPrYr!$E27),"  ")</f>
        <v>  </v>
      </c>
      <c r="D16" s="132" t="str">
        <f>IF(inputPrYr!E27&gt;0,ROUND(C16*$D$27,0),"  ")</f>
        <v>  </v>
      </c>
      <c r="E16" s="132" t="str">
        <f>IF(inputPrYr!E27&gt;0,ROUND(+C16*E$28,0)," ")</f>
        <v> </v>
      </c>
      <c r="F16" s="132" t="str">
        <f>IF(inputPrYr!E27&gt;0,ROUND(+C16*F$29,0)," ")</f>
        <v> </v>
      </c>
      <c r="G16" s="554"/>
    </row>
    <row r="17" spans="1:7" ht="15.75">
      <c r="A17" s="553"/>
      <c r="B17" s="68" t="str">
        <f>IF(inputPrYr!$B28&gt;"  ",(inputPrYr!$B28),"  ")</f>
        <v>  </v>
      </c>
      <c r="C17" s="132" t="str">
        <f>IF(inputPrYr!$E28&gt;0,(inputPrYr!$E28),"  ")</f>
        <v>  </v>
      </c>
      <c r="D17" s="132" t="str">
        <f>IF(inputPrYr!E28&gt;0,ROUND(C17*$D$27,0),"  ")</f>
        <v>  </v>
      </c>
      <c r="E17" s="132" t="str">
        <f>IF(inputPrYr!E28&gt;0,ROUND(+C17*E$28,0)," ")</f>
        <v> </v>
      </c>
      <c r="F17" s="132" t="str">
        <f>IF(inputPrYr!E28&gt;0,ROUND(+C17*F$29,0)," ")</f>
        <v> </v>
      </c>
      <c r="G17" s="554"/>
    </row>
    <row r="18" spans="1:7" ht="15.75">
      <c r="A18" s="553"/>
      <c r="B18" s="68" t="str">
        <f>IF(inputPrYr!$B29&gt;"  ",(inputPrYr!$B29),"  ")</f>
        <v>  </v>
      </c>
      <c r="C18" s="132" t="str">
        <f>IF(inputPrYr!$E29&gt;0,(inputPrYr!$E29),"  ")</f>
        <v>  </v>
      </c>
      <c r="D18" s="132" t="str">
        <f>IF(inputPrYr!E29&gt;0,ROUND(C18*$D$27,0),"  ")</f>
        <v>  </v>
      </c>
      <c r="E18" s="132" t="str">
        <f>IF(inputPrYr!E29&gt;0,ROUND(+C18*E$28,0)," ")</f>
        <v> </v>
      </c>
      <c r="F18" s="132" t="str">
        <f>IF(inputPrYr!E29&gt;0,ROUND(+C18*F$29,0)," ")</f>
        <v> </v>
      </c>
      <c r="G18" s="554"/>
    </row>
    <row r="19" spans="1:7" ht="15.75">
      <c r="A19" s="553"/>
      <c r="B19" s="68" t="str">
        <f>IF(inputPrYr!$B30&gt;"  ",(inputPrYr!$B30),"  ")</f>
        <v>  </v>
      </c>
      <c r="C19" s="132" t="str">
        <f>IF(inputPrYr!$E30&gt;0,(inputPrYr!$E30),"  ")</f>
        <v>  </v>
      </c>
      <c r="D19" s="132" t="str">
        <f>IF(inputPrYr!E30&gt;0,ROUND(C19*$D$27,0),"  ")</f>
        <v>  </v>
      </c>
      <c r="E19" s="132" t="str">
        <f>IF(inputPrYr!E30&gt;0,ROUND(+C19*E$28,0)," ")</f>
        <v> </v>
      </c>
      <c r="F19" s="132" t="str">
        <f>IF(inputPrYr!E30&gt;0,ROUND(+C19*F$29,0)," ")</f>
        <v> </v>
      </c>
      <c r="G19" s="554"/>
    </row>
    <row r="20" spans="1:7" ht="15.75">
      <c r="A20" s="553"/>
      <c r="B20" s="555" t="s">
        <v>19</v>
      </c>
      <c r="C20" s="138">
        <f>SUM(C7:C19)</f>
        <v>2261493</v>
      </c>
      <c r="D20" s="138">
        <f>SUM(D7:D19)</f>
        <v>299770</v>
      </c>
      <c r="E20" s="138">
        <f>SUM(E7:E19)</f>
        <v>5950</v>
      </c>
      <c r="F20" s="138">
        <f>SUM(F7:F19)</f>
        <v>4760</v>
      </c>
      <c r="G20" s="554"/>
    </row>
    <row r="21" spans="1:7" ht="15.75">
      <c r="A21" s="553"/>
      <c r="B21" s="22"/>
      <c r="C21" s="22"/>
      <c r="D21" s="22"/>
      <c r="E21" s="22"/>
      <c r="F21" s="22"/>
      <c r="G21" s="22"/>
    </row>
    <row r="22" spans="1:7" ht="15.75">
      <c r="A22" s="553"/>
      <c r="B22" s="29" t="s">
        <v>20</v>
      </c>
      <c r="C22" s="169"/>
      <c r="D22" s="170">
        <f>(inputOth!E39)</f>
        <v>299770</v>
      </c>
      <c r="E22" s="169"/>
      <c r="F22" s="22"/>
      <c r="G22" s="22"/>
    </row>
    <row r="23" spans="1:7" ht="15.75">
      <c r="A23" s="553"/>
      <c r="B23" s="29" t="s">
        <v>21</v>
      </c>
      <c r="C23" s="22"/>
      <c r="D23" s="22"/>
      <c r="E23" s="170">
        <f>(inputOth!E40)</f>
        <v>5950</v>
      </c>
      <c r="F23" s="22"/>
      <c r="G23" s="22"/>
    </row>
    <row r="24" spans="1:7" ht="15.75">
      <c r="A24" s="553"/>
      <c r="B24" s="29" t="s">
        <v>95</v>
      </c>
      <c r="C24" s="22"/>
      <c r="D24" s="22"/>
      <c r="E24" s="22"/>
      <c r="F24" s="170">
        <f>inputOth!E41</f>
        <v>4760</v>
      </c>
      <c r="G24" s="22"/>
    </row>
    <row r="25" spans="1:7" ht="15.75">
      <c r="A25" s="553"/>
      <c r="B25" s="61"/>
      <c r="C25" s="60"/>
      <c r="D25" s="60"/>
      <c r="E25" s="60"/>
      <c r="F25" s="171"/>
      <c r="G25" s="58"/>
    </row>
    <row r="26" spans="1:7" ht="15.75">
      <c r="A26" s="553"/>
      <c r="B26" s="29"/>
      <c r="C26" s="22"/>
      <c r="D26" s="22"/>
      <c r="E26" s="22"/>
      <c r="F26" s="171"/>
      <c r="G26" s="22"/>
    </row>
    <row r="27" spans="1:7" ht="15.75">
      <c r="A27" s="553"/>
      <c r="B27" s="29" t="s">
        <v>22</v>
      </c>
      <c r="C27" s="22"/>
      <c r="D27" s="172">
        <f>IF(C20=0,0,D22/C20)</f>
        <v>0.13255402515064163</v>
      </c>
      <c r="E27" s="22"/>
      <c r="F27" s="22"/>
      <c r="G27" s="22"/>
    </row>
    <row r="28" spans="1:7" ht="15.75">
      <c r="A28" s="553"/>
      <c r="B28" s="22"/>
      <c r="C28" s="29" t="s">
        <v>23</v>
      </c>
      <c r="D28" s="22"/>
      <c r="E28" s="172">
        <f>IF(C20=0,0,E23/C20)</f>
        <v>0.002631005269527697</v>
      </c>
      <c r="F28" s="22"/>
      <c r="G28" s="22"/>
    </row>
    <row r="29" spans="1:7" ht="15.75">
      <c r="A29" s="553"/>
      <c r="B29" s="22"/>
      <c r="C29" s="22"/>
      <c r="D29" s="29" t="s">
        <v>96</v>
      </c>
      <c r="E29" s="22"/>
      <c r="F29" s="172">
        <f>IF(F24=0,0,F24/C20)</f>
        <v>0.0021048042156221578</v>
      </c>
      <c r="G29" s="22"/>
    </row>
    <row r="30" spans="1:7" ht="15.75">
      <c r="A30" s="553"/>
      <c r="B30" s="22"/>
      <c r="C30" s="22"/>
      <c r="D30" s="22"/>
      <c r="E30" s="22"/>
      <c r="F30" s="22"/>
      <c r="G30" s="22"/>
    </row>
    <row r="31" spans="1:7" ht="15" customHeight="1">
      <c r="A31" s="553"/>
      <c r="B31" s="85"/>
      <c r="C31" s="85"/>
      <c r="D31" s="85"/>
      <c r="E31" s="85"/>
      <c r="F31" s="85"/>
      <c r="G31" s="85"/>
    </row>
    <row r="32" ht="15" customHeight="1"/>
    <row r="33" s="173"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sheet="1"/>
  <mergeCells count="2">
    <mergeCell ref="B3:F3"/>
    <mergeCell ref="D5:F5"/>
  </mergeCells>
  <printOptions/>
  <pageMargins left="0.5" right="0.5" top="0.5" bottom="0" header="0.25" footer="0"/>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6">
      <selection activeCell="H21" sqref="H21"/>
    </sheetView>
  </sheetViews>
  <sheetFormatPr defaultColWidth="8.796875" defaultRowHeight="15"/>
  <cols>
    <col min="1" max="2" width="17.796875" style="8" customWidth="1"/>
    <col min="3" max="6" width="12.796875" style="8" customWidth="1"/>
    <col min="7" max="16384" width="8.8984375" style="8" customWidth="1"/>
  </cols>
  <sheetData>
    <row r="1" spans="1:6" ht="15.75">
      <c r="A1" s="84" t="str">
        <f>inputPrYr!D2</f>
        <v>Valley Center</v>
      </c>
      <c r="B1" s="84"/>
      <c r="C1" s="86"/>
      <c r="D1" s="86"/>
      <c r="E1" s="86"/>
      <c r="F1" s="86">
        <f>inputPrYr!$C$5</f>
        <v>2013</v>
      </c>
    </row>
    <row r="2" spans="1:6" ht="15.75">
      <c r="A2" s="86"/>
      <c r="B2" s="86"/>
      <c r="C2" s="86"/>
      <c r="D2" s="86"/>
      <c r="E2" s="86"/>
      <c r="F2" s="86"/>
    </row>
    <row r="3" spans="1:6" ht="15.75">
      <c r="A3" s="800" t="s">
        <v>148</v>
      </c>
      <c r="B3" s="800"/>
      <c r="C3" s="800"/>
      <c r="D3" s="800"/>
      <c r="E3" s="800"/>
      <c r="F3" s="800"/>
    </row>
    <row r="4" spans="1:6" ht="15.75">
      <c r="A4" s="174"/>
      <c r="B4" s="174"/>
      <c r="C4" s="174"/>
      <c r="D4" s="174"/>
      <c r="E4" s="174"/>
      <c r="F4" s="174"/>
    </row>
    <row r="5" spans="1:6" ht="15.75">
      <c r="A5" s="175" t="s">
        <v>614</v>
      </c>
      <c r="B5" s="175" t="s">
        <v>616</v>
      </c>
      <c r="C5" s="175" t="s">
        <v>44</v>
      </c>
      <c r="D5" s="175" t="s">
        <v>161</v>
      </c>
      <c r="E5" s="175" t="s">
        <v>162</v>
      </c>
      <c r="F5" s="175" t="s">
        <v>199</v>
      </c>
    </row>
    <row r="6" spans="1:6" ht="15.75">
      <c r="A6" s="176" t="s">
        <v>615</v>
      </c>
      <c r="B6" s="176" t="s">
        <v>617</v>
      </c>
      <c r="C6" s="176" t="s">
        <v>200</v>
      </c>
      <c r="D6" s="176" t="s">
        <v>200</v>
      </c>
      <c r="E6" s="176" t="s">
        <v>200</v>
      </c>
      <c r="F6" s="176" t="s">
        <v>201</v>
      </c>
    </row>
    <row r="7" spans="1:6" ht="15" customHeight="1">
      <c r="A7" s="177" t="s">
        <v>202</v>
      </c>
      <c r="B7" s="177" t="s">
        <v>203</v>
      </c>
      <c r="C7" s="178">
        <f>F1-2</f>
        <v>2011</v>
      </c>
      <c r="D7" s="178">
        <f>F1-1</f>
        <v>2012</v>
      </c>
      <c r="E7" s="178">
        <f>F1</f>
        <v>2013</v>
      </c>
      <c r="F7" s="177" t="s">
        <v>204</v>
      </c>
    </row>
    <row r="8" spans="1:6" ht="14.25" customHeight="1">
      <c r="A8" s="179" t="s">
        <v>993</v>
      </c>
      <c r="B8" s="179" t="s">
        <v>123</v>
      </c>
      <c r="C8" s="521">
        <v>60000</v>
      </c>
      <c r="D8" s="521">
        <v>100000</v>
      </c>
      <c r="E8" s="521">
        <v>60000</v>
      </c>
      <c r="F8" s="179" t="s">
        <v>994</v>
      </c>
    </row>
    <row r="9" spans="1:6" ht="15" customHeight="1">
      <c r="A9" s="180" t="s">
        <v>993</v>
      </c>
      <c r="B9" s="180" t="s">
        <v>975</v>
      </c>
      <c r="C9" s="522">
        <v>5000</v>
      </c>
      <c r="D9" s="522">
        <v>5000</v>
      </c>
      <c r="E9" s="522">
        <v>5000</v>
      </c>
      <c r="F9" s="180" t="s">
        <v>995</v>
      </c>
    </row>
    <row r="10" spans="1:6" ht="15" customHeight="1">
      <c r="A10" s="180" t="s">
        <v>984</v>
      </c>
      <c r="B10" s="180" t="s">
        <v>975</v>
      </c>
      <c r="C10" s="522">
        <v>500</v>
      </c>
      <c r="D10" s="522">
        <v>500</v>
      </c>
      <c r="E10" s="522">
        <v>500</v>
      </c>
      <c r="F10" s="180" t="s">
        <v>995</v>
      </c>
    </row>
    <row r="11" spans="1:6" ht="15" customHeight="1">
      <c r="A11" s="180" t="s">
        <v>123</v>
      </c>
      <c r="B11" s="180" t="s">
        <v>975</v>
      </c>
      <c r="C11" s="522">
        <v>1000</v>
      </c>
      <c r="D11" s="522">
        <v>1000</v>
      </c>
      <c r="E11" s="522">
        <v>1000</v>
      </c>
      <c r="F11" s="180" t="s">
        <v>995</v>
      </c>
    </row>
    <row r="12" spans="1:6" ht="15" customHeight="1">
      <c r="A12" s="180" t="s">
        <v>984</v>
      </c>
      <c r="B12" s="180" t="s">
        <v>299</v>
      </c>
      <c r="C12" s="522">
        <v>180500</v>
      </c>
      <c r="D12" s="522">
        <v>180500</v>
      </c>
      <c r="E12" s="522">
        <v>186400</v>
      </c>
      <c r="F12" s="180" t="s">
        <v>996</v>
      </c>
    </row>
    <row r="13" spans="1:6" ht="15" customHeight="1">
      <c r="A13" s="180" t="s">
        <v>982</v>
      </c>
      <c r="B13" s="180" t="s">
        <v>299</v>
      </c>
      <c r="C13" s="522">
        <v>20000</v>
      </c>
      <c r="D13" s="522">
        <v>20000</v>
      </c>
      <c r="E13" s="522">
        <v>20000</v>
      </c>
      <c r="F13" s="180" t="s">
        <v>996</v>
      </c>
    </row>
    <row r="14" spans="1:6" ht="15" customHeight="1">
      <c r="A14" s="180" t="s">
        <v>123</v>
      </c>
      <c r="B14" s="180" t="s">
        <v>299</v>
      </c>
      <c r="C14" s="522">
        <v>10000</v>
      </c>
      <c r="D14" s="522">
        <v>10000</v>
      </c>
      <c r="E14" s="522">
        <v>10000</v>
      </c>
      <c r="F14" s="180" t="s">
        <v>996</v>
      </c>
    </row>
    <row r="15" spans="1:6" ht="15" customHeight="1">
      <c r="A15" s="180" t="s">
        <v>984</v>
      </c>
      <c r="B15" s="180" t="s">
        <v>997</v>
      </c>
      <c r="C15" s="522">
        <v>219890</v>
      </c>
      <c r="D15" s="522">
        <v>228500</v>
      </c>
      <c r="E15" s="522">
        <v>210000</v>
      </c>
      <c r="F15" s="180" t="s">
        <v>996</v>
      </c>
    </row>
    <row r="16" spans="1:6" ht="15" customHeight="1">
      <c r="A16" s="180" t="s">
        <v>981</v>
      </c>
      <c r="B16" s="180" t="s">
        <v>998</v>
      </c>
      <c r="C16" s="522">
        <v>200370</v>
      </c>
      <c r="D16" s="522">
        <v>194290</v>
      </c>
      <c r="E16" s="522">
        <v>0</v>
      </c>
      <c r="F16" s="180" t="s">
        <v>996</v>
      </c>
    </row>
    <row r="17" spans="1:6" ht="15" customHeight="1">
      <c r="A17" s="180" t="s">
        <v>981</v>
      </c>
      <c r="B17" s="180" t="s">
        <v>999</v>
      </c>
      <c r="C17" s="522">
        <v>81600</v>
      </c>
      <c r="D17" s="522">
        <v>79940</v>
      </c>
      <c r="E17" s="522">
        <v>0</v>
      </c>
      <c r="F17" s="180" t="s">
        <v>996</v>
      </c>
    </row>
    <row r="18" spans="1:6" ht="15" customHeight="1">
      <c r="A18" s="180" t="s">
        <v>981</v>
      </c>
      <c r="B18" s="180" t="s">
        <v>1084</v>
      </c>
      <c r="C18" s="522">
        <v>0</v>
      </c>
      <c r="D18" s="522">
        <v>0</v>
      </c>
      <c r="E18" s="522">
        <v>194500</v>
      </c>
      <c r="F18" s="180" t="s">
        <v>996</v>
      </c>
    </row>
    <row r="19" spans="1:6" ht="15" customHeight="1">
      <c r="A19" s="180" t="s">
        <v>981</v>
      </c>
      <c r="B19" s="180" t="s">
        <v>1085</v>
      </c>
      <c r="C19" s="522">
        <v>0</v>
      </c>
      <c r="D19" s="522">
        <v>0</v>
      </c>
      <c r="E19" s="522">
        <v>80000</v>
      </c>
      <c r="F19" s="180" t="s">
        <v>996</v>
      </c>
    </row>
    <row r="20" spans="1:6" ht="15" customHeight="1">
      <c r="A20" s="804" t="s">
        <v>1000</v>
      </c>
      <c r="B20" s="805"/>
      <c r="C20" s="522"/>
      <c r="D20" s="522"/>
      <c r="E20" s="522"/>
      <c r="F20" s="180"/>
    </row>
    <row r="21" spans="1:6" ht="15" customHeight="1">
      <c r="A21" s="180" t="s">
        <v>981</v>
      </c>
      <c r="B21" s="180" t="s">
        <v>993</v>
      </c>
      <c r="C21" s="522">
        <v>50000</v>
      </c>
      <c r="D21" s="522">
        <v>50000</v>
      </c>
      <c r="E21" s="522">
        <v>50000</v>
      </c>
      <c r="F21" s="180" t="s">
        <v>1001</v>
      </c>
    </row>
    <row r="22" spans="1:6" ht="15" customHeight="1">
      <c r="A22" s="180" t="s">
        <v>984</v>
      </c>
      <c r="B22" s="180" t="s">
        <v>993</v>
      </c>
      <c r="C22" s="522">
        <v>50000</v>
      </c>
      <c r="D22" s="522">
        <v>50000</v>
      </c>
      <c r="E22" s="522">
        <v>50000</v>
      </c>
      <c r="F22" s="180" t="s">
        <v>1001</v>
      </c>
    </row>
    <row r="23" spans="1:6" ht="15" customHeight="1">
      <c r="A23" s="180" t="s">
        <v>982</v>
      </c>
      <c r="B23" s="180" t="s">
        <v>993</v>
      </c>
      <c r="C23" s="522">
        <v>35000</v>
      </c>
      <c r="D23" s="522">
        <v>20000</v>
      </c>
      <c r="E23" s="522">
        <v>20000</v>
      </c>
      <c r="F23" s="180" t="s">
        <v>1001</v>
      </c>
    </row>
    <row r="24" spans="1:6" ht="15" customHeight="1">
      <c r="A24" s="180" t="s">
        <v>983</v>
      </c>
      <c r="B24" s="180" t="s">
        <v>993</v>
      </c>
      <c r="C24" s="522">
        <v>9000</v>
      </c>
      <c r="D24" s="522">
        <v>9000</v>
      </c>
      <c r="E24" s="522">
        <v>15000</v>
      </c>
      <c r="F24" s="180" t="s">
        <v>1001</v>
      </c>
    </row>
    <row r="25" spans="1:6" ht="15" customHeight="1">
      <c r="A25" s="180"/>
      <c r="B25" s="180"/>
      <c r="C25" s="522"/>
      <c r="D25" s="522"/>
      <c r="E25" s="522"/>
      <c r="F25" s="180"/>
    </row>
    <row r="26" spans="1:6" ht="15" customHeight="1">
      <c r="A26" s="181"/>
      <c r="B26" s="182" t="s">
        <v>12</v>
      </c>
      <c r="C26" s="520">
        <f>SUM(C8:C25)</f>
        <v>922860</v>
      </c>
      <c r="D26" s="520">
        <f>SUM(D8:D25)</f>
        <v>948730</v>
      </c>
      <c r="E26" s="520">
        <f>SUM(E8:E25)</f>
        <v>902400</v>
      </c>
      <c r="F26" s="181"/>
    </row>
    <row r="27" spans="1:6" ht="15" customHeight="1">
      <c r="A27" s="181"/>
      <c r="B27" s="184" t="s">
        <v>618</v>
      </c>
      <c r="C27" s="137"/>
      <c r="D27" s="180"/>
      <c r="E27" s="180"/>
      <c r="F27" s="181"/>
    </row>
    <row r="28" spans="1:6" ht="15" customHeight="1">
      <c r="A28" s="181"/>
      <c r="B28" s="182" t="s">
        <v>205</v>
      </c>
      <c r="C28" s="520">
        <f>C26</f>
        <v>922860</v>
      </c>
      <c r="D28" s="520">
        <f>SUM(D26-D27)</f>
        <v>948730</v>
      </c>
      <c r="E28" s="520">
        <f>SUM(E26-E27)</f>
        <v>902400</v>
      </c>
      <c r="F28" s="181"/>
    </row>
    <row r="29" spans="1:6" ht="15" customHeight="1">
      <c r="A29" s="78"/>
      <c r="B29" s="78"/>
      <c r="C29" s="78"/>
      <c r="D29" s="78"/>
      <c r="E29" s="78"/>
      <c r="F29" s="78"/>
    </row>
    <row r="30" spans="1:6" ht="15" customHeight="1">
      <c r="A30" s="78"/>
      <c r="B30" s="78"/>
      <c r="C30" s="78"/>
      <c r="D30" s="78"/>
      <c r="E30" s="78"/>
      <c r="F30" s="78"/>
    </row>
    <row r="31" spans="1:6" ht="21.75" customHeight="1">
      <c r="A31" s="347" t="s">
        <v>613</v>
      </c>
      <c r="B31" s="348" t="str">
        <f>CONCATENATE("Adjustments are required only if the transfer is being made in ",D7," and/or ",E7," from a non-budgeted fund.")</f>
        <v>Adjustments are required only if the transfer is being made in 2012 and/or 2013 from a non-budgeted fund.</v>
      </c>
      <c r="C31" s="78"/>
      <c r="D31" s="78"/>
      <c r="E31" s="78"/>
      <c r="F31" s="78"/>
    </row>
    <row r="32" ht="15" customHeight="1"/>
  </sheetData>
  <sheetProtection/>
  <mergeCells count="2">
    <mergeCell ref="A3:F3"/>
    <mergeCell ref="A20:B20"/>
  </mergeCells>
  <printOptions/>
  <pageMargins left="1" right="1" top="1" bottom="1" header="0.5" footer="0.5"/>
  <pageSetup blackAndWhite="1" fitToHeight="1" fitToWidth="1" horizontalDpi="600" verticalDpi="600" orientation="portrait" scale="73" r:id="rId1"/>
  <headerFooter alignWithMargins="0">
    <oddHeader>&amp;RState of Kansans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22" customWidth="1"/>
    <col min="2" max="16384" width="8.8984375" style="322" customWidth="1"/>
  </cols>
  <sheetData>
    <row r="1" ht="18.75">
      <c r="A1" s="324" t="s">
        <v>347</v>
      </c>
    </row>
    <row r="2" ht="18.75">
      <c r="A2" s="324"/>
    </row>
    <row r="3" ht="18.75">
      <c r="A3" s="324"/>
    </row>
    <row r="4" ht="51.75" customHeight="1">
      <c r="A4" s="470" t="s">
        <v>739</v>
      </c>
    </row>
    <row r="5" ht="18.75">
      <c r="A5" s="324"/>
    </row>
    <row r="6" ht="15.75">
      <c r="A6" s="325"/>
    </row>
    <row r="7" ht="47.25">
      <c r="A7" s="326" t="s">
        <v>348</v>
      </c>
    </row>
    <row r="8" ht="15.75">
      <c r="A8" s="325"/>
    </row>
    <row r="9" ht="15.75">
      <c r="A9" s="325"/>
    </row>
    <row r="10" ht="63">
      <c r="A10" s="326" t="s">
        <v>349</v>
      </c>
    </row>
    <row r="11" ht="15.75">
      <c r="A11" s="471"/>
    </row>
    <row r="12" ht="15.75">
      <c r="A12" s="325"/>
    </row>
    <row r="13" ht="47.25">
      <c r="A13" s="326" t="s">
        <v>350</v>
      </c>
    </row>
    <row r="14" ht="15.75">
      <c r="A14" s="471"/>
    </row>
    <row r="15" ht="15.75">
      <c r="A15" s="325"/>
    </row>
    <row r="16" ht="47.25">
      <c r="A16" s="326" t="s">
        <v>351</v>
      </c>
    </row>
    <row r="17" ht="15.75">
      <c r="A17" s="471"/>
    </row>
    <row r="18" ht="15.75">
      <c r="A18" s="471"/>
    </row>
    <row r="19" ht="47.25">
      <c r="A19" s="326" t="s">
        <v>352</v>
      </c>
    </row>
    <row r="20" ht="15.75">
      <c r="A20" s="471"/>
    </row>
    <row r="21" ht="15.75">
      <c r="A21" s="471"/>
    </row>
    <row r="22" ht="47.25">
      <c r="A22" s="326" t="s">
        <v>353</v>
      </c>
    </row>
    <row r="23" ht="15.75">
      <c r="A23" s="471"/>
    </row>
    <row r="24" ht="15.75">
      <c r="A24" s="471"/>
    </row>
    <row r="25" ht="31.5">
      <c r="A25" s="326" t="s">
        <v>354</v>
      </c>
    </row>
    <row r="26" ht="15.75">
      <c r="A26" s="325"/>
    </row>
    <row r="27" ht="15.75">
      <c r="A27" s="325"/>
    </row>
    <row r="28" ht="60">
      <c r="A28" s="472" t="s">
        <v>355</v>
      </c>
    </row>
    <row r="29" ht="15">
      <c r="A29" s="473"/>
    </row>
    <row r="30" ht="15">
      <c r="A30" s="473"/>
    </row>
    <row r="31" ht="47.25">
      <c r="A31" s="326" t="s">
        <v>356</v>
      </c>
    </row>
    <row r="32" ht="15.75">
      <c r="A32" s="325"/>
    </row>
    <row r="33" ht="15.75">
      <c r="A33" s="325"/>
    </row>
    <row r="34" ht="66.75" customHeight="1">
      <c r="A34" s="469" t="s">
        <v>740</v>
      </c>
    </row>
    <row r="35" ht="15.75">
      <c r="A35" s="325"/>
    </row>
    <row r="36" ht="15.75">
      <c r="A36" s="325"/>
    </row>
    <row r="37" ht="63">
      <c r="A37" s="474" t="s">
        <v>357</v>
      </c>
    </row>
    <row r="38" ht="15.75">
      <c r="A38" s="471"/>
    </row>
    <row r="39" ht="15.75">
      <c r="A39" s="325"/>
    </row>
    <row r="40" ht="63">
      <c r="A40" s="326" t="s">
        <v>358</v>
      </c>
    </row>
    <row r="41" ht="15.75">
      <c r="A41" s="471"/>
    </row>
    <row r="42" ht="15.75">
      <c r="A42" s="471"/>
    </row>
    <row r="43" ht="82.5" customHeight="1">
      <c r="A43" s="467" t="s">
        <v>741</v>
      </c>
    </row>
    <row r="44" ht="15.75">
      <c r="A44" s="471"/>
    </row>
    <row r="45" ht="15.75">
      <c r="A45" s="471"/>
    </row>
    <row r="46" ht="69" customHeight="1">
      <c r="A46" s="467" t="s">
        <v>742</v>
      </c>
    </row>
    <row r="47" ht="15.75">
      <c r="A47" s="471"/>
    </row>
    <row r="48" ht="15.75">
      <c r="A48" s="471"/>
    </row>
    <row r="49" ht="69" customHeight="1">
      <c r="A49" s="467" t="s">
        <v>743</v>
      </c>
    </row>
    <row r="50" ht="15.75">
      <c r="A50" s="471"/>
    </row>
    <row r="51" ht="15.75">
      <c r="A51" s="471"/>
    </row>
    <row r="52" ht="54.75" customHeight="1">
      <c r="A52" s="467" t="s">
        <v>879</v>
      </c>
    </row>
    <row r="53" ht="15.75">
      <c r="A53" s="471"/>
    </row>
    <row r="54" ht="15.75">
      <c r="A54" s="471"/>
    </row>
    <row r="55" ht="63">
      <c r="A55" s="326" t="s">
        <v>359</v>
      </c>
    </row>
    <row r="56" ht="15.75">
      <c r="A56" s="471"/>
    </row>
    <row r="57" ht="15.75">
      <c r="A57" s="471"/>
    </row>
    <row r="58" ht="63">
      <c r="A58" s="326" t="s">
        <v>360</v>
      </c>
    </row>
    <row r="59" ht="15.75">
      <c r="A59" s="471"/>
    </row>
    <row r="60" ht="15.75">
      <c r="A60" s="471"/>
    </row>
    <row r="61" ht="47.25">
      <c r="A61" s="326" t="s">
        <v>361</v>
      </c>
    </row>
    <row r="62" ht="15.75">
      <c r="A62" s="471"/>
    </row>
    <row r="63" ht="15.75">
      <c r="A63" s="471"/>
    </row>
    <row r="64" ht="47.25">
      <c r="A64" s="326" t="s">
        <v>362</v>
      </c>
    </row>
    <row r="65" ht="15.75">
      <c r="A65" s="471"/>
    </row>
    <row r="66" ht="15.75">
      <c r="A66" s="471"/>
    </row>
    <row r="67" ht="78.75">
      <c r="A67" s="326" t="s">
        <v>363</v>
      </c>
    </row>
    <row r="68" ht="15">
      <c r="A68" s="475"/>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2012-08-23T18:21:21Z</cp:lastPrinted>
  <dcterms:created xsi:type="dcterms:W3CDTF">1999-08-03T13:11:47Z</dcterms:created>
  <dcterms:modified xsi:type="dcterms:W3CDTF">2014-01-21T21:08:03Z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