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1170" tabRatio="909" activeTab="5"/>
  </bookViews>
  <sheets>
    <sheet name="Instructions" sheetId="1" r:id="rId1"/>
    <sheet name="inputPrYr" sheetId="2" r:id="rId2"/>
    <sheet name="inputOth" sheetId="29" r:id="rId3"/>
    <sheet name="inputBudSum" sheetId="49" r:id="rId4"/>
    <sheet name="NotPub" sheetId="51" r:id="rId5"/>
    <sheet name="SignCert" sheetId="50" r:id="rId6"/>
    <sheet name="cert" sheetId="3" r:id="rId7"/>
    <sheet name="computation" sheetId="24" r:id="rId8"/>
    <sheet name="mvalloc" sheetId="5" r:id="rId9"/>
    <sheet name="transfers" sheetId="27" r:id="rId10"/>
    <sheet name="TransferStatutes" sheetId="37" r:id="rId11"/>
    <sheet name="debt" sheetId="22" r:id="rId12"/>
    <sheet name="lpform" sheetId="23" r:id="rId13"/>
    <sheet name="Library Grant " sheetId="48" r:id="rId14"/>
    <sheet name="general" sheetId="7" r:id="rId15"/>
    <sheet name="GenDetail" sheetId="9" r:id="rId16"/>
    <sheet name="DebtSvs-Library" sheetId="28" r:id="rId17"/>
    <sheet name="levy page9" sheetId="8" r:id="rId18"/>
    <sheet name="levy page10" sheetId="10" r:id="rId19"/>
    <sheet name="levy page11" sheetId="11" r:id="rId20"/>
    <sheet name="levy page12" sheetId="12" r:id="rId21"/>
    <sheet name="levy page13" sheetId="13" r:id="rId22"/>
    <sheet name="Sp Hiway &amp; Sp Parks" sheetId="14" r:id="rId23"/>
    <sheet name="Electric &amp; Water Utility" sheetId="15" r:id="rId24"/>
    <sheet name="Sewer &amp; Refuse Utility" sheetId="16" r:id="rId25"/>
    <sheet name="Theater &amp; Tourism" sheetId="17" r:id="rId26"/>
    <sheet name="EMS Building" sheetId="31" r:id="rId27"/>
    <sheet name="SinNoLevy19" sheetId="32" r:id="rId28"/>
    <sheet name="SinNoLevy20" sheetId="33" r:id="rId29"/>
    <sheet name="SinNoLevy21" sheetId="34" r:id="rId30"/>
    <sheet name="NonBudA" sheetId="30" r:id="rId31"/>
    <sheet name="NonBudB" sheetId="35" r:id="rId32"/>
    <sheet name="NonBudFunds" sheetId="43" r:id="rId33"/>
    <sheet name="summ" sheetId="21" r:id="rId34"/>
    <sheet name="nhood" sheetId="36" r:id="rId35"/>
    <sheet name="Ordinance" sheetId="26" r:id="rId36"/>
    <sheet name="Tab A" sheetId="38" r:id="rId37"/>
    <sheet name="Tab B" sheetId="39" r:id="rId38"/>
    <sheet name="Tab C" sheetId="40" r:id="rId39"/>
    <sheet name="Tab D" sheetId="41" r:id="rId40"/>
    <sheet name="Tab E" sheetId="42" r:id="rId41"/>
    <sheet name="Mill Rate Computation" sheetId="45" r:id="rId42"/>
    <sheet name="Helpful Links" sheetId="46" r:id="rId43"/>
    <sheet name="Legend" sheetId="25" r:id="rId44"/>
  </sheets>
  <definedNames>
    <definedName name="_xlnm.Print_Area" localSheetId="6">cert!$B$1:$G$48</definedName>
    <definedName name="_xlnm.Print_Area" localSheetId="16">'DebtSvs-Library'!$B$1:$E$31</definedName>
    <definedName name="_xlnm.Print_Area" localSheetId="23">'Electric &amp; Water Utility'!$B$1:$E$54</definedName>
    <definedName name="_xlnm.Print_Area" localSheetId="15">GenDetail!$A$1:$D$44</definedName>
    <definedName name="_xlnm.Print_Area" localSheetId="14">general!$B$1:$E$89</definedName>
    <definedName name="_xlnm.Print_Area" localSheetId="1">inputPrYr!$A$1:$E$118</definedName>
    <definedName name="_xlnm.Print_Area" localSheetId="0">Instructions!$A$1:$A$102</definedName>
    <definedName name="_xlnm.Print_Area" localSheetId="18">'levy page10'!$B$1:$E$83</definedName>
    <definedName name="_xlnm.Print_Area" localSheetId="19">'levy page11'!$A$1:$E$83</definedName>
    <definedName name="_xlnm.Print_Area" localSheetId="20">'levy page12'!$A$1:$E$83</definedName>
    <definedName name="_xlnm.Print_Area" localSheetId="21">'levy page13'!$A$1:$E$83</definedName>
    <definedName name="_xlnm.Print_Area" localSheetId="17">'levy page9'!$A$1:$E$83</definedName>
    <definedName name="_xlnm.Print_Area" localSheetId="13">'Library Grant '!$A$1:$J$40</definedName>
    <definedName name="_xlnm.Print_Area" localSheetId="12">lpform!$B$1:$I$38</definedName>
    <definedName name="_xlnm.Print_Area" localSheetId="41">'Mill Rate Computation'!#REF!</definedName>
    <definedName name="_xlnm.Print_Area" localSheetId="30">NonBudA!$A$1:$K$33</definedName>
    <definedName name="_xlnm.Print_Area" localSheetId="33">summ!$A$2:$H$46</definedName>
  </definedNames>
  <calcPr calcId="125725"/>
</workbook>
</file>

<file path=xl/calcChain.xml><?xml version="1.0" encoding="utf-8"?>
<calcChain xmlns="http://schemas.openxmlformats.org/spreadsheetml/2006/main">
  <c r="E64" i="7"/>
  <c r="C38" i="28"/>
  <c r="C50" i="15"/>
  <c r="C46"/>
  <c r="C47"/>
  <c r="C16"/>
  <c r="C19"/>
  <c r="B1" i="28"/>
  <c r="E1"/>
  <c r="H24" s="1"/>
  <c r="E39" i="16"/>
  <c r="E40"/>
  <c r="E42"/>
  <c r="E14"/>
  <c r="E22" i="31"/>
  <c r="E17"/>
  <c r="E18"/>
  <c r="E19"/>
  <c r="E20"/>
  <c r="E21"/>
  <c r="E16"/>
  <c r="E28" i="15"/>
  <c r="E39"/>
  <c r="F39"/>
  <c r="E73" i="7"/>
  <c r="E25" i="17"/>
  <c r="E17"/>
  <c r="E18"/>
  <c r="E19"/>
  <c r="E20"/>
  <c r="E21"/>
  <c r="E22"/>
  <c r="E23"/>
  <c r="E24"/>
  <c r="E16"/>
  <c r="E9"/>
  <c r="E10"/>
  <c r="E11"/>
  <c r="E8"/>
  <c r="F28" i="15"/>
  <c r="F64" i="7"/>
  <c r="E18" i="16"/>
  <c r="E21"/>
  <c r="E10" i="27"/>
  <c r="D10"/>
  <c r="E14"/>
  <c r="E12"/>
  <c r="E9"/>
  <c r="D14"/>
  <c r="D12"/>
  <c r="D9"/>
  <c r="D41" i="17"/>
  <c r="E27"/>
  <c r="D17"/>
  <c r="D18"/>
  <c r="D19"/>
  <c r="D20"/>
  <c r="D21"/>
  <c r="D22"/>
  <c r="D23"/>
  <c r="D24"/>
  <c r="D25"/>
  <c r="D26"/>
  <c r="D16"/>
  <c r="D11"/>
  <c r="D9"/>
  <c r="D10"/>
  <c r="D8"/>
  <c r="E31" i="7"/>
  <c r="E13" i="27"/>
  <c r="D31" i="7"/>
  <c r="D13" i="27"/>
  <c r="D41" i="16"/>
  <c r="E41" s="1"/>
  <c r="D38"/>
  <c r="E38" s="1"/>
  <c r="E48" s="1"/>
  <c r="D32"/>
  <c r="E32" s="1"/>
  <c r="E35" s="1"/>
  <c r="E34" s="1"/>
  <c r="E30" i="7"/>
  <c r="E11" i="27"/>
  <c r="D30" i="7"/>
  <c r="D11" i="27"/>
  <c r="D8" i="16"/>
  <c r="E8" s="1"/>
  <c r="E11" s="1"/>
  <c r="E32" i="7"/>
  <c r="E8" i="27" s="1"/>
  <c r="E27" s="1"/>
  <c r="E29" s="1"/>
  <c r="F29" i="21" s="1"/>
  <c r="E16" i="15"/>
  <c r="D32" i="7"/>
  <c r="D8" i="27"/>
  <c r="D27" s="1"/>
  <c r="D29" s="1"/>
  <c r="D29" i="21" s="1"/>
  <c r="D37" i="15"/>
  <c r="E37" s="1"/>
  <c r="D31"/>
  <c r="E31"/>
  <c r="F31" s="1"/>
  <c r="D22"/>
  <c r="E22" s="1"/>
  <c r="F22" s="1"/>
  <c r="D35"/>
  <c r="E35" s="1"/>
  <c r="F35" s="1"/>
  <c r="D36"/>
  <c r="E36"/>
  <c r="F36" s="1"/>
  <c r="D47"/>
  <c r="D38"/>
  <c r="E38"/>
  <c r="F38" s="1"/>
  <c r="D40"/>
  <c r="E40" s="1"/>
  <c r="F40" s="1"/>
  <c r="D34"/>
  <c r="E34"/>
  <c r="F34" s="1"/>
  <c r="D33"/>
  <c r="F33" s="1"/>
  <c r="D32"/>
  <c r="E32" s="1"/>
  <c r="F32" s="1"/>
  <c r="D30"/>
  <c r="E30"/>
  <c r="F30" s="1"/>
  <c r="D29"/>
  <c r="E29" s="1"/>
  <c r="F29" s="1"/>
  <c r="D27"/>
  <c r="E27"/>
  <c r="F27" s="1"/>
  <c r="D26"/>
  <c r="E26" s="1"/>
  <c r="F26" s="1"/>
  <c r="D25"/>
  <c r="E25"/>
  <c r="F25" s="1"/>
  <c r="D24"/>
  <c r="E24" s="1"/>
  <c r="F24" s="1"/>
  <c r="D23"/>
  <c r="D15"/>
  <c r="E15" s="1"/>
  <c r="D14"/>
  <c r="E14" s="1"/>
  <c r="D11"/>
  <c r="E11" s="1"/>
  <c r="D13"/>
  <c r="E13" s="1"/>
  <c r="D17"/>
  <c r="E17" s="1"/>
  <c r="D12"/>
  <c r="E12" s="1"/>
  <c r="D10"/>
  <c r="E10" s="1"/>
  <c r="D9"/>
  <c r="E9" s="1"/>
  <c r="D36" i="9"/>
  <c r="E54" i="7"/>
  <c r="F75"/>
  <c r="F73"/>
  <c r="D62"/>
  <c r="E62" s="1"/>
  <c r="F62" s="1"/>
  <c r="D58"/>
  <c r="E58" s="1"/>
  <c r="F58" s="1"/>
  <c r="D74"/>
  <c r="E74" s="1"/>
  <c r="F74" s="1"/>
  <c r="D72"/>
  <c r="E72" s="1"/>
  <c r="F72" s="1"/>
  <c r="D68"/>
  <c r="E68" s="1"/>
  <c r="F68" s="1"/>
  <c r="D67"/>
  <c r="E67" s="1"/>
  <c r="F67" s="1"/>
  <c r="D71"/>
  <c r="E71" s="1"/>
  <c r="F71" s="1"/>
  <c r="D70"/>
  <c r="E70" s="1"/>
  <c r="F70" s="1"/>
  <c r="D69"/>
  <c r="F69" s="1"/>
  <c r="D77"/>
  <c r="F77" s="1"/>
  <c r="D66"/>
  <c r="E66" s="1"/>
  <c r="F66" s="1"/>
  <c r="D65"/>
  <c r="E65" s="1"/>
  <c r="F65" s="1"/>
  <c r="D63"/>
  <c r="E63" s="1"/>
  <c r="F63" s="1"/>
  <c r="D61"/>
  <c r="E61" s="1"/>
  <c r="F61" s="1"/>
  <c r="D60"/>
  <c r="E60" s="1"/>
  <c r="F60" s="1"/>
  <c r="D59"/>
  <c r="E59" s="1"/>
  <c r="F59" s="1"/>
  <c r="C34" i="9"/>
  <c r="C14"/>
  <c r="D14" s="1"/>
  <c r="C13"/>
  <c r="D13" s="1"/>
  <c r="C10"/>
  <c r="D10" s="1"/>
  <c r="C38"/>
  <c r="D38" s="1"/>
  <c r="C31"/>
  <c r="C24"/>
  <c r="D24" s="1"/>
  <c r="C20"/>
  <c r="D20" s="1"/>
  <c r="C19"/>
  <c r="D19" s="1"/>
  <c r="C16"/>
  <c r="D16" s="1"/>
  <c r="C8"/>
  <c r="D8" s="1"/>
  <c r="C9"/>
  <c r="D9" s="1"/>
  <c r="C21"/>
  <c r="D21" s="1"/>
  <c r="C35"/>
  <c r="C39"/>
  <c r="D39" s="1"/>
  <c r="C25"/>
  <c r="D25" s="1"/>
  <c r="C15"/>
  <c r="D15" s="1"/>
  <c r="C32"/>
  <c r="D53" i="7"/>
  <c r="C16" i="27"/>
  <c r="C15"/>
  <c r="C14"/>
  <c r="C13"/>
  <c r="C12"/>
  <c r="C11"/>
  <c r="C9"/>
  <c r="C8"/>
  <c r="C26" i="31"/>
  <c r="C52" i="17"/>
  <c r="C31"/>
  <c r="C50" i="16"/>
  <c r="C23"/>
  <c r="J18" i="28"/>
  <c r="C34" i="7"/>
  <c r="C36"/>
  <c r="D48" i="2"/>
  <c r="D48" i="13"/>
  <c r="D60" s="1"/>
  <c r="D8"/>
  <c r="D20" s="1"/>
  <c r="D48" i="12"/>
  <c r="D8"/>
  <c r="D48" i="11"/>
  <c r="D60"/>
  <c r="D61" s="1"/>
  <c r="D74" s="1"/>
  <c r="D8"/>
  <c r="D48" i="10"/>
  <c r="D60"/>
  <c r="D59" s="1"/>
  <c r="D8"/>
  <c r="D48" i="8"/>
  <c r="D8"/>
  <c r="D20" s="1"/>
  <c r="D7" i="28"/>
  <c r="D14" s="1"/>
  <c r="D13" s="1"/>
  <c r="D9" i="7"/>
  <c r="D36"/>
  <c r="D35" s="1"/>
  <c r="J29" i="12"/>
  <c r="J28"/>
  <c r="J29" i="11"/>
  <c r="J28"/>
  <c r="J29" i="10"/>
  <c r="J28"/>
  <c r="J29" i="8"/>
  <c r="J28"/>
  <c r="J17" i="28"/>
  <c r="J67" i="8"/>
  <c r="J27"/>
  <c r="J67" i="10"/>
  <c r="J27"/>
  <c r="J67" i="11"/>
  <c r="J27"/>
  <c r="J67" i="12"/>
  <c r="J27"/>
  <c r="J67" i="13"/>
  <c r="J27"/>
  <c r="D39" i="7"/>
  <c r="B44" i="9"/>
  <c r="J148" i="45"/>
  <c r="C137"/>
  <c r="J137"/>
  <c r="H134"/>
  <c r="C123"/>
  <c r="H120"/>
  <c r="H114"/>
  <c r="F117"/>
  <c r="H117"/>
  <c r="F123"/>
  <c r="H100"/>
  <c r="C103"/>
  <c r="J103"/>
  <c r="H94"/>
  <c r="F97"/>
  <c r="H97"/>
  <c r="F103"/>
  <c r="C83"/>
  <c r="H80"/>
  <c r="H74"/>
  <c r="F77"/>
  <c r="H77"/>
  <c r="F83"/>
  <c r="F50"/>
  <c r="J50"/>
  <c r="H48"/>
  <c r="H41"/>
  <c r="B28"/>
  <c r="H28"/>
  <c r="H25"/>
  <c r="C25"/>
  <c r="G30" i="2"/>
  <c r="G29"/>
  <c r="G28"/>
  <c r="G27"/>
  <c r="G26"/>
  <c r="G25"/>
  <c r="G24"/>
  <c r="G23"/>
  <c r="G22"/>
  <c r="G21"/>
  <c r="G19"/>
  <c r="G18"/>
  <c r="G17"/>
  <c r="A6" i="21"/>
  <c r="A8"/>
  <c r="B44"/>
  <c r="A43"/>
  <c r="G20" i="49"/>
  <c r="G22"/>
  <c r="D19" i="3"/>
  <c r="B19"/>
  <c r="B19" i="48"/>
  <c r="B18"/>
  <c r="B17"/>
  <c r="B16"/>
  <c r="B15"/>
  <c r="E19"/>
  <c r="E18"/>
  <c r="E17"/>
  <c r="E16"/>
  <c r="G16"/>
  <c r="G14"/>
  <c r="E14"/>
  <c r="B89" s="1"/>
  <c r="B8"/>
  <c r="B7"/>
  <c r="B5"/>
  <c r="E37" i="17"/>
  <c r="D37"/>
  <c r="C37"/>
  <c r="E28" i="16"/>
  <c r="D28"/>
  <c r="C28"/>
  <c r="E44" i="13"/>
  <c r="D44"/>
  <c r="C44"/>
  <c r="E44" i="12"/>
  <c r="D44"/>
  <c r="C44"/>
  <c r="E44" i="11"/>
  <c r="D44"/>
  <c r="C44"/>
  <c r="E44" i="10"/>
  <c r="D44"/>
  <c r="C44"/>
  <c r="E44" i="8"/>
  <c r="D44"/>
  <c r="C44"/>
  <c r="E44" i="7"/>
  <c r="D44"/>
  <c r="C44"/>
  <c r="D39" i="13"/>
  <c r="D79"/>
  <c r="D39" i="12"/>
  <c r="D79"/>
  <c r="D39" i="11"/>
  <c r="D79"/>
  <c r="D39" i="10"/>
  <c r="D79"/>
  <c r="D79" i="8"/>
  <c r="D27" i="28"/>
  <c r="D23"/>
  <c r="G2" i="5"/>
  <c r="B6" s="1"/>
  <c r="C22" i="3"/>
  <c r="B66" i="2"/>
  <c r="B8" i="36"/>
  <c r="A17" i="21"/>
  <c r="B4" i="28"/>
  <c r="C9" i="5"/>
  <c r="B9"/>
  <c r="B22" i="3"/>
  <c r="A63" i="29"/>
  <c r="A23"/>
  <c r="C75" i="13"/>
  <c r="C35"/>
  <c r="C75" i="12"/>
  <c r="C95" s="1"/>
  <c r="B77" s="1"/>
  <c r="C35"/>
  <c r="C75" i="11"/>
  <c r="C35"/>
  <c r="C93" s="1"/>
  <c r="C75" i="10"/>
  <c r="C35"/>
  <c r="C93"/>
  <c r="C75" i="8"/>
  <c r="C97"/>
  <c r="C35"/>
  <c r="C95"/>
  <c r="C23" i="28"/>
  <c r="A25" i="21"/>
  <c r="G84" i="13"/>
  <c r="C17" i="21"/>
  <c r="B18" i="36"/>
  <c r="B17"/>
  <c r="B16"/>
  <c r="B15"/>
  <c r="B14"/>
  <c r="B13"/>
  <c r="B12"/>
  <c r="B11"/>
  <c r="B10"/>
  <c r="B9"/>
  <c r="D39" i="21"/>
  <c r="D38"/>
  <c r="D37"/>
  <c r="D36"/>
  <c r="B39"/>
  <c r="B38"/>
  <c r="B37"/>
  <c r="B36"/>
  <c r="B31"/>
  <c r="B33"/>
  <c r="D33"/>
  <c r="E27" i="48"/>
  <c r="F33" i="21"/>
  <c r="G27" i="48"/>
  <c r="G22" i="3"/>
  <c r="C19" i="5"/>
  <c r="C18"/>
  <c r="C17"/>
  <c r="C16"/>
  <c r="C15"/>
  <c r="C14"/>
  <c r="C13"/>
  <c r="C12"/>
  <c r="C11"/>
  <c r="C10"/>
  <c r="B19"/>
  <c r="B18"/>
  <c r="B17"/>
  <c r="B16"/>
  <c r="B15"/>
  <c r="B14"/>
  <c r="B13"/>
  <c r="B12"/>
  <c r="B11"/>
  <c r="B10"/>
  <c r="D22" i="3"/>
  <c r="A73" i="29"/>
  <c r="A72"/>
  <c r="A71"/>
  <c r="A70"/>
  <c r="A69"/>
  <c r="A68"/>
  <c r="A67"/>
  <c r="A66"/>
  <c r="A65"/>
  <c r="A64"/>
  <c r="A33"/>
  <c r="A32"/>
  <c r="A31"/>
  <c r="A30"/>
  <c r="A29"/>
  <c r="A28"/>
  <c r="A27"/>
  <c r="A26"/>
  <c r="A25"/>
  <c r="A24"/>
  <c r="B76" i="2"/>
  <c r="B75"/>
  <c r="B74"/>
  <c r="B73"/>
  <c r="B72"/>
  <c r="B71"/>
  <c r="B70"/>
  <c r="B69"/>
  <c r="B68"/>
  <c r="B67"/>
  <c r="D34" i="29"/>
  <c r="D75" i="8"/>
  <c r="D35"/>
  <c r="D95"/>
  <c r="D75" i="10"/>
  <c r="D35"/>
  <c r="D75" i="11"/>
  <c r="D95"/>
  <c r="D35"/>
  <c r="D75" i="12"/>
  <c r="D35"/>
  <c r="D75" i="13"/>
  <c r="D35"/>
  <c r="D39" i="8"/>
  <c r="A22" i="29"/>
  <c r="A21"/>
  <c r="D77" i="2"/>
  <c r="D81" i="7"/>
  <c r="C81"/>
  <c r="D85"/>
  <c r="C28" i="28"/>
  <c r="D21"/>
  <c r="D17" i="21"/>
  <c r="C21" i="28"/>
  <c r="C41"/>
  <c r="C14"/>
  <c r="C15"/>
  <c r="A34" i="39"/>
  <c r="A8" i="42"/>
  <c r="A46" i="41"/>
  <c r="A41"/>
  <c r="A6"/>
  <c r="A38" i="40"/>
  <c r="A33"/>
  <c r="A19"/>
  <c r="A6"/>
  <c r="A33" i="39"/>
  <c r="A6"/>
  <c r="A77" i="38"/>
  <c r="A74"/>
  <c r="A33"/>
  <c r="A28"/>
  <c r="A25"/>
  <c r="A16"/>
  <c r="A6"/>
  <c r="D22" i="36"/>
  <c r="E31" i="2"/>
  <c r="D31" i="21"/>
  <c r="A80" i="2"/>
  <c r="A79"/>
  <c r="D62"/>
  <c r="C8" i="5"/>
  <c r="C7"/>
  <c r="C20" s="1"/>
  <c r="C20" i="8"/>
  <c r="F1" i="36"/>
  <c r="A63" i="2"/>
  <c r="D32" i="9"/>
  <c r="E53" i="7"/>
  <c r="D29" i="9"/>
  <c r="E52" i="7"/>
  <c r="C29" i="9"/>
  <c r="D52" i="7"/>
  <c r="B40" i="9"/>
  <c r="C55" i="7"/>
  <c r="B36" i="9"/>
  <c r="C54" i="7"/>
  <c r="B32" i="9"/>
  <c r="C53" i="7"/>
  <c r="B29" i="9"/>
  <c r="C52" i="7"/>
  <c r="B26" i="9"/>
  <c r="C51" i="7"/>
  <c r="B22" i="9"/>
  <c r="C50" i="7"/>
  <c r="B17" i="9"/>
  <c r="C49" i="7"/>
  <c r="B11" i="9"/>
  <c r="C48" i="7"/>
  <c r="B55"/>
  <c r="B54"/>
  <c r="B53"/>
  <c r="B52"/>
  <c r="B51"/>
  <c r="B50"/>
  <c r="B49"/>
  <c r="B48"/>
  <c r="C73" i="13"/>
  <c r="G78"/>
  <c r="C60"/>
  <c r="C61"/>
  <c r="D73"/>
  <c r="C33"/>
  <c r="G38"/>
  <c r="C20"/>
  <c r="C21"/>
  <c r="C34"/>
  <c r="D33"/>
  <c r="C73" i="12"/>
  <c r="C60"/>
  <c r="C61"/>
  <c r="C74"/>
  <c r="D73"/>
  <c r="C33"/>
  <c r="C20"/>
  <c r="C21"/>
  <c r="D33"/>
  <c r="C73" i="11"/>
  <c r="G78"/>
  <c r="C60"/>
  <c r="C61"/>
  <c r="D73"/>
  <c r="C33"/>
  <c r="C20"/>
  <c r="D33"/>
  <c r="C73" i="10"/>
  <c r="G78"/>
  <c r="C60"/>
  <c r="C61"/>
  <c r="D73"/>
  <c r="D95"/>
  <c r="C33"/>
  <c r="G38"/>
  <c r="C20"/>
  <c r="C21"/>
  <c r="D33"/>
  <c r="C33" i="8"/>
  <c r="C21"/>
  <c r="D33"/>
  <c r="C73"/>
  <c r="G78"/>
  <c r="C60"/>
  <c r="C61"/>
  <c r="D73"/>
  <c r="E1" i="7"/>
  <c r="D6" s="1"/>
  <c r="D45" s="1"/>
  <c r="E1" i="8"/>
  <c r="E1" i="10"/>
  <c r="E1" i="11"/>
  <c r="E1" i="12"/>
  <c r="E1" i="13"/>
  <c r="C50" i="17"/>
  <c r="D50"/>
  <c r="D24" i="21"/>
  <c r="E50" i="17"/>
  <c r="F24" i="21"/>
  <c r="C24" i="31"/>
  <c r="B25" i="21"/>
  <c r="D24" i="31"/>
  <c r="D23"/>
  <c r="D52" i="17"/>
  <c r="D26" i="31"/>
  <c r="C18" i="14"/>
  <c r="C12"/>
  <c r="D18"/>
  <c r="D18" i="21"/>
  <c r="E18" i="14"/>
  <c r="E17"/>
  <c r="C20"/>
  <c r="C21"/>
  <c r="D20"/>
  <c r="C38"/>
  <c r="B19" i="21"/>
  <c r="D38" i="14"/>
  <c r="D19" i="21"/>
  <c r="E38" i="14"/>
  <c r="C40"/>
  <c r="C41"/>
  <c r="D40"/>
  <c r="C49" i="15"/>
  <c r="C48"/>
  <c r="C51"/>
  <c r="D51"/>
  <c r="E1" i="14"/>
  <c r="E5" s="1"/>
  <c r="E26" s="1"/>
  <c r="E1" i="15"/>
  <c r="D5"/>
  <c r="C21" i="16"/>
  <c r="D21"/>
  <c r="D21" i="21"/>
  <c r="D23" i="16"/>
  <c r="E1"/>
  <c r="B23"/>
  <c r="C48"/>
  <c r="B22" i="21"/>
  <c r="D50" i="16"/>
  <c r="D31" i="17"/>
  <c r="C29"/>
  <c r="C32"/>
  <c r="D29"/>
  <c r="D23" i="21"/>
  <c r="E29" i="17"/>
  <c r="F23" i="21"/>
  <c r="E1" i="17"/>
  <c r="D5"/>
  <c r="D38" s="1"/>
  <c r="E1" i="31"/>
  <c r="B26" s="1"/>
  <c r="E47" i="32"/>
  <c r="E46"/>
  <c r="C47"/>
  <c r="C46"/>
  <c r="D47"/>
  <c r="C49"/>
  <c r="D49"/>
  <c r="E1"/>
  <c r="C47" i="33"/>
  <c r="D47"/>
  <c r="E47"/>
  <c r="C49"/>
  <c r="C50"/>
  <c r="D49"/>
  <c r="E1"/>
  <c r="E5" s="1"/>
  <c r="E19" i="34"/>
  <c r="C47"/>
  <c r="D47"/>
  <c r="E47"/>
  <c r="E1"/>
  <c r="D49"/>
  <c r="C49"/>
  <c r="C50" s="1"/>
  <c r="B65" i="2"/>
  <c r="A48"/>
  <c r="D15"/>
  <c r="J28" i="35"/>
  <c r="H28"/>
  <c r="F28"/>
  <c r="K28"/>
  <c r="B27" i="21"/>
  <c r="D28" i="35"/>
  <c r="D17"/>
  <c r="D18"/>
  <c r="B28"/>
  <c r="B17"/>
  <c r="B18"/>
  <c r="J28" i="30"/>
  <c r="J17"/>
  <c r="J18"/>
  <c r="H28"/>
  <c r="H17"/>
  <c r="H18"/>
  <c r="H29"/>
  <c r="H30"/>
  <c r="F28"/>
  <c r="F17"/>
  <c r="F18"/>
  <c r="F29"/>
  <c r="F30"/>
  <c r="D28"/>
  <c r="D17"/>
  <c r="D18"/>
  <c r="B28"/>
  <c r="B17"/>
  <c r="B18"/>
  <c r="E15" i="2"/>
  <c r="G16"/>
  <c r="E28" i="24"/>
  <c r="G11"/>
  <c r="E14"/>
  <c r="E15"/>
  <c r="E19"/>
  <c r="E20"/>
  <c r="E21"/>
  <c r="G24"/>
  <c r="J6"/>
  <c r="K1" i="35"/>
  <c r="F2" s="1"/>
  <c r="K1" i="30"/>
  <c r="F2" s="1"/>
  <c r="E1" i="29"/>
  <c r="A58" s="1"/>
  <c r="D36" i="3"/>
  <c r="D22" i="5"/>
  <c r="E23"/>
  <c r="F24"/>
  <c r="E14" i="7"/>
  <c r="E15"/>
  <c r="E16"/>
  <c r="D7" i="36"/>
  <c r="E7"/>
  <c r="D8"/>
  <c r="E8"/>
  <c r="E18" i="28" s="1"/>
  <c r="E21" s="1"/>
  <c r="C16" i="21"/>
  <c r="B7" i="36"/>
  <c r="D26"/>
  <c r="D28"/>
  <c r="A1"/>
  <c r="D24"/>
  <c r="C19" i="8"/>
  <c r="C59"/>
  <c r="E44" i="17"/>
  <c r="E43"/>
  <c r="D44"/>
  <c r="D43"/>
  <c r="C44"/>
  <c r="D35" i="16"/>
  <c r="D36" s="1"/>
  <c r="C35"/>
  <c r="C36"/>
  <c r="D17" i="14"/>
  <c r="C17"/>
  <c r="E8"/>
  <c r="E9"/>
  <c r="D8"/>
  <c r="D9"/>
  <c r="C19" i="12"/>
  <c r="C19" i="10"/>
  <c r="C59"/>
  <c r="E18" i="34"/>
  <c r="D19"/>
  <c r="D18"/>
  <c r="C19"/>
  <c r="C18"/>
  <c r="E46"/>
  <c r="C46"/>
  <c r="E19" i="33"/>
  <c r="E18"/>
  <c r="D19"/>
  <c r="C19"/>
  <c r="C18"/>
  <c r="D46"/>
  <c r="E19" i="32"/>
  <c r="E18"/>
  <c r="D19"/>
  <c r="D18"/>
  <c r="C19"/>
  <c r="C18"/>
  <c r="D46"/>
  <c r="E13" i="31"/>
  <c r="E12"/>
  <c r="D13"/>
  <c r="D12"/>
  <c r="C13"/>
  <c r="C12"/>
  <c r="C13" i="17"/>
  <c r="C12"/>
  <c r="D28"/>
  <c r="D11" i="16"/>
  <c r="D10" s="1"/>
  <c r="C11"/>
  <c r="C12"/>
  <c r="E32" i="14"/>
  <c r="E31"/>
  <c r="D32"/>
  <c r="D31"/>
  <c r="C32"/>
  <c r="C31"/>
  <c r="E37"/>
  <c r="C37"/>
  <c r="C19" i="13"/>
  <c r="D32"/>
  <c r="C32"/>
  <c r="C59"/>
  <c r="C72"/>
  <c r="D72" i="12"/>
  <c r="C59"/>
  <c r="D32"/>
  <c r="C32" i="11"/>
  <c r="C59"/>
  <c r="D72"/>
  <c r="C72"/>
  <c r="D72" i="10"/>
  <c r="C72"/>
  <c r="D32" i="8"/>
  <c r="C32"/>
  <c r="C72"/>
  <c r="C32" i="10"/>
  <c r="C20" i="32"/>
  <c r="C48"/>
  <c r="C20" i="33"/>
  <c r="C48"/>
  <c r="A86" i="29"/>
  <c r="A85"/>
  <c r="A84"/>
  <c r="A83"/>
  <c r="A82"/>
  <c r="A81"/>
  <c r="A80"/>
  <c r="A79"/>
  <c r="A78"/>
  <c r="A76"/>
  <c r="A75"/>
  <c r="A74"/>
  <c r="A62"/>
  <c r="A61"/>
  <c r="C5" i="35"/>
  <c r="E5"/>
  <c r="G5"/>
  <c r="I5"/>
  <c r="A5"/>
  <c r="C5" i="30"/>
  <c r="E5"/>
  <c r="G5"/>
  <c r="I5"/>
  <c r="A5"/>
  <c r="B29" i="3"/>
  <c r="D29"/>
  <c r="E16" i="21"/>
  <c r="E17"/>
  <c r="E29" i="48"/>
  <c r="G44" i="8"/>
  <c r="G84"/>
  <c r="G44" i="10"/>
  <c r="G84"/>
  <c r="G44" i="11"/>
  <c r="G84"/>
  <c r="G44" i="12"/>
  <c r="G84"/>
  <c r="G44" i="13"/>
  <c r="G1" i="3"/>
  <c r="B9" s="1"/>
  <c r="B32"/>
  <c r="B31"/>
  <c r="A27" i="21"/>
  <c r="A26"/>
  <c r="M1" i="22"/>
  <c r="G7" s="1"/>
  <c r="D82" i="2"/>
  <c r="E82"/>
  <c r="A13"/>
  <c r="G42" i="22"/>
  <c r="F38" i="21"/>
  <c r="G32" i="22"/>
  <c r="G20"/>
  <c r="F36" i="21"/>
  <c r="K28" i="30"/>
  <c r="B26" i="21"/>
  <c r="B1" i="22"/>
  <c r="A1" i="30"/>
  <c r="A1" i="35"/>
  <c r="A4" i="26"/>
  <c r="A21"/>
  <c r="A27"/>
  <c r="A15"/>
  <c r="A31" i="2"/>
  <c r="F19" i="21"/>
  <c r="B21"/>
  <c r="B18"/>
  <c r="A24"/>
  <c r="A23"/>
  <c r="A22"/>
  <c r="A21"/>
  <c r="A20"/>
  <c r="A19"/>
  <c r="A18"/>
  <c r="A16"/>
  <c r="B5" i="15"/>
  <c r="E25" i="14"/>
  <c r="D25"/>
  <c r="C25"/>
  <c r="B26"/>
  <c r="B5"/>
  <c r="B45" i="13"/>
  <c r="B5"/>
  <c r="B45" i="12"/>
  <c r="B5"/>
  <c r="B45" i="11"/>
  <c r="B5"/>
  <c r="B45" i="10"/>
  <c r="B5"/>
  <c r="B45" i="8"/>
  <c r="B5"/>
  <c r="D1" i="9"/>
  <c r="D5"/>
  <c r="B6" i="7"/>
  <c r="B45"/>
  <c r="B5" i="16"/>
  <c r="B29"/>
  <c r="B5" i="17"/>
  <c r="B38"/>
  <c r="B1" i="32"/>
  <c r="B1" i="33"/>
  <c r="B1" i="34"/>
  <c r="B5"/>
  <c r="B5" i="33"/>
  <c r="B5" i="32"/>
  <c r="B5" i="31"/>
  <c r="B1"/>
  <c r="D30" i="3"/>
  <c r="D32"/>
  <c r="D31"/>
  <c r="B30"/>
  <c r="B28"/>
  <c r="B27"/>
  <c r="B26"/>
  <c r="B25"/>
  <c r="B24"/>
  <c r="B23"/>
  <c r="C21"/>
  <c r="B21"/>
  <c r="B8"/>
  <c r="B3"/>
  <c r="H1" i="21"/>
  <c r="J20" s="1"/>
  <c r="A1" i="29"/>
  <c r="J1" i="24"/>
  <c r="B8" i="5"/>
  <c r="B7"/>
  <c r="B1"/>
  <c r="A1" i="27"/>
  <c r="F1"/>
  <c r="D7" s="1"/>
  <c r="B32" s="1"/>
  <c r="M20" i="22"/>
  <c r="M32"/>
  <c r="M42"/>
  <c r="M43"/>
  <c r="L20"/>
  <c r="L32"/>
  <c r="L42"/>
  <c r="L43"/>
  <c r="K20"/>
  <c r="K32"/>
  <c r="K42"/>
  <c r="K43"/>
  <c r="J20"/>
  <c r="J43"/>
  <c r="J32"/>
  <c r="J42"/>
  <c r="I1" i="23"/>
  <c r="K7" i="35"/>
  <c r="K30"/>
  <c r="F17"/>
  <c r="F18"/>
  <c r="F29"/>
  <c r="F30"/>
  <c r="H17"/>
  <c r="H18"/>
  <c r="H29"/>
  <c r="H30"/>
  <c r="J17"/>
  <c r="J18"/>
  <c r="J29"/>
  <c r="J30"/>
  <c r="E10" i="3"/>
  <c r="K7" i="30"/>
  <c r="K17"/>
  <c r="B64" i="2"/>
  <c r="D63"/>
  <c r="A53" i="29"/>
  <c r="A8"/>
  <c r="A13" i="26"/>
  <c r="A7"/>
  <c r="D28" i="3"/>
  <c r="D27"/>
  <c r="D26"/>
  <c r="D25"/>
  <c r="D24"/>
  <c r="D23"/>
  <c r="D35"/>
  <c r="B5"/>
  <c r="E24"/>
  <c r="C1" i="24"/>
  <c r="A1" i="9"/>
  <c r="B41" i="7"/>
  <c r="B1"/>
  <c r="B1" i="23"/>
  <c r="I28"/>
  <c r="H28"/>
  <c r="G28"/>
  <c r="F39" i="21"/>
  <c r="B1" i="12"/>
  <c r="B1" i="13"/>
  <c r="B1" i="15"/>
  <c r="B1" i="16"/>
  <c r="B1" i="17"/>
  <c r="B1" i="8"/>
  <c r="B1" i="10"/>
  <c r="B1" i="11"/>
  <c r="B1" i="14"/>
  <c r="A5" i="21"/>
  <c r="C34" i="16"/>
  <c r="C45" i="17"/>
  <c r="C51"/>
  <c r="C43"/>
  <c r="B24" i="21"/>
  <c r="C49" i="17"/>
  <c r="B49" i="33"/>
  <c r="C40" i="11"/>
  <c r="D50" i="33"/>
  <c r="J6" i="22"/>
  <c r="C20" i="34"/>
  <c r="C48"/>
  <c r="K17" i="35"/>
  <c r="C34" i="8"/>
  <c r="C96"/>
  <c r="D29" i="35"/>
  <c r="D30"/>
  <c r="B29"/>
  <c r="K29"/>
  <c r="B30"/>
  <c r="K18"/>
  <c r="J29" i="30"/>
  <c r="J30"/>
  <c r="J5" i="24"/>
  <c r="J7" s="1"/>
  <c r="A10" i="21"/>
  <c r="B75" i="12"/>
  <c r="B75" i="11"/>
  <c r="D50" i="32"/>
  <c r="D6" i="8"/>
  <c r="B75"/>
  <c r="D6" i="33"/>
  <c r="C51"/>
  <c r="C14" i="31"/>
  <c r="G21" i="3"/>
  <c r="G33" s="1"/>
  <c r="C74" i="10"/>
  <c r="C96"/>
  <c r="D93" i="12"/>
  <c r="D35" i="21"/>
  <c r="J34"/>
  <c r="J33"/>
  <c r="M22"/>
  <c r="A36" i="29"/>
  <c r="B35" i="13"/>
  <c r="D95" i="12"/>
  <c r="M41" i="21"/>
  <c r="B47" i="48"/>
  <c r="B84"/>
  <c r="B46"/>
  <c r="E13" i="5"/>
  <c r="F14"/>
  <c r="E12" i="11"/>
  <c r="F13" i="5"/>
  <c r="E52" i="10"/>
  <c r="C5" i="11"/>
  <c r="C45" s="1"/>
  <c r="D5" i="10"/>
  <c r="D45" s="1"/>
  <c r="C5" i="8"/>
  <c r="C45" s="1"/>
  <c r="D5" i="31"/>
  <c r="D5" i="33"/>
  <c r="D5" i="11"/>
  <c r="D45" s="1"/>
  <c r="D5" i="8"/>
  <c r="D45" s="1"/>
  <c r="C5" i="31"/>
  <c r="C5" i="33"/>
  <c r="C94" i="13"/>
  <c r="D6"/>
  <c r="D95"/>
  <c r="C74"/>
  <c r="C80" i="11"/>
  <c r="D20" i="28"/>
  <c r="F11" i="5"/>
  <c r="E52" i="8" s="1"/>
  <c r="F12" i="5"/>
  <c r="E12" i="10" s="1"/>
  <c r="E11" i="5"/>
  <c r="E51" i="8" s="1"/>
  <c r="E60" s="1"/>
  <c r="G74" s="1"/>
  <c r="F8" i="5"/>
  <c r="F10"/>
  <c r="E12" i="8"/>
  <c r="E8" i="5"/>
  <c r="E10"/>
  <c r="E11" i="8" s="1"/>
  <c r="E19" i="5"/>
  <c r="E51" i="13" s="1"/>
  <c r="E60" s="1"/>
  <c r="G74" s="1"/>
  <c r="F19" i="5"/>
  <c r="E52" i="13" s="1"/>
  <c r="E18" i="5"/>
  <c r="E11" i="13" s="1"/>
  <c r="E20" s="1"/>
  <c r="G34" s="1"/>
  <c r="F18" i="5"/>
  <c r="E12" i="13" s="1"/>
  <c r="F17" i="5"/>
  <c r="E52" i="12" s="1"/>
  <c r="E17" i="5"/>
  <c r="E51" i="12" s="1"/>
  <c r="E16" i="5"/>
  <c r="E11" i="12" s="1"/>
  <c r="E20" s="1"/>
  <c r="G34" s="1"/>
  <c r="F16" i="5"/>
  <c r="E12" i="12" s="1"/>
  <c r="E15" i="5"/>
  <c r="E51" i="11" s="1"/>
  <c r="F15" i="5"/>
  <c r="E52" i="11" s="1"/>
  <c r="E14" i="5"/>
  <c r="E11" i="11" s="1"/>
  <c r="E20" s="1"/>
  <c r="G34" s="1"/>
  <c r="E12" i="5"/>
  <c r="E11" i="10" s="1"/>
  <c r="G38" i="8"/>
  <c r="C95" i="11"/>
  <c r="G38"/>
  <c r="G38" i="12"/>
  <c r="C95" i="13"/>
  <c r="B77" s="1"/>
  <c r="J83" i="45"/>
  <c r="J123"/>
  <c r="C6" i="5"/>
  <c r="D5"/>
  <c r="G28" i="8"/>
  <c r="H33"/>
  <c r="H38"/>
  <c r="H43"/>
  <c r="G64"/>
  <c r="G71"/>
  <c r="H76"/>
  <c r="H79"/>
  <c r="H86"/>
  <c r="H33" i="10"/>
  <c r="G24" i="11"/>
  <c r="H34"/>
  <c r="H36"/>
  <c r="H44"/>
  <c r="H46"/>
  <c r="H43" i="12"/>
  <c r="H39" i="13"/>
  <c r="G64" i="11"/>
  <c r="G71"/>
  <c r="H76"/>
  <c r="H79"/>
  <c r="H86"/>
  <c r="H73" i="12"/>
  <c r="H83"/>
  <c r="G31" i="8"/>
  <c r="H34"/>
  <c r="H39"/>
  <c r="H44"/>
  <c r="G68"/>
  <c r="H73"/>
  <c r="H78"/>
  <c r="H83"/>
  <c r="H39" i="10"/>
  <c r="G28" i="11"/>
  <c r="H33"/>
  <c r="H38"/>
  <c r="H43"/>
  <c r="H34" i="12"/>
  <c r="H44"/>
  <c r="G71" i="10"/>
  <c r="G68" i="11"/>
  <c r="H75"/>
  <c r="H78"/>
  <c r="G71" i="12"/>
  <c r="H79"/>
  <c r="D20" i="10"/>
  <c r="D19" s="1"/>
  <c r="D20" i="11"/>
  <c r="D19" s="1"/>
  <c r="D20" i="12"/>
  <c r="D19" s="1"/>
  <c r="D60" i="8"/>
  <c r="D59" s="1"/>
  <c r="D59" i="11"/>
  <c r="D60" i="12"/>
  <c r="D59"/>
  <c r="C74" i="8"/>
  <c r="D46"/>
  <c r="C93" i="13"/>
  <c r="C51" i="34"/>
  <c r="D6"/>
  <c r="D20"/>
  <c r="C50" i="32"/>
  <c r="C51"/>
  <c r="D6"/>
  <c r="D20"/>
  <c r="D48"/>
  <c r="D93" i="13"/>
  <c r="B37" s="1"/>
  <c r="C74" i="11"/>
  <c r="C34" i="10"/>
  <c r="C94"/>
  <c r="D46"/>
  <c r="D61"/>
  <c r="D74" s="1"/>
  <c r="C95"/>
  <c r="E51"/>
  <c r="D15" i="5"/>
  <c r="E50" i="11" s="1"/>
  <c r="E60" s="1"/>
  <c r="G74" s="1"/>
  <c r="D17" i="5"/>
  <c r="E50" i="12" s="1"/>
  <c r="E60" s="1"/>
  <c r="G74" s="1"/>
  <c r="D12" i="5"/>
  <c r="E10" i="10" s="1"/>
  <c r="E20" s="1"/>
  <c r="G34" s="1"/>
  <c r="D10" i="5"/>
  <c r="E10" i="8" s="1"/>
  <c r="E20" s="1"/>
  <c r="G34" s="1"/>
  <c r="D14" i="5"/>
  <c r="E10" i="11"/>
  <c r="D13" i="5"/>
  <c r="E50" i="10"/>
  <c r="D11" i="5"/>
  <c r="E50" i="8"/>
  <c r="D19" i="5"/>
  <c r="E50" i="13"/>
  <c r="D18" i="5"/>
  <c r="E10" i="13"/>
  <c r="D16" i="5"/>
  <c r="E10" i="12"/>
  <c r="D8" i="5"/>
  <c r="C98" i="8"/>
  <c r="C96" i="11"/>
  <c r="D46"/>
  <c r="D6" i="10"/>
  <c r="J19" i="28"/>
  <c r="C19" i="36"/>
  <c r="D9"/>
  <c r="D11"/>
  <c r="E11"/>
  <c r="E30" i="10" s="1"/>
  <c r="E33" s="1"/>
  <c r="D13" i="36"/>
  <c r="D15"/>
  <c r="E15"/>
  <c r="E30" i="12"/>
  <c r="E33" s="1"/>
  <c r="D17" i="36"/>
  <c r="D6"/>
  <c r="D16"/>
  <c r="D10"/>
  <c r="E10"/>
  <c r="E70" i="8" s="1"/>
  <c r="E73" s="1"/>
  <c r="D12" i="36"/>
  <c r="D18"/>
  <c r="D14"/>
  <c r="E14"/>
  <c r="E70" i="11" s="1"/>
  <c r="E73" s="1"/>
  <c r="E9" i="36"/>
  <c r="E30" i="8"/>
  <c r="E33" s="1"/>
  <c r="E16" i="36"/>
  <c r="E70" i="12" s="1"/>
  <c r="E73" s="1"/>
  <c r="E18" i="36"/>
  <c r="E70" i="13"/>
  <c r="E73" s="1"/>
  <c r="E17" i="36"/>
  <c r="E30" i="13" s="1"/>
  <c r="E33" s="1"/>
  <c r="E13" i="36"/>
  <c r="E30" i="11" s="1"/>
  <c r="E33" s="1"/>
  <c r="E12" i="36"/>
  <c r="E70" i="10" s="1"/>
  <c r="E73" s="1"/>
  <c r="E6" i="36"/>
  <c r="E76" i="7"/>
  <c r="J68" i="8"/>
  <c r="J69"/>
  <c r="J68" i="13"/>
  <c r="J69"/>
  <c r="J68" i="11"/>
  <c r="J69"/>
  <c r="M42" i="21"/>
  <c r="J68" i="10"/>
  <c r="J69"/>
  <c r="J68" i="12"/>
  <c r="J69"/>
  <c r="J28" i="13"/>
  <c r="J29"/>
  <c r="D46" i="34"/>
  <c r="D51" i="32"/>
  <c r="E6"/>
  <c r="E20"/>
  <c r="E48"/>
  <c r="E49"/>
  <c r="D46" i="13"/>
  <c r="C96"/>
  <c r="D93" i="10"/>
  <c r="D32"/>
  <c r="C21" i="11"/>
  <c r="C34"/>
  <c r="C19"/>
  <c r="D46" i="12"/>
  <c r="D61"/>
  <c r="D74" s="1"/>
  <c r="C96"/>
  <c r="D97" i="8"/>
  <c r="D72"/>
  <c r="D48" i="34"/>
  <c r="D50"/>
  <c r="C7" i="27"/>
  <c r="E7"/>
  <c r="F37" i="21"/>
  <c r="G43" i="22"/>
  <c r="D18" i="33"/>
  <c r="D20"/>
  <c r="D48"/>
  <c r="E46"/>
  <c r="D5" i="32"/>
  <c r="F18" i="21"/>
  <c r="E23" i="3"/>
  <c r="H85" i="8"/>
  <c r="D93" i="11"/>
  <c r="D32"/>
  <c r="C34" i="12"/>
  <c r="C72"/>
  <c r="G78"/>
  <c r="D72" i="13"/>
  <c r="C46" i="33"/>
  <c r="C13" i="14"/>
  <c r="C19"/>
  <c r="C11"/>
  <c r="C32" i="12"/>
  <c r="C93"/>
  <c r="D6"/>
  <c r="C94"/>
  <c r="E6" i="33"/>
  <c r="E20"/>
  <c r="E48"/>
  <c r="E49"/>
  <c r="D51"/>
  <c r="E6" i="34"/>
  <c r="E20"/>
  <c r="E48"/>
  <c r="E49"/>
  <c r="D51"/>
  <c r="C94" i="11"/>
  <c r="D6"/>
  <c r="D21"/>
  <c r="D34" s="1"/>
  <c r="D89" i="7"/>
  <c r="C5" i="16"/>
  <c r="C29"/>
  <c r="H85" i="11"/>
  <c r="B35"/>
  <c r="E5"/>
  <c r="E45"/>
  <c r="G31"/>
  <c r="H39"/>
  <c r="H74"/>
  <c r="H84"/>
  <c r="H35"/>
  <c r="H45"/>
  <c r="H73"/>
  <c r="H83"/>
  <c r="E5" i="8"/>
  <c r="E45"/>
  <c r="C80"/>
  <c r="H35"/>
  <c r="H45"/>
  <c r="H74"/>
  <c r="H84"/>
  <c r="G24"/>
  <c r="H36"/>
  <c r="H46"/>
  <c r="H75"/>
  <c r="B35"/>
  <c r="C40"/>
  <c r="B78" i="48"/>
  <c r="B91"/>
  <c r="A32" i="36"/>
  <c r="A22"/>
  <c r="C5"/>
  <c r="D5"/>
  <c r="B3"/>
  <c r="E5"/>
  <c r="B5"/>
  <c r="H38" i="12"/>
  <c r="G28"/>
  <c r="C80"/>
  <c r="B11" i="24"/>
  <c r="B38"/>
  <c r="B28"/>
  <c r="B5"/>
  <c r="A14" i="29"/>
  <c r="C59"/>
  <c r="C46" i="3"/>
  <c r="F12"/>
  <c r="G36"/>
  <c r="B14"/>
  <c r="E5" i="31"/>
  <c r="D25" i="21"/>
  <c r="D13" i="17"/>
  <c r="D12"/>
  <c r="D19" i="15"/>
  <c r="D18" s="1"/>
  <c r="C36" i="9"/>
  <c r="D54" i="7" s="1"/>
  <c r="B5" i="9"/>
  <c r="C11"/>
  <c r="D48" i="7"/>
  <c r="C22" i="9"/>
  <c r="D50" i="7"/>
  <c r="B42" i="9"/>
  <c r="C5"/>
  <c r="C17"/>
  <c r="D49" i="7"/>
  <c r="C40" i="9"/>
  <c r="D55" i="7"/>
  <c r="C56"/>
  <c r="C79"/>
  <c r="B16" i="21" s="1"/>
  <c r="B28" s="1"/>
  <c r="J27"/>
  <c r="G14"/>
  <c r="J39"/>
  <c r="J40"/>
  <c r="J24"/>
  <c r="B35"/>
  <c r="D13"/>
  <c r="B13"/>
  <c r="B40"/>
  <c r="D40"/>
  <c r="F40"/>
  <c r="D29" i="30"/>
  <c r="D30"/>
  <c r="K30"/>
  <c r="K18"/>
  <c r="B29"/>
  <c r="D27" i="31"/>
  <c r="C25"/>
  <c r="D6"/>
  <c r="D14"/>
  <c r="D25"/>
  <c r="D28"/>
  <c r="C23"/>
  <c r="C27"/>
  <c r="E6"/>
  <c r="E14"/>
  <c r="B52" i="17"/>
  <c r="E49"/>
  <c r="C14"/>
  <c r="C30"/>
  <c r="D6"/>
  <c r="E5"/>
  <c r="E38"/>
  <c r="C5"/>
  <c r="C38"/>
  <c r="E29" i="3"/>
  <c r="C53" i="17"/>
  <c r="B23" i="21"/>
  <c r="C28" i="17"/>
  <c r="D49"/>
  <c r="E28"/>
  <c r="D53"/>
  <c r="B31"/>
  <c r="D39"/>
  <c r="D45"/>
  <c r="D51" s="1"/>
  <c r="C54"/>
  <c r="E28" i="3"/>
  <c r="D32" i="17"/>
  <c r="A52" i="29"/>
  <c r="A9"/>
  <c r="B37" i="12"/>
  <c r="A15" i="29"/>
  <c r="A16"/>
  <c r="A6"/>
  <c r="A51"/>
  <c r="A38"/>
  <c r="B77" i="8"/>
  <c r="D19" i="36"/>
  <c r="B59" i="29"/>
  <c r="A7"/>
  <c r="A19"/>
  <c r="A54"/>
  <c r="D12" i="14"/>
  <c r="D11"/>
  <c r="A46" i="29"/>
  <c r="G16" i="24"/>
  <c r="E28" i="48"/>
  <c r="G9" i="23"/>
  <c r="H9"/>
  <c r="E5" i="34"/>
  <c r="D5"/>
  <c r="B49"/>
  <c r="H85" i="13"/>
  <c r="C40"/>
  <c r="C5"/>
  <c r="C45"/>
  <c r="D5"/>
  <c r="D45"/>
  <c r="H34"/>
  <c r="H44"/>
  <c r="H74"/>
  <c r="H84"/>
  <c r="H35"/>
  <c r="H45"/>
  <c r="H75"/>
  <c r="C80"/>
  <c r="G24"/>
  <c r="H36"/>
  <c r="H46"/>
  <c r="G64"/>
  <c r="H76"/>
  <c r="H86"/>
  <c r="G28"/>
  <c r="H38"/>
  <c r="G68"/>
  <c r="H78"/>
  <c r="H86" i="10"/>
  <c r="B75"/>
  <c r="E5"/>
  <c r="E45"/>
  <c r="C40"/>
  <c r="H35"/>
  <c r="H45"/>
  <c r="H73"/>
  <c r="H83"/>
  <c r="H34"/>
  <c r="H44"/>
  <c r="H74"/>
  <c r="H84"/>
  <c r="C80"/>
  <c r="C5"/>
  <c r="C45"/>
  <c r="G28"/>
  <c r="H38"/>
  <c r="H75"/>
  <c r="H85"/>
  <c r="G24"/>
  <c r="H36"/>
  <c r="H46"/>
  <c r="G64"/>
  <c r="H76"/>
  <c r="H83" i="13"/>
  <c r="G31" i="10"/>
  <c r="H79" i="13"/>
  <c r="H78" i="10"/>
  <c r="E60"/>
  <c r="G74" s="1"/>
  <c r="H73" i="13"/>
  <c r="H79" i="10"/>
  <c r="H33" i="13"/>
  <c r="G71"/>
  <c r="G68" i="10"/>
  <c r="H43"/>
  <c r="B77" i="11"/>
  <c r="C5" i="34"/>
  <c r="E5" i="32"/>
  <c r="C5"/>
  <c r="B49"/>
  <c r="H43" i="13"/>
  <c r="G31"/>
  <c r="E5"/>
  <c r="E45"/>
  <c r="B75"/>
  <c r="I9" i="23"/>
  <c r="B35" i="10"/>
  <c r="A3" i="24"/>
  <c r="B24"/>
  <c r="C15"/>
  <c r="C14"/>
  <c r="A42"/>
  <c r="B9"/>
  <c r="B6"/>
  <c r="B13"/>
  <c r="B18"/>
  <c r="C5" i="12"/>
  <c r="C45"/>
  <c r="C40"/>
  <c r="E5"/>
  <c r="E45" s="1"/>
  <c r="H33"/>
  <c r="H45"/>
  <c r="H75"/>
  <c r="H85"/>
  <c r="G24"/>
  <c r="H36"/>
  <c r="H46"/>
  <c r="H74"/>
  <c r="H84"/>
  <c r="H86"/>
  <c r="B35"/>
  <c r="D5"/>
  <c r="D45"/>
  <c r="H35"/>
  <c r="G68"/>
  <c r="H78"/>
  <c r="G31"/>
  <c r="H39"/>
  <c r="G64"/>
  <c r="H76"/>
  <c r="B77" i="10"/>
  <c r="B37" i="8"/>
  <c r="B37" i="10"/>
  <c r="C28" i="21"/>
  <c r="G28" i="28"/>
  <c r="C20"/>
  <c r="E28" i="21"/>
  <c r="G46" i="10"/>
  <c r="B17" i="21"/>
  <c r="G22" i="24"/>
  <c r="G26" s="1"/>
  <c r="G30" s="1"/>
  <c r="G32" s="1"/>
  <c r="J34" s="1"/>
  <c r="E19" i="36"/>
  <c r="C51" i="16"/>
  <c r="C10"/>
  <c r="C49"/>
  <c r="D30"/>
  <c r="C24"/>
  <c r="C47"/>
  <c r="C20"/>
  <c r="C22"/>
  <c r="C25"/>
  <c r="B50"/>
  <c r="D24"/>
  <c r="E5"/>
  <c r="E29" s="1"/>
  <c r="D5"/>
  <c r="D29" s="1"/>
  <c r="D20"/>
  <c r="E12" i="14"/>
  <c r="E11"/>
  <c r="D5"/>
  <c r="D26"/>
  <c r="D21"/>
  <c r="D37"/>
  <c r="C5"/>
  <c r="C26"/>
  <c r="B40"/>
  <c r="D41"/>
  <c r="C33"/>
  <c r="C39"/>
  <c r="B20"/>
  <c r="C22"/>
  <c r="D6"/>
  <c r="D13"/>
  <c r="D19" s="1"/>
  <c r="D41" i="28"/>
  <c r="B25" s="1"/>
  <c r="H33"/>
  <c r="G34"/>
  <c r="D38"/>
  <c r="E15" i="48"/>
  <c r="E22" s="1"/>
  <c r="H29" i="28"/>
  <c r="D14" i="17"/>
  <c r="D30"/>
  <c r="D33"/>
  <c r="B30" i="30"/>
  <c r="K29"/>
  <c r="C28" i="31"/>
  <c r="C33" i="17"/>
  <c r="G86" i="8"/>
  <c r="G83"/>
  <c r="G86" i="12"/>
  <c r="G86" i="10"/>
  <c r="D6" i="16"/>
  <c r="D12"/>
  <c r="D22"/>
  <c r="E6" s="1"/>
  <c r="C52"/>
  <c r="D27" i="14"/>
  <c r="D33"/>
  <c r="D39"/>
  <c r="C42"/>
  <c r="E6" i="17"/>
  <c r="G43" i="10"/>
  <c r="G43" i="12"/>
  <c r="G43" i="8"/>
  <c r="G83" i="13"/>
  <c r="G83" i="11"/>
  <c r="G83" i="10"/>
  <c r="G43" i="11"/>
  <c r="G43" i="13"/>
  <c r="G83" i="12"/>
  <c r="E27" i="14"/>
  <c r="E33"/>
  <c r="E39"/>
  <c r="E40"/>
  <c r="D42"/>
  <c r="E13" i="17"/>
  <c r="E12" s="1"/>
  <c r="F21" i="21"/>
  <c r="E20" i="16"/>
  <c r="E26" i="3"/>
  <c r="D25" i="16"/>
  <c r="C35" i="7"/>
  <c r="C37"/>
  <c r="C46"/>
  <c r="G46" i="13"/>
  <c r="D21" i="3"/>
  <c r="C86" i="7"/>
  <c r="E6"/>
  <c r="E45"/>
  <c r="B81"/>
  <c r="C6"/>
  <c r="C45" s="1"/>
  <c r="E14" i="17"/>
  <c r="E30" s="1"/>
  <c r="E31" s="1"/>
  <c r="C80" i="7"/>
  <c r="D7"/>
  <c r="D34" i="16"/>
  <c r="C52" i="15"/>
  <c r="C5"/>
  <c r="E24" i="31"/>
  <c r="E30" i="3" s="1"/>
  <c r="C22" i="28"/>
  <c r="G36"/>
  <c r="G86" i="13"/>
  <c r="H28" i="28"/>
  <c r="H25"/>
  <c r="G18"/>
  <c r="C13"/>
  <c r="H26"/>
  <c r="B23"/>
  <c r="M26" i="21"/>
  <c r="M34" s="1"/>
  <c r="G46" i="11"/>
  <c r="G46" i="8"/>
  <c r="G14" i="28"/>
  <c r="H35"/>
  <c r="G21"/>
  <c r="H36"/>
  <c r="H23"/>
  <c r="H34"/>
  <c r="G46" i="12"/>
  <c r="G86" i="11"/>
  <c r="D5" i="28"/>
  <c r="D15" s="1"/>
  <c r="D22" s="1"/>
  <c r="C42"/>
  <c r="C39"/>
  <c r="C111" i="7"/>
  <c r="C78"/>
  <c r="C112"/>
  <c r="D39" i="28"/>
  <c r="B20" i="21"/>
  <c r="C27" i="27"/>
  <c r="C29" s="1"/>
  <c r="B29" i="21" s="1"/>
  <c r="C18" i="15"/>
  <c r="C20"/>
  <c r="C53"/>
  <c r="D37" i="7"/>
  <c r="D49" i="15"/>
  <c r="B51"/>
  <c r="E5"/>
  <c r="D52"/>
  <c r="D48"/>
  <c r="D20" i="21"/>
  <c r="E23" i="15"/>
  <c r="F23" s="1"/>
  <c r="D6"/>
  <c r="D20"/>
  <c r="D50" s="1"/>
  <c r="D46" i="7"/>
  <c r="G23" i="49"/>
  <c r="G21"/>
  <c r="G19"/>
  <c r="G18"/>
  <c r="D42" i="28" l="1"/>
  <c r="B26" s="1"/>
  <c r="G23"/>
  <c r="E5"/>
  <c r="E6" i="15"/>
  <c r="D53"/>
  <c r="E6" i="14"/>
  <c r="E13" s="1"/>
  <c r="E19" s="1"/>
  <c r="E20" s="1"/>
  <c r="D22"/>
  <c r="E32" i="11"/>
  <c r="E37"/>
  <c r="F36"/>
  <c r="F76" i="13"/>
  <c r="E77"/>
  <c r="E72"/>
  <c r="E77" i="12"/>
  <c r="E72"/>
  <c r="F76"/>
  <c r="F36"/>
  <c r="E37"/>
  <c r="E32"/>
  <c r="E32" i="10"/>
  <c r="F36"/>
  <c r="E37"/>
  <c r="E46"/>
  <c r="E61" s="1"/>
  <c r="D96"/>
  <c r="B78" s="1"/>
  <c r="G73"/>
  <c r="E25" i="28"/>
  <c r="E22" i="3"/>
  <c r="F17" i="21"/>
  <c r="F30" i="28"/>
  <c r="E20"/>
  <c r="D27" i="5"/>
  <c r="D9" s="1"/>
  <c r="E28"/>
  <c r="E9" s="1"/>
  <c r="D61" i="13"/>
  <c r="D74" s="1"/>
  <c r="D59"/>
  <c r="B30" i="21"/>
  <c r="J36" i="24"/>
  <c r="J40" s="1"/>
  <c r="D54" i="17"/>
  <c r="E39"/>
  <c r="E45" s="1"/>
  <c r="E51" s="1"/>
  <c r="E52" s="1"/>
  <c r="D94" i="11"/>
  <c r="B38" s="1"/>
  <c r="G33"/>
  <c r="E6"/>
  <c r="E21" s="1"/>
  <c r="D96" i="12"/>
  <c r="B78" s="1"/>
  <c r="E46"/>
  <c r="E61" s="1"/>
  <c r="G73"/>
  <c r="E77" i="10"/>
  <c r="E78" s="1"/>
  <c r="F76"/>
  <c r="E72"/>
  <c r="F36" i="13"/>
  <c r="E37"/>
  <c r="E32"/>
  <c r="F36" i="8"/>
  <c r="E32"/>
  <c r="E37"/>
  <c r="E77" i="11"/>
  <c r="E78" s="1"/>
  <c r="F76"/>
  <c r="E72"/>
  <c r="E77" i="8"/>
  <c r="F76"/>
  <c r="E72"/>
  <c r="D21"/>
  <c r="D34" s="1"/>
  <c r="D19"/>
  <c r="D96" i="11"/>
  <c r="B78" s="1"/>
  <c r="E46"/>
  <c r="E61" s="1"/>
  <c r="G73"/>
  <c r="D21" i="13"/>
  <c r="D34" s="1"/>
  <c r="D19"/>
  <c r="E19" i="15"/>
  <c r="E18" s="1"/>
  <c r="F25" i="21"/>
  <c r="E23" i="31"/>
  <c r="E25"/>
  <c r="E26" s="1"/>
  <c r="D21" i="12"/>
  <c r="D34" s="1"/>
  <c r="D61" i="8"/>
  <c r="D74" s="1"/>
  <c r="D21" i="10"/>
  <c r="D34" s="1"/>
  <c r="J42" i="21"/>
  <c r="J26"/>
  <c r="J31"/>
  <c r="F35"/>
  <c r="F13"/>
  <c r="L6" i="22"/>
  <c r="F29" i="5"/>
  <c r="F9" s="1"/>
  <c r="F7" s="1"/>
  <c r="B37" i="11"/>
  <c r="E11" i="28"/>
  <c r="F37" i="15"/>
  <c r="E49"/>
  <c r="E10" i="16"/>
  <c r="E12"/>
  <c r="E22" s="1"/>
  <c r="E23" s="1"/>
  <c r="F22" i="21"/>
  <c r="E27" i="3"/>
  <c r="E47" i="16"/>
  <c r="D11" i="9"/>
  <c r="D22"/>
  <c r="E50" i="7" s="1"/>
  <c r="D26" i="9"/>
  <c r="E51" i="7" s="1"/>
  <c r="D40" i="9"/>
  <c r="E55" i="7" s="1"/>
  <c r="D17" i="9"/>
  <c r="E49" i="7" s="1"/>
  <c r="C26" i="9"/>
  <c r="D48" i="16"/>
  <c r="D7" i="49"/>
  <c r="D94" i="10" l="1"/>
  <c r="B38" s="1"/>
  <c r="G33"/>
  <c r="E6"/>
  <c r="E21" s="1"/>
  <c r="E6" i="12"/>
  <c r="E21" s="1"/>
  <c r="D94"/>
  <c r="B38" s="1"/>
  <c r="G33"/>
  <c r="E6" i="13"/>
  <c r="E21" s="1"/>
  <c r="G33"/>
  <c r="D94"/>
  <c r="B38" s="1"/>
  <c r="E79" i="10"/>
  <c r="E80" s="1"/>
  <c r="E59" s="1"/>
  <c r="G75"/>
  <c r="K75" s="1"/>
  <c r="E46" i="13"/>
  <c r="E61" s="1"/>
  <c r="D96"/>
  <c r="B78" s="1"/>
  <c r="G73"/>
  <c r="E9" i="28"/>
  <c r="G17" i="48" s="1"/>
  <c r="D7" i="5"/>
  <c r="E78" i="8"/>
  <c r="E38" i="13"/>
  <c r="E38" i="11"/>
  <c r="G73" i="8"/>
  <c r="D98"/>
  <c r="B78" s="1"/>
  <c r="E46"/>
  <c r="E61" s="1"/>
  <c r="E6"/>
  <c r="E21" s="1"/>
  <c r="E38" s="1"/>
  <c r="G33"/>
  <c r="D96"/>
  <c r="B38" s="1"/>
  <c r="E79" i="11"/>
  <c r="E80" s="1"/>
  <c r="G75"/>
  <c r="G76" s="1"/>
  <c r="G79" s="1"/>
  <c r="E7" i="5"/>
  <c r="E10" i="28"/>
  <c r="G18" i="48" s="1"/>
  <c r="E38" i="10"/>
  <c r="E38" i="12"/>
  <c r="E78"/>
  <c r="E78" i="13"/>
  <c r="E20" i="15"/>
  <c r="E50" s="1"/>
  <c r="E51" s="1"/>
  <c r="D49" i="16"/>
  <c r="D22" i="21"/>
  <c r="D47" i="16"/>
  <c r="D51"/>
  <c r="D51" i="7"/>
  <c r="D56" s="1"/>
  <c r="D79" s="1"/>
  <c r="C42" i="9"/>
  <c r="E48" i="7"/>
  <c r="E56" s="1"/>
  <c r="E79" s="1"/>
  <c r="D42" i="9"/>
  <c r="E48" i="15"/>
  <c r="F20" i="21"/>
  <c r="E25" i="3"/>
  <c r="F20" i="5"/>
  <c r="E13" i="7"/>
  <c r="G19" i="48"/>
  <c r="E14" i="28"/>
  <c r="E59" i="11"/>
  <c r="E39" i="8" l="1"/>
  <c r="E79" i="12"/>
  <c r="E80" s="1"/>
  <c r="E59" s="1"/>
  <c r="G75"/>
  <c r="E39" i="10"/>
  <c r="E39" i="11"/>
  <c r="E40" s="1"/>
  <c r="E19" s="1"/>
  <c r="G35"/>
  <c r="E39" i="13"/>
  <c r="G35"/>
  <c r="E40"/>
  <c r="E79" i="8"/>
  <c r="G75"/>
  <c r="K75" s="1"/>
  <c r="E80"/>
  <c r="E59" s="1"/>
  <c r="E79" i="13"/>
  <c r="E80" s="1"/>
  <c r="E59" s="1"/>
  <c r="G75"/>
  <c r="E39" i="12"/>
  <c r="E40" s="1"/>
  <c r="E19" s="1"/>
  <c r="G35"/>
  <c r="E12" i="7"/>
  <c r="E20" i="5"/>
  <c r="D20"/>
  <c r="E11" i="7"/>
  <c r="E36"/>
  <c r="K75" i="11"/>
  <c r="G76" i="8"/>
  <c r="G79" s="1"/>
  <c r="G76" i="10"/>
  <c r="G79" s="1"/>
  <c r="G76" i="13"/>
  <c r="G79" s="1"/>
  <c r="G36"/>
  <c r="G39" s="1"/>
  <c r="G36" i="12"/>
  <c r="G39" s="1"/>
  <c r="G24" i="28"/>
  <c r="E15"/>
  <c r="F16" i="21"/>
  <c r="F28" s="1"/>
  <c r="F30" s="1"/>
  <c r="E78" i="7"/>
  <c r="E83"/>
  <c r="F82"/>
  <c r="E21" i="3"/>
  <c r="E33" s="1"/>
  <c r="D111" i="7"/>
  <c r="B83" s="1"/>
  <c r="D78"/>
  <c r="D16" i="21"/>
  <c r="D28" s="1"/>
  <c r="D30" s="1"/>
  <c r="D80" i="7"/>
  <c r="E30" i="16"/>
  <c r="E36" s="1"/>
  <c r="E49" s="1"/>
  <c r="E50" s="1"/>
  <c r="D52"/>
  <c r="K35" i="13" l="1"/>
  <c r="E19"/>
  <c r="K35" i="11"/>
  <c r="G36"/>
  <c r="G39" s="1"/>
  <c r="K75" i="12"/>
  <c r="G76"/>
  <c r="G79" s="1"/>
  <c r="K35"/>
  <c r="K75" i="13"/>
  <c r="E40" i="10"/>
  <c r="E19" s="1"/>
  <c r="E40" i="8"/>
  <c r="E19" s="1"/>
  <c r="E7" i="7"/>
  <c r="E37" s="1"/>
  <c r="E46" s="1"/>
  <c r="D112"/>
  <c r="B84" s="1"/>
  <c r="E26" i="28"/>
  <c r="E84" i="7"/>
  <c r="G35" i="10" l="1"/>
  <c r="G36" s="1"/>
  <c r="G39" s="1"/>
  <c r="G35" i="8"/>
  <c r="E85" i="7"/>
  <c r="E86" s="1"/>
  <c r="E27" i="28"/>
  <c r="G25" s="1"/>
  <c r="G36" i="8" l="1"/>
  <c r="G39" s="1"/>
  <c r="K35"/>
  <c r="E28" i="28"/>
  <c r="F22" i="3"/>
  <c r="G15" i="48"/>
  <c r="G22" s="1"/>
  <c r="G17" i="21"/>
  <c r="H17" s="1"/>
  <c r="E13" i="28"/>
  <c r="K29"/>
  <c r="G26"/>
  <c r="G29" s="1"/>
  <c r="G16" i="21"/>
  <c r="G28" s="1"/>
  <c r="M33" s="1"/>
  <c r="M35" s="1"/>
  <c r="F21" i="3"/>
  <c r="F33" s="1"/>
  <c r="F34" s="1"/>
  <c r="H16" i="21"/>
  <c r="E35" i="7"/>
  <c r="H28" i="21" l="1"/>
  <c r="G85" i="13" s="1"/>
  <c r="G35" i="28"/>
  <c r="M39" i="21"/>
  <c r="G85" i="8"/>
  <c r="G85" i="11"/>
  <c r="G45" i="8"/>
  <c r="G45" i="11"/>
  <c r="G45" i="10"/>
  <c r="G45" i="12"/>
  <c r="G85" i="10"/>
  <c r="G45" i="13"/>
  <c r="G85" i="12"/>
  <c r="M29" i="21"/>
  <c r="J29" s="1"/>
  <c r="M28"/>
  <c r="J28" s="1"/>
  <c r="G33" i="28"/>
  <c r="G29" i="48"/>
  <c r="E30" s="1"/>
  <c r="D31" s="1"/>
  <c r="D24"/>
  <c r="F33" s="1"/>
  <c r="F34" i="28" s="1"/>
  <c r="E23" i="48"/>
</calcChain>
</file>

<file path=xl/sharedStrings.xml><?xml version="1.0" encoding="utf-8"?>
<sst xmlns="http://schemas.openxmlformats.org/spreadsheetml/2006/main" count="2045" uniqueCount="1134">
  <si>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</si>
  <si>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</si>
  <si>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</si>
  <si>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</si>
  <si>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</si>
  <si>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</si>
  <si>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</si>
  <si>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</si>
  <si>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</si>
  <si>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</si>
  <si>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</si>
  <si>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</si>
  <si>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</si>
  <si>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</si>
  <si>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</si>
  <si>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</si>
  <si>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</si>
  <si>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</si>
  <si>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</si>
  <si>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</si>
  <si>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</si>
  <si>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</si>
  <si>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</si>
  <si>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</si>
  <si>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</si>
  <si>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</si>
  <si>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</si>
  <si>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</si>
  <si>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</si>
  <si>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</si>
  <si>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</si>
  <si>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</si>
  <si>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</si>
  <si>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</si>
  <si>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</si>
  <si>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</si>
  <si>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</si>
  <si>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</si>
  <si>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</si>
  <si>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</si>
  <si>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</si>
  <si>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</si>
  <si>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</si>
  <si>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</si>
  <si>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</si>
  <si>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</si>
  <si>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</si>
  <si>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</si>
  <si>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</si>
  <si>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</si>
  <si>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</si>
  <si>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</si>
  <si>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</si>
  <si>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</si>
  <si>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</si>
  <si>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</si>
  <si>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</si>
  <si>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</si>
  <si>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</si>
  <si>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</si>
  <si>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</si>
  <si>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</si>
  <si>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</si>
  <si>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</si>
  <si>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</si>
  <si>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</si>
  <si>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</si>
  <si>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</si>
  <si>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</si>
  <si>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</si>
  <si>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</si>
  <si>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</si>
  <si>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</si>
  <si>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</si>
  <si>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</si>
  <si>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</si>
  <si>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</si>
  <si>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</si>
  <si>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</si>
  <si>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</si>
  <si>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</si>
  <si>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</si>
  <si>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</si>
  <si>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</si>
  <si>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</si>
  <si>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</si>
  <si>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</si>
  <si>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</si>
  <si>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</si>
  <si>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</si>
  <si>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</si>
  <si>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</si>
  <si>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</si>
  <si>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</si>
  <si>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</si>
  <si>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</si>
  <si>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</si>
  <si>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</si>
  <si>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</si>
  <si>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</si>
  <si>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</si>
  <si>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</si>
  <si>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</si>
  <si>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</si>
  <si>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</si>
  <si>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</si>
  <si>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</si>
  <si>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</si>
  <si>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</si>
  <si>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</si>
  <si>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</si>
  <si>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</si>
  <si>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</si>
  <si>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</si>
  <si>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</si>
  <si>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</si>
  <si>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</si>
  <si>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</si>
  <si>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</si>
  <si>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</si>
  <si>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</si>
  <si>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</si>
  <si>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</si>
  <si>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</si>
  <si>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</si>
  <si>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</si>
  <si>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</si>
  <si>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</si>
  <si>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</si>
  <si>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</si>
  <si>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</si>
  <si>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</si>
  <si>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</si>
  <si>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</si>
  <si>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</si>
  <si>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</si>
  <si>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</si>
  <si>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</si>
  <si>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</si>
  <si>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</si>
  <si>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</si>
  <si>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</si>
  <si>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</si>
  <si>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</si>
  <si>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</si>
  <si>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</si>
  <si>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</si>
  <si>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</si>
  <si>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</si>
  <si>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</si>
  <si>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</si>
  <si>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</si>
  <si>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</si>
  <si>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</si>
  <si>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</si>
  <si>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</si>
  <si>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</si>
  <si>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</si>
  <si>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</si>
  <si>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</si>
  <si>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</si>
  <si>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</si>
  <si>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</si>
  <si>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</si>
  <si>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</si>
  <si>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</si>
  <si>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</si>
  <si>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</si>
  <si>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</si>
  <si>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</si>
  <si>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</si>
  <si>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</si>
  <si>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</si>
  <si>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</si>
  <si>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</si>
  <si>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</si>
  <si>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</si>
  <si>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</si>
  <si>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</si>
  <si>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</si>
  <si>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</si>
  <si>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</si>
  <si>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</si>
  <si>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</si>
  <si>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</si>
  <si>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</si>
  <si>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</si>
  <si>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</si>
  <si>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</si>
  <si>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</si>
  <si>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</si>
  <si>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</si>
  <si>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</si>
  <si>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</si>
  <si>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</si>
  <si>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</si>
  <si>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</si>
  <si>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</si>
  <si>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</si>
  <si>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</si>
  <si>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</si>
  <si>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</si>
  <si>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</si>
  <si>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</si>
  <si>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</si>
  <si>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</si>
  <si>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</si>
  <si>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</si>
  <si>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</si>
  <si>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</si>
  <si>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</si>
  <si>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</si>
  <si>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</si>
  <si>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</si>
  <si>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</si>
  <si>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</si>
  <si>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</si>
  <si>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</si>
  <si>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</si>
  <si>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</si>
  <si>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</si>
  <si>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</si>
  <si>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</si>
  <si>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</si>
  <si>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</si>
  <si>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</si>
  <si>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</si>
  <si>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</si>
  <si>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</si>
  <si>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</si>
  <si>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</si>
  <si>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</si>
  <si>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</si>
  <si>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</si>
  <si>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</si>
  <si>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</si>
  <si>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Read these instructions carefully.  If after reviewing them you still have questions, call Municipal Services at 785-296-2311 or e-mail : armunis@da.ks.gov</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</si>
  <si>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</si>
  <si>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</si>
  <si>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</si>
  <si>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</si>
  <si>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</si>
  <si>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</si>
  <si>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</si>
  <si>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</si>
  <si>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</si>
  <si>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</si>
  <si>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</si>
  <si>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</si>
  <si>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</si>
  <si>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</si>
  <si>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</si>
  <si>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</si>
  <si>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</si>
  <si>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</si>
  <si>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</si>
  <si>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</si>
  <si>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</si>
  <si>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</si>
  <si>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</si>
  <si>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</si>
  <si>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</si>
  <si>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</si>
  <si>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</si>
  <si>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</si>
  <si>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</si>
  <si>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</si>
  <si>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</si>
  <si>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</si>
  <si>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</si>
  <si>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</si>
  <si>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</si>
  <si>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</si>
  <si>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</si>
  <si>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</si>
  <si>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</si>
  <si>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</si>
  <si>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</si>
  <si>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</si>
  <si>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</si>
  <si>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</si>
  <si>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</si>
  <si>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</si>
  <si>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</si>
  <si>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</si>
  <si>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</si>
  <si>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</si>
  <si>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</si>
  <si>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</si>
  <si>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</si>
  <si>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</si>
  <si>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</si>
  <si>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</si>
  <si>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</si>
  <si>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</si>
  <si>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</si>
  <si>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</si>
  <si>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</si>
  <si>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</si>
  <si>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</si>
  <si>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</si>
  <si>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</si>
  <si>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</si>
  <si>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</si>
  <si>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</si>
  <si>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</si>
  <si>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</si>
  <si>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</si>
  <si>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</si>
  <si>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</si>
  <si>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</si>
  <si>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</si>
  <si>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</si>
  <si>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</si>
  <si>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</si>
  <si>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</si>
  <si>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</si>
  <si>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</si>
  <si>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</si>
  <si>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</si>
  <si>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</si>
  <si>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</si>
  <si>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</si>
  <si>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</si>
  <si>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</si>
  <si>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</si>
  <si>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</si>
  <si>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</si>
  <si>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</si>
  <si>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</si>
  <si>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</si>
  <si>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</si>
  <si>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</si>
  <si>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</si>
  <si>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</si>
  <si>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</si>
  <si>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</si>
  <si>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</si>
  <si>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</si>
  <si>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</si>
  <si>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</si>
  <si>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</si>
  <si>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</si>
  <si>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</si>
  <si>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</si>
  <si>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</si>
  <si>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</si>
  <si>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</si>
  <si>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</si>
  <si>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</si>
  <si>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</si>
  <si>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</si>
  <si>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</si>
  <si>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</si>
  <si>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</si>
  <si>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</si>
  <si>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</si>
  <si>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</si>
  <si>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</si>
  <si>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</si>
  <si>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</si>
  <si>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</si>
  <si>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</si>
  <si>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</si>
  <si>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</si>
  <si>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</si>
  <si>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</si>
  <si>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</si>
  <si>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</si>
  <si>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</si>
  <si>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</si>
  <si>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</si>
  <si>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</si>
  <si>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</si>
  <si>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</si>
  <si>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</si>
  <si>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</si>
  <si>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</si>
  <si>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</si>
  <si>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</si>
  <si>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</si>
  <si>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</si>
  <si>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</si>
  <si>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</si>
  <si>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</si>
  <si>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</si>
  <si>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</si>
  <si>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</si>
  <si>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</si>
  <si>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</si>
  <si>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</si>
  <si>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</si>
  <si>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</si>
  <si>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</si>
  <si>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</si>
  <si>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</si>
  <si>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</si>
  <si>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</si>
  <si>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</si>
  <si>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</si>
  <si>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</si>
  <si>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</si>
  <si>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</si>
  <si>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</si>
  <si>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</si>
  <si>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</si>
  <si>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</si>
  <si>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</si>
  <si>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</si>
  <si>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</si>
  <si>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</si>
  <si>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</si>
  <si>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</si>
  <si>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</si>
  <si>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</si>
  <si>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</si>
  <si>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</si>
  <si>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</si>
  <si>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</si>
  <si>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</si>
  <si>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</si>
  <si>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</si>
  <si>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</si>
  <si>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</si>
  <si>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</si>
  <si>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</si>
  <si>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</si>
  <si>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</si>
  <si>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</si>
  <si>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</si>
  <si>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</si>
  <si>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</si>
  <si>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</si>
  <si>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</si>
  <si>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</si>
  <si>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</si>
  <si>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</si>
  <si>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</si>
  <si>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</si>
  <si>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</si>
  <si>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</si>
  <si>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</si>
  <si>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</si>
  <si>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</si>
  <si>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</si>
  <si>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</si>
  <si>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</si>
  <si>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</si>
  <si>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</si>
  <si>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</si>
  <si>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</si>
  <si>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</si>
  <si>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</si>
  <si>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</si>
  <si>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</si>
  <si>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</si>
  <si>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</si>
  <si>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</si>
  <si>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</si>
  <si>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</si>
  <si>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</si>
  <si>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</si>
  <si>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</si>
  <si>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</si>
  <si>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</si>
  <si>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</si>
  <si>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</si>
  <si>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</si>
  <si>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</si>
  <si>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</si>
  <si>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</si>
  <si>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</si>
  <si>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</si>
  <si>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</si>
  <si>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</si>
  <si>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</si>
  <si>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</si>
  <si>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</si>
  <si>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</si>
  <si>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</si>
  <si>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</si>
  <si>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</si>
  <si>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</si>
  <si>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</si>
  <si>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</si>
  <si>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</si>
  <si>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</si>
  <si>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</si>
  <si>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</si>
  <si>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</si>
  <si>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</si>
  <si>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</si>
  <si>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</si>
  <si>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</si>
  <si>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</si>
  <si>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</si>
  <si>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</si>
  <si>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</si>
  <si>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</si>
  <si>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</si>
  <si>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</si>
  <si>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</si>
  <si>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</si>
  <si>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</si>
  <si>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</si>
  <si>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</si>
  <si>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</si>
  <si>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</si>
  <si>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</si>
  <si>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</si>
  <si>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</si>
  <si>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</si>
  <si>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</si>
  <si>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</si>
  <si>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</si>
  <si>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</si>
  <si>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</si>
  <si>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</si>
  <si>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</si>
  <si>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</si>
  <si>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</si>
  <si>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</si>
  <si>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</si>
  <si>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</si>
  <si>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</si>
  <si>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</si>
  <si>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</si>
  <si>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</si>
  <si>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</si>
  <si>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</si>
  <si>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</si>
  <si>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</si>
  <si>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</si>
  <si>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</si>
  <si>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</si>
  <si>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</si>
  <si>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</si>
  <si>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</si>
  <si>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</si>
  <si>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</si>
  <si>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</si>
  <si>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</si>
  <si>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</si>
  <si>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</si>
  <si>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</si>
  <si>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</si>
  <si>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</si>
  <si>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</si>
  <si>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</si>
  <si>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</si>
  <si>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</si>
  <si>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</si>
  <si>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</si>
  <si>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</si>
  <si>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</si>
  <si>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</si>
  <si>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</si>
  <si>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</si>
  <si>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</si>
  <si>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</si>
  <si>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</si>
  <si>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</si>
  <si>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</si>
  <si>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</si>
  <si>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</si>
  <si>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</si>
  <si>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</si>
  <si>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</si>
  <si>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</si>
  <si>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</si>
  <si>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</si>
  <si>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</si>
  <si>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</si>
  <si>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</si>
  <si>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</si>
  <si>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</si>
  <si>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</si>
  <si>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</si>
  <si>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</si>
  <si>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</si>
  <si>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</si>
  <si>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</si>
  <si>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</si>
  <si>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</si>
  <si>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</si>
  <si>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</si>
  <si>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</si>
  <si>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</si>
  <si>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</si>
  <si>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</si>
  <si>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</si>
  <si>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</si>
  <si>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</si>
  <si>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</si>
  <si>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</si>
  <si>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</si>
  <si>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</si>
  <si>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</si>
  <si>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</si>
  <si>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</si>
  <si>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</si>
  <si>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</si>
  <si>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</si>
  <si>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</si>
  <si>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</si>
  <si>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</si>
  <si>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</si>
  <si>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</si>
  <si>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</si>
  <si>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</si>
  <si>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</si>
  <si>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</si>
  <si>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</si>
  <si>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</si>
  <si>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</si>
  <si>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</si>
  <si>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</si>
  <si>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</si>
  <si>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</si>
  <si>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</si>
  <si>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</si>
  <si>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</si>
  <si>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</si>
  <si>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</si>
  <si>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</si>
  <si>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</si>
  <si>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</si>
  <si>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</si>
  <si>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</si>
  <si>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</si>
  <si>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</si>
  <si>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</si>
  <si>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</si>
  <si>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</si>
  <si>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</si>
  <si>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</si>
  <si>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</si>
  <si>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</si>
  <si>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</si>
  <si>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</si>
  <si>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</si>
  <si>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</si>
  <si>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</si>
  <si>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</si>
  <si>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</si>
  <si>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</si>
  <si>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</si>
  <si>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</si>
  <si>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</si>
  <si>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</si>
  <si>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</si>
  <si>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</si>
  <si>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</si>
  <si>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</si>
  <si>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</si>
  <si>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</si>
  <si>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</si>
  <si>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</si>
  <si>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</si>
  <si>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</si>
  <si>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</si>
  <si>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</si>
  <si>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</si>
  <si>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</si>
  <si>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</si>
  <si>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</si>
  <si>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</si>
  <si>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</si>
  <si>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</si>
  <si>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</si>
  <si>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</si>
  <si>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</si>
  <si>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</si>
  <si>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</si>
  <si>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</si>
  <si>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</si>
  <si>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</si>
  <si>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</si>
  <si>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</si>
  <si>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</si>
  <si>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</si>
  <si>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</si>
  <si>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</si>
  <si>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</si>
  <si>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</si>
  <si>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</si>
  <si>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</si>
  <si>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</si>
  <si>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</si>
  <si>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</si>
  <si>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</si>
  <si>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</si>
  <si>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</si>
  <si>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</si>
  <si>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</si>
  <si>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</si>
  <si>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</si>
  <si>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</si>
  <si>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</si>
  <si>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</si>
  <si>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</si>
  <si>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</si>
  <si>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</si>
  <si>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</si>
  <si>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</si>
  <si>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</si>
  <si>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</si>
  <si>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</si>
  <si>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</si>
  <si>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</si>
  <si>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</si>
  <si>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</si>
  <si>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</si>
  <si>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</si>
  <si>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</si>
  <si>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</si>
  <si>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</si>
  <si>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</si>
  <si>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</si>
  <si>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</si>
  <si>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</si>
  <si>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</si>
  <si>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</si>
  <si>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</si>
  <si>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</si>
  <si>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</si>
  <si>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</si>
  <si>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</si>
  <si>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</si>
  <si>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</si>
  <si>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</si>
  <si>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</si>
  <si>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</si>
  <si>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</si>
  <si>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</si>
  <si>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</si>
  <si>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</si>
  <si>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</si>
  <si>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</si>
  <si>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</si>
  <si>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</si>
  <si>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</si>
  <si>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</si>
  <si>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</si>
  <si>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</si>
  <si>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</si>
  <si>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</si>
  <si>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</si>
  <si>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</si>
  <si>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</si>
  <si>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</si>
  <si>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</si>
  <si>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</si>
  <si>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Local Sales Tax</t>
  </si>
  <si>
    <t>Franchise Tax</t>
  </si>
  <si>
    <t>Licenses</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</si>
  <si>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</si>
  <si>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</si>
  <si>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</si>
  <si>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</si>
  <si>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</si>
  <si>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</si>
  <si>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</si>
  <si>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</si>
  <si>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</si>
  <si>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</si>
  <si>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</si>
  <si>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</si>
  <si>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</si>
  <si>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</si>
  <si>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</si>
  <si>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</si>
  <si>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</si>
  <si>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</si>
  <si>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</si>
  <si>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</si>
  <si>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</si>
  <si>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</si>
  <si>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</si>
  <si>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</si>
  <si>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</si>
  <si>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</si>
  <si>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</si>
  <si>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</si>
  <si>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</si>
  <si>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</si>
  <si>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</si>
  <si>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</si>
  <si>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</si>
  <si>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</si>
  <si>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</si>
  <si>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</si>
  <si>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</si>
  <si>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</si>
  <si>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</si>
  <si>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</si>
  <si>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</si>
  <si>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</si>
  <si>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</si>
  <si>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</si>
  <si>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</si>
  <si>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</si>
  <si>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</si>
  <si>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</si>
  <si>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</si>
  <si>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</si>
  <si>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</si>
  <si>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</si>
  <si>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</si>
  <si>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</si>
  <si>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</si>
  <si>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</si>
  <si>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</si>
  <si>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</si>
  <si>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</si>
  <si>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</si>
  <si>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</si>
  <si>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</si>
  <si>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</si>
  <si>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</si>
  <si>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</si>
  <si>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</si>
  <si>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</si>
  <si>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</si>
  <si>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</si>
  <si>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</si>
  <si>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</si>
  <si>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</si>
  <si>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</si>
  <si>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</si>
  <si>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</si>
  <si>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</si>
  <si>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</si>
  <si>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</si>
  <si>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</si>
  <si>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</si>
  <si>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</si>
  <si>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</si>
  <si>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</si>
  <si>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</si>
  <si>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</si>
  <si>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</si>
  <si>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</si>
  <si>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</si>
  <si>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</si>
  <si>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</si>
  <si>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</si>
  <si>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</si>
  <si>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</si>
  <si>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</si>
  <si>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</si>
  <si>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</si>
  <si>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</si>
  <si>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</si>
  <si>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</si>
  <si>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</si>
  <si>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</si>
  <si>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</si>
  <si>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</si>
  <si>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</si>
  <si>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</si>
  <si>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</si>
  <si>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</si>
  <si>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</si>
  <si>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</si>
  <si>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</si>
  <si>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</si>
  <si>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</si>
  <si>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</si>
  <si>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</si>
  <si>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</si>
  <si>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</si>
  <si>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</si>
  <si>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</si>
  <si>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</si>
  <si>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</si>
  <si>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</si>
  <si>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</si>
  <si>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</si>
  <si>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</si>
  <si>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</si>
  <si>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</si>
  <si>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</si>
  <si>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</si>
  <si>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</si>
  <si>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</si>
  <si>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</si>
  <si>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</si>
  <si>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</si>
  <si>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</si>
  <si>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</si>
  <si>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</si>
  <si>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</si>
  <si>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</si>
  <si>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</si>
  <si>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</si>
  <si>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</si>
  <si>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</si>
  <si>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</si>
  <si>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</si>
  <si>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</si>
  <si>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</si>
  <si>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</si>
  <si>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</si>
  <si>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</si>
  <si>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</si>
  <si>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</si>
  <si>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</si>
  <si>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</si>
  <si>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</si>
  <si>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</si>
  <si>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</si>
  <si>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</si>
  <si>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</si>
  <si>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</si>
  <si>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</si>
  <si>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</si>
  <si>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</si>
  <si>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</si>
  <si>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</si>
  <si>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</si>
  <si>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</si>
  <si>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</si>
  <si>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</si>
  <si>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</si>
  <si>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</si>
  <si>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</si>
  <si>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</si>
  <si>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</si>
  <si>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</si>
  <si>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</si>
  <si>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</si>
  <si>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</si>
  <si>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</si>
  <si>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</si>
  <si>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</si>
  <si>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</si>
  <si>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</si>
  <si>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</si>
  <si>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</si>
  <si>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</si>
  <si>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</si>
  <si>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</si>
  <si>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</si>
  <si>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</si>
  <si>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</si>
  <si>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</si>
  <si>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</si>
  <si>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</si>
  <si>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</si>
  <si>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</si>
  <si>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</si>
  <si>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</si>
  <si>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</si>
  <si>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</si>
  <si>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</si>
  <si>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</si>
  <si>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</si>
  <si>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</si>
  <si>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</si>
  <si>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</si>
  <si>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</si>
  <si>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</si>
  <si>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</si>
  <si>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</si>
  <si>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</si>
  <si>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</si>
  <si>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</si>
  <si>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</si>
  <si>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</si>
  <si>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</si>
  <si>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</si>
  <si>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</si>
  <si>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</si>
  <si>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</si>
  <si>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City of St.Francis</t>
  </si>
  <si>
    <t>Cheyenne County</t>
  </si>
  <si>
    <t>Special Parks &amp; Recreation</t>
  </si>
  <si>
    <t>Electric &amp; Water Utility</t>
  </si>
  <si>
    <t>Sewer Utility</t>
  </si>
  <si>
    <t>Refuse Utility</t>
  </si>
  <si>
    <t>Theatre Enterprise</t>
  </si>
  <si>
    <t>Tourism &amp; Convention</t>
  </si>
  <si>
    <t>EMS Building Maintenance</t>
  </si>
  <si>
    <t>Equipment Reserve</t>
  </si>
  <si>
    <t>Capital Improvements</t>
  </si>
  <si>
    <t>Swimming Pool Contributions</t>
  </si>
  <si>
    <t>Scott Schultz</t>
  </si>
  <si>
    <t>Mayor</t>
  </si>
  <si>
    <t>7:15 PM</t>
  </si>
  <si>
    <t>KS Water Pollution Control</t>
  </si>
  <si>
    <t xml:space="preserve">    Revolving Loan Fund</t>
  </si>
  <si>
    <t>3/1 &amp; 9/1</t>
  </si>
  <si>
    <t>General Government</t>
  </si>
  <si>
    <t>Police Department</t>
  </si>
  <si>
    <t>Streets</t>
  </si>
  <si>
    <t>Fire</t>
  </si>
  <si>
    <t>Sanitation</t>
  </si>
  <si>
    <t>Recycling</t>
  </si>
  <si>
    <t>Parks</t>
  </si>
  <si>
    <t>Pool</t>
  </si>
  <si>
    <t>Building Permits</t>
  </si>
  <si>
    <t>Police Transfers</t>
  </si>
  <si>
    <t>Swimming Pool Receipts</t>
  </si>
  <si>
    <t>Recycle Fee - Bird City</t>
  </si>
  <si>
    <t>Recycle Income</t>
  </si>
  <si>
    <t>Rent</t>
  </si>
  <si>
    <t>Sale of Materials</t>
  </si>
  <si>
    <t>Operating Transfers:</t>
  </si>
  <si>
    <t xml:space="preserve">     Sewer Utility</t>
  </si>
  <si>
    <t xml:space="preserve">     Refuse Utility</t>
  </si>
  <si>
    <t xml:space="preserve">     Electric &amp; Water Utility</t>
  </si>
  <si>
    <t>Employee Benefits</t>
  </si>
  <si>
    <t xml:space="preserve">  KPERS</t>
  </si>
  <si>
    <t xml:space="preserve">  Garnishment</t>
  </si>
  <si>
    <t xml:space="preserve">  Unemployment</t>
  </si>
  <si>
    <t xml:space="preserve">  Social Security/Medicare</t>
  </si>
  <si>
    <t xml:space="preserve">  Workmen's Compensation</t>
  </si>
  <si>
    <t xml:space="preserve">  Health Insurance</t>
  </si>
  <si>
    <t xml:space="preserve">  Drug &amp; Alcohol Testing</t>
  </si>
  <si>
    <t xml:space="preserve">  Alcohol Education and Treatment</t>
  </si>
  <si>
    <t>Theatre Utilities</t>
  </si>
  <si>
    <t>Economic Development Program</t>
  </si>
  <si>
    <t>Shop Expense</t>
  </si>
  <si>
    <t>Library Expense</t>
  </si>
  <si>
    <t>Ball Diamond</t>
  </si>
  <si>
    <t>Animal Shelter Expense</t>
  </si>
  <si>
    <t>Recycle Expense</t>
  </si>
  <si>
    <t>Senior Citizen Center</t>
  </si>
  <si>
    <t>Other Theater</t>
  </si>
  <si>
    <t xml:space="preserve">  Employee Uniforms</t>
  </si>
  <si>
    <t>Appropriations</t>
  </si>
  <si>
    <t>Capital Outaly</t>
  </si>
  <si>
    <t>Capital Outlay</t>
  </si>
  <si>
    <t>Liquor Tax</t>
  </si>
  <si>
    <t>Scout Hut</t>
  </si>
  <si>
    <t>Collections</t>
  </si>
  <si>
    <t>Penalties</t>
  </si>
  <si>
    <t>Connection Fees</t>
  </si>
  <si>
    <t>Sales Tax</t>
  </si>
  <si>
    <t>KMEA Revenue</t>
  </si>
  <si>
    <t>Water Use Tax</t>
  </si>
  <si>
    <t>Meter Deposits</t>
  </si>
  <si>
    <t>Reimbursed Expenses</t>
  </si>
  <si>
    <t>Personal Services</t>
  </si>
  <si>
    <t>Office Expense</t>
  </si>
  <si>
    <t>Vehicle Expense</t>
  </si>
  <si>
    <t xml:space="preserve">Vehicle Gas and Oil </t>
  </si>
  <si>
    <t>Legal and Printing</t>
  </si>
  <si>
    <t>Insurance</t>
  </si>
  <si>
    <t>Audit/Contractual Service</t>
  </si>
  <si>
    <t>Expense Account - Clerk/Mayor</t>
  </si>
  <si>
    <t>Generating Fuel</t>
  </si>
  <si>
    <t>Plant Outside</t>
  </si>
  <si>
    <t>Plant Inside</t>
  </si>
  <si>
    <t>KMEA, Sunflower, WAPA</t>
  </si>
  <si>
    <t>Meter Deposit Refunds</t>
  </si>
  <si>
    <t>Water Expense</t>
  </si>
  <si>
    <t>Compensating Use Tax</t>
  </si>
  <si>
    <t>Tool Account</t>
  </si>
  <si>
    <t>Clean Drinking Water Fee</t>
  </si>
  <si>
    <t xml:space="preserve">   General Fund</t>
  </si>
  <si>
    <t xml:space="preserve">   Equipment Reserve </t>
  </si>
  <si>
    <t xml:space="preserve">   Capital Improvements</t>
  </si>
  <si>
    <t>Operation Expense</t>
  </si>
  <si>
    <t>Transfers Out</t>
  </si>
  <si>
    <t xml:space="preserve">   Equipment Reserve Fund</t>
  </si>
  <si>
    <t>Vehicle Gas and Oil</t>
  </si>
  <si>
    <t>Solid Waste</t>
  </si>
  <si>
    <t>Truck Expense</t>
  </si>
  <si>
    <t>Ticket Sales</t>
  </si>
  <si>
    <t>Concession Sales</t>
  </si>
  <si>
    <t>Movie Fees</t>
  </si>
  <si>
    <t>Booking Fees</t>
  </si>
  <si>
    <t>Concession Supplies</t>
  </si>
  <si>
    <t>Advertising</t>
  </si>
  <si>
    <t>Freight</t>
  </si>
  <si>
    <t>Building</t>
  </si>
  <si>
    <t>Business Expenses</t>
  </si>
  <si>
    <t>Licenses and Permits</t>
  </si>
  <si>
    <t>Capital Purchases</t>
  </si>
  <si>
    <t>Guest Tax</t>
  </si>
  <si>
    <t>Tourism Expenses</t>
  </si>
  <si>
    <t>County Allocation</t>
  </si>
  <si>
    <t>City Allocation</t>
  </si>
  <si>
    <t>Building Supplies</t>
  </si>
  <si>
    <t>Building Insurance</t>
  </si>
  <si>
    <t>Inspection Fees</t>
  </si>
  <si>
    <t>Janitorial Supplies</t>
  </si>
  <si>
    <t>Utilities</t>
  </si>
  <si>
    <t>Digital Sign Contributions</t>
  </si>
  <si>
    <t>Reimbursements</t>
  </si>
  <si>
    <t>Loan Proceeds</t>
  </si>
  <si>
    <t>Transfers In</t>
  </si>
  <si>
    <t xml:space="preserve">     Sewer Utility Fund</t>
  </si>
  <si>
    <t xml:space="preserve">     Refuse Utility Fund</t>
  </si>
  <si>
    <t>Transfer In:  Equiment Reserve Budgeted Fund</t>
  </si>
  <si>
    <t>Transfer In:  Capital Improvements Budgeted Fund</t>
  </si>
  <si>
    <t>Transfers In:</t>
  </si>
  <si>
    <t>Pool Improvement</t>
  </si>
  <si>
    <t>Infrastructure Betterment</t>
  </si>
  <si>
    <t>Water Improvements</t>
  </si>
  <si>
    <t>Donations</t>
  </si>
  <si>
    <t>12-825(d)</t>
  </si>
  <si>
    <t>12-1,117</t>
  </si>
  <si>
    <t>Equipment Reserve (non-budgeted)</t>
  </si>
  <si>
    <t>Capital Improvements (non-budgeted)</t>
  </si>
  <si>
    <t>12-1,118</t>
  </si>
  <si>
    <t>2012 Projected Wages</t>
  </si>
  <si>
    <t>Multiply by 12 months (project through the end of the year)</t>
  </si>
  <si>
    <t>NEED TO INPUT NUMBER FROM BUDGET REPORT OUT OF ENGAGEMENT, CURRENTLY FIRST NUMBER IS 1</t>
  </si>
  <si>
    <t>Percentage Increase from 2010 to 2012</t>
  </si>
  <si>
    <t>When no actual 2010 expense, use increase from 2011 budgeted to 2012</t>
  </si>
  <si>
    <t>Percentage Wage Increase from 2011 to 2012</t>
  </si>
  <si>
    <t>Project Actual 2011 Expenses &amp; Revenues through May (Project through December)</t>
  </si>
  <si>
    <t>Divide by 5 months</t>
  </si>
  <si>
    <t>Projected Increase from Actual 2011 Expenses to Projected 2013</t>
  </si>
  <si>
    <t>Projected Increase from Actual 2011 Expenses to Projected 2012 - General Fund</t>
  </si>
  <si>
    <t>Percentage Increase from 2011 to 2013</t>
  </si>
  <si>
    <t>When no actual 2010 expense, use increase from 2012 budgeted to 2013</t>
  </si>
  <si>
    <t>Capital Repairs</t>
  </si>
  <si>
    <t>Adams, Brown, Beran, &amp;</t>
  </si>
  <si>
    <t>Ball, Chtd.</t>
  </si>
  <si>
    <t>505-D N. Franklin</t>
  </si>
  <si>
    <t>Colby, KS 67701</t>
  </si>
  <si>
    <t>bstaats@abbb.com</t>
  </si>
  <si>
    <t>Digital Theater Equipment</t>
  </si>
  <si>
    <t>Sewer Taps</t>
  </si>
  <si>
    <t>None</t>
  </si>
  <si>
    <t>Actual for 2011</t>
  </si>
  <si>
    <t>Estimate for 2012</t>
  </si>
  <si>
    <t>Year for 2013</t>
  </si>
  <si>
    <t>Budget Credit (Excess Utility Revenue)</t>
  </si>
  <si>
    <t>August 13, 2012</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</si>
</sst>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59">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b/>
      <sz val="12"/>
      <color indexed="10"/>
      <name val="Courier"/>
      <family val="3"/>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9"/>
      <color rgb="FFFF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rgb="FFFFFFC0"/>
        <bgColor indexed="64"/>
      </patternFill>
    </fill>
    <fill>
      <patternFill patternType="solid">
        <fgColor rgb="FFFFFF99"/>
        <bgColor indexed="64"/>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308">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9" fontId="2" fillId="0" borderId="0" applyFont="0" applyFill="0" applyBorder="0" applyAlignment="0" applyProtection="0"/>
  </cellStyleXfs>
  <cellXfs count="822">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306"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305"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16" applyFont="1" applyAlignment="1">
      <alignment vertical="center" wrapText="1"/>
    </xf>
    <xf numFmtId="0" fontId="4" fillId="0" borderId="0" xfId="9" applyFont="1" applyAlignment="1">
      <alignment vertical="center"/>
    </xf>
    <xf numFmtId="0" fontId="4" fillId="0" borderId="0" xfId="9" applyFont="1" applyAlignment="1">
      <alignment vertical="center" wrapText="1"/>
    </xf>
    <xf numFmtId="0" fontId="4" fillId="0" borderId="0" xfId="296"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17" applyFont="1"/>
    <xf numFmtId="0" fontId="2" fillId="0" borderId="0" xfId="117"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51" applyFont="1" applyAlignment="1">
      <alignment vertical="center"/>
    </xf>
    <xf numFmtId="0" fontId="4" fillId="0" borderId="0" xfId="62" applyFont="1" applyAlignment="1">
      <alignment vertical="center" wrapText="1"/>
    </xf>
    <xf numFmtId="0" fontId="5" fillId="0" borderId="0" xfId="55" applyFont="1" applyAlignment="1">
      <alignment vertical="center"/>
    </xf>
    <xf numFmtId="0" fontId="4" fillId="3" borderId="0" xfId="0" applyFont="1" applyFill="1"/>
    <xf numFmtId="0" fontId="46"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23" applyFont="1" applyFill="1" applyAlignment="1" applyProtection="1">
      <alignment horizontal="right" vertical="center"/>
    </xf>
    <xf numFmtId="0" fontId="4" fillId="3" borderId="0" xfId="7" applyNumberFormat="1" applyFont="1" applyFill="1" applyBorder="1" applyAlignment="1" applyProtection="1">
      <alignment horizontal="right" vertical="center"/>
    </xf>
    <xf numFmtId="37" fontId="4" fillId="3" borderId="0" xfId="0" applyNumberFormat="1" applyFont="1" applyFill="1" applyAlignment="1" applyProtection="1">
      <alignment horizontal="fill"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7"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12" borderId="0" xfId="0" applyFont="1" applyFill="1" applyAlignment="1" applyProtection="1">
      <alignment vertical="center" shrinkToFit="1"/>
    </xf>
    <xf numFmtId="0" fontId="0" fillId="12" borderId="0" xfId="0" applyFill="1" applyBorder="1" applyAlignment="1" applyProtection="1">
      <alignment vertical="center"/>
    </xf>
    <xf numFmtId="0" fontId="16" fillId="12" borderId="0" xfId="0" applyFont="1" applyFill="1" applyBorder="1" applyAlignment="1" applyProtection="1">
      <alignment horizontal="center" vertical="center"/>
    </xf>
    <xf numFmtId="37" fontId="4" fillId="12" borderId="0" xfId="0" applyNumberFormat="1" applyFont="1" applyFill="1" applyBorder="1" applyAlignment="1" applyProtection="1">
      <alignment horizontal="left" vertical="center"/>
    </xf>
    <xf numFmtId="0" fontId="4" fillId="12" borderId="0" xfId="0" applyFont="1" applyFill="1" applyBorder="1" applyAlignment="1" applyProtection="1">
      <alignment vertical="center"/>
    </xf>
    <xf numFmtId="37" fontId="4" fillId="12" borderId="0" xfId="0" applyNumberFormat="1" applyFont="1" applyFill="1" applyBorder="1" applyAlignment="1" applyProtection="1">
      <alignment vertical="center"/>
    </xf>
    <xf numFmtId="3" fontId="4" fillId="13" borderId="3" xfId="0" applyNumberFormat="1" applyFont="1" applyFill="1" applyBorder="1" applyAlignment="1" applyProtection="1">
      <alignment vertical="center"/>
    </xf>
    <xf numFmtId="3" fontId="4" fillId="13"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13"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6" fillId="0" borderId="0" xfId="0" applyFont="1" applyAlignment="1" applyProtection="1">
      <alignment vertical="center"/>
    </xf>
    <xf numFmtId="0" fontId="0" fillId="12" borderId="0" xfId="0" applyFill="1" applyAlignment="1" applyProtection="1">
      <alignment vertical="center"/>
      <protection locked="0"/>
    </xf>
    <xf numFmtId="0" fontId="4" fillId="0" borderId="0" xfId="19" applyFont="1"/>
    <xf numFmtId="37" fontId="4" fillId="3" borderId="4" xfId="19" applyNumberFormat="1" applyFont="1" applyFill="1" applyBorder="1" applyAlignment="1" applyProtection="1">
      <alignment horizontal="center"/>
    </xf>
    <xf numFmtId="37" fontId="4" fillId="3" borderId="5" xfId="19" applyNumberFormat="1" applyFont="1" applyFill="1" applyBorder="1" applyAlignment="1" applyProtection="1">
      <alignment horizontal="center"/>
    </xf>
    <xf numFmtId="171" fontId="4" fillId="13" borderId="3" xfId="0" applyNumberFormat="1" applyFont="1" applyFill="1" applyBorder="1" applyAlignment="1" applyProtection="1">
      <alignment vertical="center"/>
    </xf>
    <xf numFmtId="0" fontId="5" fillId="0" borderId="0" xfId="56" applyFont="1" applyAlignment="1">
      <alignment vertical="center"/>
    </xf>
    <xf numFmtId="0" fontId="4" fillId="0" borderId="0" xfId="23" applyFont="1" applyAlignment="1">
      <alignment vertical="center" wrapText="1"/>
    </xf>
    <xf numFmtId="0" fontId="4" fillId="0" borderId="0" xfId="23"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0" fontId="38" fillId="14" borderId="0" xfId="0" applyFont="1" applyFill="1"/>
    <xf numFmtId="0" fontId="38" fillId="12" borderId="0" xfId="0" applyFont="1" applyFill="1"/>
    <xf numFmtId="0" fontId="48" fillId="14" borderId="0" xfId="0" applyFont="1" applyFill="1" applyAlignment="1">
      <alignment horizontal="center" wrapText="1"/>
    </xf>
    <xf numFmtId="0" fontId="48" fillId="12" borderId="0" xfId="0" applyFont="1" applyFill="1"/>
    <xf numFmtId="0" fontId="38" fillId="12" borderId="0" xfId="0" applyFont="1" applyFill="1" applyAlignment="1">
      <alignment horizontal="center"/>
    </xf>
    <xf numFmtId="0" fontId="48" fillId="12" borderId="18" xfId="0" applyFont="1" applyFill="1" applyBorder="1"/>
    <xf numFmtId="0" fontId="38" fillId="12" borderId="19" xfId="0" applyFont="1" applyFill="1" applyBorder="1"/>
    <xf numFmtId="0" fontId="38" fillId="12" borderId="20" xfId="0" applyFont="1" applyFill="1" applyBorder="1"/>
    <xf numFmtId="176" fontId="38" fillId="12" borderId="21" xfId="0" applyNumberFormat="1" applyFont="1" applyFill="1" applyBorder="1"/>
    <xf numFmtId="0" fontId="38" fillId="12" borderId="0" xfId="0" applyFont="1" applyFill="1" applyBorder="1"/>
    <xf numFmtId="176" fontId="38" fillId="12" borderId="1" xfId="0" applyNumberFormat="1" applyFont="1" applyFill="1" applyBorder="1" applyAlignment="1">
      <alignment horizontal="center"/>
    </xf>
    <xf numFmtId="0" fontId="38" fillId="12" borderId="22" xfId="0" applyFont="1" applyFill="1" applyBorder="1"/>
    <xf numFmtId="0" fontId="38" fillId="12" borderId="23" xfId="0" applyFont="1" applyFill="1" applyBorder="1"/>
    <xf numFmtId="0" fontId="38" fillId="12" borderId="24" xfId="0" applyFont="1" applyFill="1" applyBorder="1"/>
    <xf numFmtId="0" fontId="38" fillId="12" borderId="25" xfId="0" applyFont="1" applyFill="1" applyBorder="1"/>
    <xf numFmtId="176" fontId="38" fillId="12" borderId="0" xfId="0" applyNumberFormat="1" applyFont="1" applyFill="1"/>
    <xf numFmtId="0" fontId="38" fillId="12" borderId="18" xfId="0" applyFont="1" applyFill="1" applyBorder="1"/>
    <xf numFmtId="0" fontId="38" fillId="12" borderId="26" xfId="0" applyFont="1" applyFill="1" applyBorder="1"/>
    <xf numFmtId="176" fontId="38" fillId="15" borderId="21" xfId="0" applyNumberFormat="1" applyFont="1" applyFill="1" applyBorder="1" applyAlignment="1" applyProtection="1">
      <alignment horizontal="center"/>
      <protection locked="0"/>
    </xf>
    <xf numFmtId="173" fontId="38" fillId="12" borderId="0" xfId="0" applyNumberFormat="1" applyFont="1" applyFill="1" applyBorder="1" applyAlignment="1">
      <alignment horizontal="center"/>
    </xf>
    <xf numFmtId="0" fontId="49" fillId="0" borderId="0" xfId="0" applyFont="1" applyBorder="1"/>
    <xf numFmtId="0" fontId="38" fillId="0" borderId="0" xfId="0" applyFont="1" applyBorder="1"/>
    <xf numFmtId="0" fontId="48" fillId="0" borderId="0" xfId="0" applyFont="1" applyBorder="1" applyAlignment="1">
      <alignment horizontal="centerContinuous"/>
    </xf>
    <xf numFmtId="0" fontId="38" fillId="0" borderId="0" xfId="0" applyFont="1" applyBorder="1" applyAlignment="1">
      <alignment horizontal="centerContinuous"/>
    </xf>
    <xf numFmtId="0" fontId="38" fillId="14" borderId="0" xfId="0" applyFont="1" applyFill="1" applyBorder="1"/>
    <xf numFmtId="0" fontId="38" fillId="12" borderId="27" xfId="0" applyFont="1" applyFill="1" applyBorder="1"/>
    <xf numFmtId="0" fontId="38" fillId="12" borderId="9" xfId="0" applyFont="1" applyFill="1" applyBorder="1"/>
    <xf numFmtId="0" fontId="38" fillId="12" borderId="28" xfId="0" applyFont="1" applyFill="1" applyBorder="1"/>
    <xf numFmtId="5" fontId="38" fillId="12" borderId="24" xfId="0" applyNumberFormat="1" applyFont="1" applyFill="1" applyBorder="1" applyAlignment="1">
      <alignment horizontal="center"/>
    </xf>
    <xf numFmtId="0" fontId="38" fillId="12" borderId="24" xfId="0" applyFont="1" applyFill="1" applyBorder="1" applyAlignment="1">
      <alignment horizontal="center"/>
    </xf>
    <xf numFmtId="173" fontId="38" fillId="12" borderId="24" xfId="0" applyNumberFormat="1" applyFont="1" applyFill="1" applyBorder="1" applyAlignment="1">
      <alignment horizontal="center"/>
    </xf>
    <xf numFmtId="177" fontId="38" fillId="12" borderId="24" xfId="0" applyNumberFormat="1" applyFont="1" applyFill="1" applyBorder="1" applyAlignment="1">
      <alignment horizontal="center"/>
    </xf>
    <xf numFmtId="0" fontId="38" fillId="12" borderId="0" xfId="0" applyFont="1" applyFill="1" applyAlignment="1">
      <alignment horizontal="center" wrapText="1"/>
    </xf>
    <xf numFmtId="0" fontId="48" fillId="12" borderId="18" xfId="0" applyFont="1" applyFill="1" applyBorder="1" applyAlignment="1"/>
    <xf numFmtId="0" fontId="38" fillId="12" borderId="19" xfId="0" applyFont="1" applyFill="1" applyBorder="1" applyAlignment="1"/>
    <xf numFmtId="0" fontId="38" fillId="12" borderId="20" xfId="0" applyFont="1" applyFill="1" applyBorder="1" applyAlignment="1"/>
    <xf numFmtId="0" fontId="38" fillId="12" borderId="26" xfId="0" applyFont="1" applyFill="1" applyBorder="1" applyAlignment="1"/>
    <xf numFmtId="0" fontId="38" fillId="12" borderId="22" xfId="0" applyFont="1" applyFill="1" applyBorder="1" applyAlignment="1"/>
    <xf numFmtId="0" fontId="38" fillId="12" borderId="27" xfId="0" applyFont="1" applyFill="1" applyBorder="1" applyAlignment="1"/>
    <xf numFmtId="0" fontId="38" fillId="12" borderId="9" xfId="0" applyFont="1" applyFill="1" applyBorder="1" applyAlignment="1"/>
    <xf numFmtId="0" fontId="38" fillId="12" borderId="28" xfId="0" applyFont="1" applyFill="1" applyBorder="1" applyAlignment="1"/>
    <xf numFmtId="171" fontId="38" fillId="12" borderId="0" xfId="0" applyNumberFormat="1" applyFont="1" applyFill="1" applyBorder="1" applyAlignment="1">
      <alignment horizontal="center"/>
    </xf>
    <xf numFmtId="0" fontId="38" fillId="12" borderId="23" xfId="0" applyFont="1" applyFill="1" applyBorder="1" applyAlignment="1"/>
    <xf numFmtId="5" fontId="38" fillId="12" borderId="0" xfId="0" applyNumberFormat="1" applyFont="1" applyFill="1" applyBorder="1" applyAlignment="1">
      <alignment horizontal="center"/>
    </xf>
    <xf numFmtId="0" fontId="38" fillId="14" borderId="0" xfId="0" applyFont="1" applyFill="1" applyAlignment="1"/>
    <xf numFmtId="173" fontId="38" fillId="15" borderId="1" xfId="0" applyNumberFormat="1" applyFont="1" applyFill="1" applyBorder="1" applyAlignment="1" applyProtection="1">
      <alignment horizontal="center"/>
      <protection locked="0"/>
    </xf>
    <xf numFmtId="177" fontId="38" fillId="12" borderId="0" xfId="0" applyNumberFormat="1" applyFont="1" applyFill="1" applyBorder="1"/>
    <xf numFmtId="0" fontId="38" fillId="16"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50"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0" fontId="38" fillId="0" borderId="0" xfId="0" applyFont="1"/>
    <xf numFmtId="0" fontId="39" fillId="0" borderId="0" xfId="19" applyFont="1" applyAlignment="1">
      <alignment horizontal="center"/>
    </xf>
    <xf numFmtId="0" fontId="4" fillId="0" borderId="0" xfId="19" applyFont="1" applyAlignment="1">
      <alignment wrapText="1"/>
    </xf>
    <xf numFmtId="0" fontId="40" fillId="0" borderId="0" xfId="7" applyFont="1" applyAlignment="1" applyProtection="1"/>
    <xf numFmtId="0" fontId="4" fillId="0" borderId="0" xfId="285" applyFont="1" applyAlignment="1">
      <alignment vertical="center" wrapText="1"/>
    </xf>
    <xf numFmtId="0" fontId="4" fillId="0" borderId="0" xfId="292" applyNumberFormat="1" applyFont="1" applyAlignment="1">
      <alignment vertical="center" wrapText="1"/>
    </xf>
    <xf numFmtId="0" fontId="4" fillId="0" borderId="0" xfId="191" applyFont="1" applyAlignment="1">
      <alignment vertical="center" wrapText="1"/>
    </xf>
    <xf numFmtId="0" fontId="51" fillId="0" borderId="0" xfId="0" applyFont="1" applyAlignment="1">
      <alignment vertical="center"/>
    </xf>
    <xf numFmtId="173" fontId="4" fillId="15" borderId="17" xfId="20" applyNumberFormat="1" applyFont="1" applyFill="1" applyBorder="1" applyAlignment="1" applyProtection="1">
      <alignment horizontal="center"/>
      <protection locked="0"/>
    </xf>
    <xf numFmtId="0" fontId="33" fillId="12" borderId="6" xfId="20" applyFont="1" applyFill="1" applyBorder="1" applyProtection="1"/>
    <xf numFmtId="0" fontId="4" fillId="12" borderId="0" xfId="20" applyFont="1" applyFill="1" applyBorder="1" applyProtection="1"/>
    <xf numFmtId="176" fontId="4" fillId="12" borderId="17" xfId="20" applyNumberFormat="1" applyFont="1" applyFill="1" applyBorder="1" applyAlignment="1" applyProtection="1">
      <alignment horizontal="center"/>
    </xf>
    <xf numFmtId="0" fontId="4" fillId="12" borderId="12" xfId="20" applyFont="1" applyFill="1" applyBorder="1" applyProtection="1"/>
    <xf numFmtId="0" fontId="4" fillId="12" borderId="1" xfId="20" applyFont="1" applyFill="1" applyBorder="1" applyProtection="1"/>
    <xf numFmtId="176" fontId="4" fillId="17" borderId="7" xfId="20" applyNumberFormat="1" applyFont="1" applyFill="1" applyBorder="1" applyAlignment="1" applyProtection="1">
      <alignment horizontal="center"/>
    </xf>
    <xf numFmtId="0" fontId="4" fillId="0" borderId="0" xfId="20" applyFont="1" applyFill="1" applyBorder="1" applyProtection="1"/>
    <xf numFmtId="0" fontId="4" fillId="12" borderId="6" xfId="20" applyFont="1" applyFill="1" applyBorder="1" applyProtection="1"/>
    <xf numFmtId="0" fontId="4" fillId="12" borderId="17" xfId="20" applyFont="1" applyFill="1" applyBorder="1" applyProtection="1"/>
    <xf numFmtId="171" fontId="4" fillId="12" borderId="17" xfId="20" applyNumberFormat="1" applyFont="1" applyFill="1" applyBorder="1" applyAlignment="1" applyProtection="1">
      <alignment horizontal="center"/>
    </xf>
    <xf numFmtId="0" fontId="4" fillId="17" borderId="6" xfId="20" applyFont="1" applyFill="1" applyBorder="1" applyProtection="1"/>
    <xf numFmtId="0" fontId="4" fillId="17" borderId="0" xfId="20" applyFont="1" applyFill="1" applyBorder="1" applyProtection="1"/>
    <xf numFmtId="0" fontId="4" fillId="17" borderId="12" xfId="20" applyFont="1" applyFill="1" applyBorder="1" applyProtection="1"/>
    <xf numFmtId="0" fontId="4" fillId="17" borderId="1" xfId="20" applyFont="1" applyFill="1" applyBorder="1" applyProtection="1"/>
    <xf numFmtId="0" fontId="4" fillId="0" borderId="0" xfId="20" applyFont="1" applyProtection="1"/>
    <xf numFmtId="176" fontId="4" fillId="12" borderId="7" xfId="20" applyNumberFormat="1" applyFont="1" applyFill="1" applyBorder="1" applyAlignment="1" applyProtection="1">
      <alignment horizontal="center"/>
    </xf>
    <xf numFmtId="3" fontId="4" fillId="13" borderId="16" xfId="0" applyNumberFormat="1" applyFont="1" applyFill="1" applyBorder="1" applyAlignment="1" applyProtection="1">
      <alignment horizontal="center" vertical="center"/>
    </xf>
    <xf numFmtId="0" fontId="4" fillId="8" borderId="1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8" fillId="12" borderId="26" xfId="0" applyFont="1" applyFill="1" applyBorder="1" applyAlignment="1">
      <alignment horizontal="centerContinuous" vertical="center"/>
    </xf>
    <xf numFmtId="176" fontId="48" fillId="12" borderId="0" xfId="0" applyNumberFormat="1" applyFont="1" applyFill="1" applyBorder="1" applyAlignment="1">
      <alignment horizontal="centerContinuous" vertical="center"/>
    </xf>
    <xf numFmtId="0" fontId="48" fillId="12" borderId="0" xfId="0" applyFont="1" applyFill="1" applyBorder="1" applyAlignment="1">
      <alignment horizontal="centerContinuous" vertical="center"/>
    </xf>
    <xf numFmtId="173" fontId="48" fillId="12" borderId="0" xfId="0" applyNumberFormat="1" applyFont="1" applyFill="1" applyBorder="1" applyAlignment="1" applyProtection="1">
      <alignment horizontal="centerContinuous" vertical="center"/>
      <protection locked="0"/>
    </xf>
    <xf numFmtId="177" fontId="48" fillId="12" borderId="0" xfId="0" applyNumberFormat="1" applyFont="1" applyFill="1" applyBorder="1" applyAlignment="1">
      <alignment horizontal="centerContinuous" vertical="center"/>
    </xf>
    <xf numFmtId="0" fontId="48" fillId="12" borderId="22" xfId="0" applyFont="1" applyFill="1" applyBorder="1" applyAlignment="1">
      <alignment horizontal="centerContinuous" vertical="center"/>
    </xf>
    <xf numFmtId="0" fontId="48" fillId="12" borderId="26" xfId="0" applyFont="1" applyFill="1" applyBorder="1" applyAlignment="1">
      <alignment horizontal="centerContinuous"/>
    </xf>
    <xf numFmtId="176" fontId="48" fillId="12" borderId="0" xfId="0" applyNumberFormat="1" applyFont="1" applyFill="1" applyBorder="1" applyAlignment="1">
      <alignment horizontal="centerContinuous"/>
    </xf>
    <xf numFmtId="0" fontId="48" fillId="12" borderId="0" xfId="0" applyFont="1" applyFill="1" applyBorder="1" applyAlignment="1">
      <alignment horizontal="centerContinuous"/>
    </xf>
    <xf numFmtId="173" fontId="48" fillId="12" borderId="0" xfId="0" applyNumberFormat="1" applyFont="1" applyFill="1" applyBorder="1" applyAlignment="1" applyProtection="1">
      <alignment horizontal="centerContinuous"/>
      <protection locked="0"/>
    </xf>
    <xf numFmtId="177" fontId="48" fillId="12" borderId="0" xfId="0" applyNumberFormat="1" applyFont="1" applyFill="1" applyBorder="1" applyAlignment="1">
      <alignment horizontal="centerContinuous"/>
    </xf>
    <xf numFmtId="0" fontId="48" fillId="12" borderId="22" xfId="0" applyFont="1" applyFill="1" applyBorder="1" applyAlignment="1">
      <alignment horizontal="centerContinuous"/>
    </xf>
    <xf numFmtId="176" fontId="38" fillId="0" borderId="0" xfId="0" applyNumberFormat="1" applyFont="1"/>
    <xf numFmtId="176" fontId="38" fillId="12" borderId="24" xfId="0" applyNumberFormat="1" applyFont="1" applyFill="1" applyBorder="1" applyAlignment="1">
      <alignment horizontal="center"/>
    </xf>
    <xf numFmtId="173" fontId="38" fillId="12" borderId="24" xfId="0" applyNumberFormat="1" applyFont="1" applyFill="1" applyBorder="1" applyAlignment="1" applyProtection="1">
      <alignment horizontal="center"/>
      <protection locked="0"/>
    </xf>
    <xf numFmtId="177" fontId="38" fillId="12" borderId="24" xfId="0" applyNumberFormat="1" applyFont="1" applyFill="1" applyBorder="1"/>
    <xf numFmtId="173" fontId="38" fillId="12" borderId="0" xfId="0" applyNumberFormat="1" applyFont="1" applyFill="1" applyBorder="1" applyAlignment="1" applyProtection="1">
      <alignment horizontal="center"/>
      <protection locked="0"/>
    </xf>
    <xf numFmtId="176" fontId="38" fillId="12" borderId="19" xfId="0" applyNumberFormat="1" applyFont="1" applyFill="1" applyBorder="1" applyAlignment="1">
      <alignment horizontal="center"/>
    </xf>
    <xf numFmtId="0" fontId="38" fillId="12" borderId="19" xfId="0" applyFont="1" applyFill="1" applyBorder="1" applyAlignment="1">
      <alignment horizontal="center"/>
    </xf>
    <xf numFmtId="173" fontId="38" fillId="12" borderId="19" xfId="0" applyNumberFormat="1" applyFont="1" applyFill="1" applyBorder="1" applyAlignment="1" applyProtection="1">
      <alignment horizontal="center"/>
      <protection locked="0"/>
    </xf>
    <xf numFmtId="177" fontId="38" fillId="12" borderId="19" xfId="0" applyNumberFormat="1" applyFont="1" applyFill="1" applyBorder="1"/>
    <xf numFmtId="176" fontId="38" fillId="12" borderId="0" xfId="0" applyNumberFormat="1" applyFont="1" applyFill="1" applyBorder="1" applyAlignment="1" applyProtection="1">
      <alignment horizontal="center"/>
      <protection locked="0"/>
    </xf>
    <xf numFmtId="176" fontId="4" fillId="17" borderId="17" xfId="20" applyNumberFormat="1" applyFont="1" applyFill="1" applyBorder="1" applyAlignment="1" applyProtection="1">
      <alignment horizontal="center"/>
    </xf>
    <xf numFmtId="0" fontId="4" fillId="17" borderId="12" xfId="0" applyFont="1" applyFill="1" applyBorder="1" applyAlignment="1">
      <alignment vertical="center"/>
    </xf>
    <xf numFmtId="0" fontId="4" fillId="17" borderId="1" xfId="0" applyFont="1" applyFill="1" applyBorder="1" applyAlignment="1">
      <alignment vertical="center"/>
    </xf>
    <xf numFmtId="176" fontId="4" fillId="17"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12" borderId="9" xfId="0" applyNumberFormat="1" applyFont="1" applyFill="1" applyBorder="1" applyAlignment="1">
      <alignment horizontal="center" vertical="center"/>
    </xf>
    <xf numFmtId="0" fontId="4" fillId="12" borderId="0" xfId="0" applyFont="1" applyFill="1" applyAlignment="1" applyProtection="1">
      <alignment vertical="center"/>
      <protection locked="0"/>
    </xf>
    <xf numFmtId="37" fontId="4" fillId="12"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12" borderId="0" xfId="0" applyFill="1" applyBorder="1" applyAlignment="1" applyProtection="1">
      <alignment vertical="center" wrapText="1"/>
    </xf>
    <xf numFmtId="170" fontId="4" fillId="12" borderId="0" xfId="1" applyNumberFormat="1" applyFont="1" applyFill="1" applyBorder="1" applyAlignment="1" applyProtection="1">
      <alignment vertical="center"/>
    </xf>
    <xf numFmtId="0" fontId="8" fillId="12"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13"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14" applyNumberFormat="1" applyFont="1" applyFill="1" applyBorder="1" applyAlignment="1" applyProtection="1">
      <alignment vertical="center"/>
    </xf>
    <xf numFmtId="0" fontId="4" fillId="3" borderId="4" xfId="14" applyFont="1" applyFill="1" applyBorder="1" applyAlignment="1" applyProtection="1">
      <alignment horizontal="center" vertical="center"/>
    </xf>
    <xf numFmtId="0" fontId="4" fillId="3" borderId="5" xfId="14"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17"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3" fillId="3" borderId="12" xfId="0" applyNumberFormat="1" applyFont="1" applyFill="1" applyBorder="1" applyAlignment="1" applyProtection="1">
      <alignment horizontal="left" vertical="center"/>
    </xf>
    <xf numFmtId="179" fontId="4" fillId="3" borderId="0" xfId="0" applyNumberFormat="1" applyFont="1" applyFill="1" applyAlignment="1" applyProtection="1">
      <alignment horizontal="center" vertical="center"/>
    </xf>
    <xf numFmtId="0" fontId="53" fillId="0" borderId="0" xfId="0" applyFont="1" applyAlignment="1" applyProtection="1">
      <alignment vertical="center"/>
      <protection locked="0"/>
    </xf>
    <xf numFmtId="0" fontId="4" fillId="12" borderId="0" xfId="11" applyFont="1" applyFill="1" applyBorder="1" applyAlignment="1" applyProtection="1">
      <alignment vertical="center"/>
    </xf>
    <xf numFmtId="176" fontId="33" fillId="15" borderId="3" xfId="11" applyNumberFormat="1" applyFont="1" applyFill="1" applyBorder="1" applyAlignment="1" applyProtection="1">
      <alignment horizontal="center" vertical="center"/>
      <protection locked="0"/>
    </xf>
    <xf numFmtId="0" fontId="33" fillId="12" borderId="0" xfId="11" applyFont="1" applyFill="1" applyBorder="1" applyAlignment="1" applyProtection="1">
      <alignment vertical="center"/>
    </xf>
    <xf numFmtId="0" fontId="33" fillId="12" borderId="6" xfId="11" applyFont="1" applyFill="1" applyBorder="1" applyAlignment="1" applyProtection="1">
      <alignment horizontal="left" vertical="center"/>
    </xf>
    <xf numFmtId="0" fontId="33" fillId="12" borderId="6" xfId="11" applyFont="1" applyFill="1" applyBorder="1" applyAlignment="1" applyProtection="1">
      <alignment vertical="center"/>
    </xf>
    <xf numFmtId="176" fontId="33" fillId="12" borderId="17" xfId="11" applyNumberFormat="1" applyFont="1" applyFill="1" applyBorder="1" applyAlignment="1" applyProtection="1">
      <alignment horizontal="center" vertical="center"/>
    </xf>
    <xf numFmtId="176" fontId="35" fillId="17" borderId="8" xfId="11" applyNumberFormat="1" applyFont="1" applyFill="1" applyBorder="1" applyAlignment="1" applyProtection="1">
      <alignment horizontal="center" vertical="center"/>
    </xf>
    <xf numFmtId="0" fontId="4" fillId="17" borderId="0" xfId="11" applyFont="1" applyFill="1" applyBorder="1" applyAlignment="1" applyProtection="1">
      <alignment vertical="center"/>
    </xf>
    <xf numFmtId="0" fontId="33" fillId="17" borderId="0" xfId="11" applyFont="1" applyFill="1" applyBorder="1" applyAlignment="1" applyProtection="1">
      <alignment vertical="center"/>
    </xf>
    <xf numFmtId="0" fontId="35" fillId="17" borderId="6" xfId="11" applyFont="1" applyFill="1" applyBorder="1" applyAlignment="1" applyProtection="1">
      <alignment vertical="center"/>
    </xf>
    <xf numFmtId="176" fontId="35" fillId="17" borderId="7" xfId="11" applyNumberFormat="1" applyFont="1" applyFill="1" applyBorder="1" applyAlignment="1" applyProtection="1">
      <alignment horizontal="center" vertical="center"/>
      <protection locked="0"/>
    </xf>
    <xf numFmtId="37" fontId="33" fillId="3" borderId="12" xfId="11" applyNumberFormat="1" applyFont="1" applyFill="1" applyBorder="1" applyAlignment="1" applyProtection="1">
      <alignment horizontal="left" vertical="center"/>
    </xf>
    <xf numFmtId="173" fontId="35" fillId="12" borderId="8" xfId="11" applyNumberFormat="1" applyFont="1" applyFill="1" applyBorder="1" applyAlignment="1" applyProtection="1">
      <alignment horizontal="center" vertical="center"/>
    </xf>
    <xf numFmtId="0" fontId="41" fillId="12" borderId="1" xfId="11" applyFont="1" applyFill="1" applyBorder="1" applyAlignment="1">
      <alignment horizontal="left" vertical="center"/>
    </xf>
    <xf numFmtId="0" fontId="4" fillId="12" borderId="0" xfId="11" applyFont="1" applyFill="1" applyBorder="1" applyAlignment="1" applyProtection="1">
      <alignment vertical="center"/>
    </xf>
    <xf numFmtId="0" fontId="4" fillId="12" borderId="6" xfId="11" applyFont="1" applyFill="1" applyBorder="1" applyAlignment="1" applyProtection="1">
      <alignment vertical="center"/>
    </xf>
    <xf numFmtId="0" fontId="4" fillId="12" borderId="17" xfId="11" applyFont="1" applyFill="1" applyBorder="1" applyAlignment="1" applyProtection="1">
      <alignment vertical="center"/>
    </xf>
    <xf numFmtId="176" fontId="33" fillId="12" borderId="6" xfId="11" applyNumberFormat="1" applyFont="1" applyFill="1" applyBorder="1" applyAlignment="1" applyProtection="1">
      <alignment horizontal="center" vertical="center"/>
    </xf>
    <xf numFmtId="0" fontId="33" fillId="12" borderId="0" xfId="11" applyFont="1" applyFill="1" applyBorder="1" applyAlignment="1" applyProtection="1">
      <alignment horizontal="left" vertical="center"/>
    </xf>
    <xf numFmtId="0" fontId="33" fillId="12" borderId="17" xfId="11" applyFont="1" applyFill="1" applyBorder="1" applyAlignment="1" applyProtection="1">
      <alignment vertical="center"/>
    </xf>
    <xf numFmtId="0" fontId="33" fillId="12" borderId="0" xfId="11" applyFont="1" applyFill="1" applyBorder="1" applyAlignment="1" applyProtection="1">
      <alignment vertical="center"/>
    </xf>
    <xf numFmtId="176" fontId="33" fillId="12" borderId="12" xfId="11" applyNumberFormat="1" applyFont="1" applyFill="1" applyBorder="1" applyAlignment="1" applyProtection="1">
      <alignment horizontal="center" vertical="center"/>
    </xf>
    <xf numFmtId="0" fontId="4" fillId="17" borderId="7" xfId="11" applyFont="1" applyFill="1" applyBorder="1" applyAlignment="1" applyProtection="1">
      <alignment vertical="center"/>
    </xf>
    <xf numFmtId="176" fontId="13" fillId="12" borderId="6" xfId="11" applyNumberFormat="1" applyFont="1" applyFill="1" applyBorder="1" applyAlignment="1" applyProtection="1">
      <alignment horizontal="center" vertical="center"/>
    </xf>
    <xf numFmtId="0" fontId="13" fillId="12" borderId="0" xfId="11" applyFont="1" applyFill="1" applyBorder="1" applyAlignment="1" applyProtection="1">
      <alignment vertical="center"/>
    </xf>
    <xf numFmtId="176" fontId="13" fillId="12" borderId="12" xfId="11" applyNumberFormat="1" applyFont="1" applyFill="1" applyBorder="1" applyAlignment="1" applyProtection="1">
      <alignment horizontal="center" vertical="center"/>
    </xf>
    <xf numFmtId="176" fontId="13" fillId="12" borderId="6" xfId="11" applyNumberFormat="1" applyFont="1" applyFill="1" applyBorder="1" applyAlignment="1" applyProtection="1">
      <alignment vertical="center"/>
    </xf>
    <xf numFmtId="176" fontId="13" fillId="17" borderId="12" xfId="11" applyNumberFormat="1" applyFont="1" applyFill="1" applyBorder="1" applyAlignment="1" applyProtection="1">
      <alignment horizontal="center" vertical="center"/>
    </xf>
    <xf numFmtId="0" fontId="13" fillId="17" borderId="1" xfId="11" applyFont="1" applyFill="1" applyBorder="1" applyAlignment="1" applyProtection="1">
      <alignment vertical="center"/>
    </xf>
    <xf numFmtId="0" fontId="4" fillId="12" borderId="0" xfId="14" applyFont="1" applyFill="1"/>
    <xf numFmtId="0" fontId="2" fillId="0" borderId="0" xfId="14"/>
    <xf numFmtId="0" fontId="4" fillId="12" borderId="0" xfId="14" applyFont="1" applyFill="1" applyAlignment="1">
      <alignment vertical="center"/>
    </xf>
    <xf numFmtId="37" fontId="4" fillId="12" borderId="0" xfId="14" applyNumberFormat="1" applyFont="1" applyFill="1" applyAlignment="1">
      <alignment vertical="center"/>
    </xf>
    <xf numFmtId="0" fontId="4" fillId="12" borderId="1" xfId="14" applyFont="1" applyFill="1" applyBorder="1" applyAlignment="1">
      <alignment vertical="center"/>
    </xf>
    <xf numFmtId="0" fontId="4" fillId="12" borderId="0" xfId="14" applyFont="1" applyFill="1" applyAlignment="1">
      <alignment horizontal="center" vertical="center"/>
    </xf>
    <xf numFmtId="0" fontId="5" fillId="12" borderId="0" xfId="14" applyFont="1" applyFill="1" applyAlignment="1">
      <alignment horizontal="center" vertical="center"/>
    </xf>
    <xf numFmtId="176" fontId="4" fillId="12" borderId="0" xfId="14" applyNumberFormat="1" applyFont="1" applyFill="1" applyAlignment="1">
      <alignment vertical="center"/>
    </xf>
    <xf numFmtId="176" fontId="4" fillId="12" borderId="9" xfId="14" applyNumberFormat="1" applyFont="1" applyFill="1" applyBorder="1" applyAlignment="1">
      <alignment vertical="center"/>
    </xf>
    <xf numFmtId="6" fontId="4" fillId="12" borderId="0" xfId="14" applyNumberFormat="1" applyFont="1" applyFill="1" applyBorder="1" applyAlignment="1">
      <alignment vertical="center"/>
    </xf>
    <xf numFmtId="176" fontId="4" fillId="12" borderId="0" xfId="14" applyNumberFormat="1" applyFont="1" applyFill="1" applyBorder="1" applyAlignment="1">
      <alignment vertical="center"/>
    </xf>
    <xf numFmtId="0" fontId="52" fillId="17" borderId="0" xfId="14" applyFont="1" applyFill="1" applyAlignment="1">
      <alignment vertical="center"/>
    </xf>
    <xf numFmtId="0" fontId="52" fillId="12" borderId="0" xfId="14" applyFont="1" applyFill="1" applyAlignment="1">
      <alignment horizontal="center" vertical="center"/>
    </xf>
    <xf numFmtId="0" fontId="52" fillId="17" borderId="0" xfId="14" applyFont="1" applyFill="1" applyAlignment="1">
      <alignment horizontal="center" vertical="center"/>
    </xf>
    <xf numFmtId="0" fontId="4" fillId="12" borderId="0" xfId="11" applyFont="1" applyFill="1"/>
    <xf numFmtId="0" fontId="2" fillId="12" borderId="0" xfId="14" applyFill="1"/>
    <xf numFmtId="0" fontId="3" fillId="12" borderId="0" xfId="11" applyFont="1" applyFill="1"/>
    <xf numFmtId="0" fontId="2" fillId="12" borderId="0" xfId="11" applyFill="1"/>
    <xf numFmtId="0" fontId="4" fillId="12" borderId="0" xfId="14" applyFont="1" applyFill="1" applyAlignment="1">
      <alignment horizontal="left" vertical="center"/>
    </xf>
    <xf numFmtId="0" fontId="4" fillId="12" borderId="0" xfId="14" applyFont="1" applyFill="1" applyAlignment="1">
      <alignment horizontal="right" vertical="center"/>
    </xf>
    <xf numFmtId="173" fontId="4" fillId="12" borderId="0" xfId="14" applyNumberFormat="1" applyFont="1" applyFill="1" applyAlignment="1">
      <alignment horizontal="center" vertical="center"/>
    </xf>
    <xf numFmtId="180" fontId="52" fillId="12" borderId="0" xfId="14" applyNumberFormat="1" applyFont="1" applyFill="1" applyAlignment="1">
      <alignment horizontal="center" vertical="center"/>
    </xf>
    <xf numFmtId="0" fontId="54" fillId="17" borderId="0" xfId="14" applyFont="1" applyFill="1" applyAlignment="1">
      <alignment horizontal="center" vertical="center"/>
    </xf>
    <xf numFmtId="0" fontId="10" fillId="0" borderId="0" xfId="7" applyAlignment="1" applyProtection="1"/>
    <xf numFmtId="176" fontId="38" fillId="12" borderId="0" xfId="0" applyNumberFormat="1" applyFont="1" applyFill="1" applyBorder="1" applyAlignment="1">
      <alignment horizontal="center"/>
    </xf>
    <xf numFmtId="177" fontId="38" fillId="12" borderId="0" xfId="0" applyNumberFormat="1" applyFont="1" applyFill="1" applyBorder="1" applyAlignment="1">
      <alignment horizontal="center"/>
    </xf>
    <xf numFmtId="0" fontId="38" fillId="12" borderId="0" xfId="0" applyFont="1" applyFill="1" applyBorder="1" applyAlignment="1">
      <alignment horizontal="center"/>
    </xf>
    <xf numFmtId="176" fontId="38" fillId="15" borderId="1" xfId="0" applyNumberFormat="1" applyFont="1" applyFill="1" applyBorder="1" applyAlignment="1" applyProtection="1">
      <alignment horizontal="center"/>
      <protection locked="0"/>
    </xf>
    <xf numFmtId="0" fontId="38" fillId="12" borderId="9" xfId="0" applyFont="1" applyFill="1" applyBorder="1" applyAlignment="1">
      <alignment horizontal="center"/>
    </xf>
    <xf numFmtId="0" fontId="48" fillId="12" borderId="0" xfId="0" applyFont="1" applyFill="1" applyAlignment="1">
      <alignment horizontal="center" wrapText="1"/>
    </xf>
    <xf numFmtId="0" fontId="38" fillId="12" borderId="0" xfId="0" applyFont="1" applyFill="1" applyBorder="1" applyAlignment="1"/>
    <xf numFmtId="0" fontId="38" fillId="12" borderId="25" xfId="0" applyFont="1" applyFill="1" applyBorder="1" applyAlignment="1"/>
    <xf numFmtId="0" fontId="48" fillId="12" borderId="0" xfId="0" applyFont="1" applyFill="1" applyAlignment="1">
      <alignment horizontal="center"/>
    </xf>
    <xf numFmtId="176" fontId="38" fillId="12"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12" borderId="0" xfId="0" applyNumberFormat="1" applyFont="1" applyFill="1" applyBorder="1" applyAlignment="1" applyProtection="1">
      <alignment horizontal="right" vertical="center"/>
      <protection locked="0"/>
    </xf>
    <xf numFmtId="49" fontId="4" fillId="3" borderId="0" xfId="0" applyNumberFormat="1" applyFont="1" applyFill="1" applyAlignment="1" applyProtection="1">
      <alignment horizontal="center" vertical="center"/>
    </xf>
    <xf numFmtId="0" fontId="52" fillId="0" borderId="0" xfId="298" applyFont="1" applyAlignment="1">
      <alignment horizontal="left" vertical="center"/>
    </xf>
    <xf numFmtId="0" fontId="4" fillId="0" borderId="0" xfId="9" applyFont="1"/>
    <xf numFmtId="0" fontId="55" fillId="0" borderId="0" xfId="9" applyFont="1"/>
    <xf numFmtId="0" fontId="2" fillId="0" borderId="0" xfId="9"/>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298"/>
    <xf numFmtId="174" fontId="13" fillId="0" borderId="0" xfId="298" applyNumberFormat="1" applyFont="1" applyAlignment="1">
      <alignment horizontal="left" vertical="center"/>
    </xf>
    <xf numFmtId="49" fontId="4" fillId="0" borderId="0" xfId="298" applyNumberFormat="1" applyFont="1" applyAlignment="1">
      <alignment horizontal="left" vertical="center"/>
    </xf>
    <xf numFmtId="0" fontId="13" fillId="0" borderId="0" xfId="298" applyFont="1" applyAlignment="1">
      <alignment horizontal="left" vertical="center"/>
    </xf>
    <xf numFmtId="175" fontId="13" fillId="0" borderId="0" xfId="298" applyNumberFormat="1" applyFont="1" applyAlignment="1">
      <alignment horizontal="left" vertical="center"/>
    </xf>
    <xf numFmtId="0" fontId="28" fillId="2" borderId="0" xfId="298" applyFill="1" applyAlignment="1" applyProtection="1">
      <alignment horizontal="left" vertical="center"/>
      <protection locked="0"/>
    </xf>
    <xf numFmtId="0" fontId="4" fillId="12" borderId="0" xfId="0" applyFont="1" applyFill="1" applyBorder="1" applyAlignment="1" applyProtection="1">
      <alignment vertical="center"/>
    </xf>
    <xf numFmtId="176" fontId="33" fillId="15" borderId="3" xfId="0" applyNumberFormat="1" applyFont="1" applyFill="1" applyBorder="1" applyAlignment="1" applyProtection="1">
      <alignment horizontal="center" vertical="center"/>
      <protection locked="0"/>
    </xf>
    <xf numFmtId="0" fontId="4" fillId="12" borderId="6" xfId="0" applyFont="1" applyFill="1" applyBorder="1" applyAlignment="1" applyProtection="1">
      <alignment vertical="center"/>
    </xf>
    <xf numFmtId="0" fontId="4" fillId="12" borderId="17" xfId="0" applyFont="1" applyFill="1" applyBorder="1" applyAlignment="1" applyProtection="1">
      <alignment vertical="center"/>
    </xf>
    <xf numFmtId="176"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3" fillId="12" borderId="17" xfId="0" applyFont="1" applyFill="1" applyBorder="1" applyAlignment="1" applyProtection="1">
      <alignment vertical="center"/>
    </xf>
    <xf numFmtId="0" fontId="33" fillId="12" borderId="0" xfId="0" applyFont="1" applyFill="1" applyBorder="1" applyAlignment="1" applyProtection="1">
      <alignment vertical="center"/>
    </xf>
    <xf numFmtId="176" fontId="33" fillId="12" borderId="12" xfId="0" applyNumberFormat="1" applyFont="1" applyFill="1" applyBorder="1" applyAlignment="1" applyProtection="1">
      <alignment horizontal="center" vertical="center"/>
    </xf>
    <xf numFmtId="176" fontId="33" fillId="12" borderId="6" xfId="0" applyNumberFormat="1" applyFont="1" applyFill="1" applyBorder="1" applyAlignment="1" applyProtection="1">
      <alignment vertical="center"/>
    </xf>
    <xf numFmtId="0" fontId="33" fillId="17" borderId="7" xfId="0" applyFont="1" applyFill="1" applyBorder="1" applyAlignment="1" applyProtection="1">
      <alignment vertical="center"/>
    </xf>
    <xf numFmtId="0" fontId="4" fillId="17" borderId="7" xfId="0" applyFont="1" applyFill="1" applyBorder="1" applyAlignment="1" applyProtection="1">
      <alignment vertical="center"/>
    </xf>
    <xf numFmtId="0" fontId="33" fillId="12" borderId="6" xfId="0" applyFont="1" applyFill="1" applyBorder="1" applyAlignment="1" applyProtection="1">
      <alignment horizontal="left" vertical="center"/>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horizontal="center" vertical="center"/>
    </xf>
    <xf numFmtId="0" fontId="13" fillId="12" borderId="0" xfId="0" applyFont="1" applyFill="1" applyBorder="1" applyAlignment="1" applyProtection="1">
      <alignment vertical="center"/>
    </xf>
    <xf numFmtId="176" fontId="13" fillId="12" borderId="12"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vertical="center"/>
    </xf>
    <xf numFmtId="176" fontId="13" fillId="17" borderId="12" xfId="0" applyNumberFormat="1" applyFont="1" applyFill="1" applyBorder="1" applyAlignment="1" applyProtection="1">
      <alignment horizontal="center" vertical="center"/>
    </xf>
    <xf numFmtId="0" fontId="13" fillId="17" borderId="1" xfId="0" applyFont="1" applyFill="1" applyBorder="1" applyAlignment="1" applyProtection="1">
      <alignment vertical="center"/>
    </xf>
    <xf numFmtId="0" fontId="4" fillId="0" borderId="0" xfId="298" applyFont="1" applyAlignment="1">
      <alignment horizontal="left" vertical="center"/>
    </xf>
    <xf numFmtId="49" fontId="4" fillId="2" borderId="0" xfId="298" applyNumberFormat="1" applyFont="1" applyFill="1" applyAlignment="1" applyProtection="1">
      <alignment horizontal="left" vertical="center"/>
      <protection locked="0"/>
    </xf>
    <xf numFmtId="0" fontId="4" fillId="2" borderId="0" xfId="298" applyFont="1" applyFill="1" applyAlignment="1" applyProtection="1">
      <alignment horizontal="left" vertical="center"/>
      <protection locked="0"/>
    </xf>
    <xf numFmtId="0" fontId="56" fillId="0" borderId="0" xfId="298" applyFont="1"/>
    <xf numFmtId="174" fontId="57" fillId="0" borderId="0" xfId="298" applyNumberFormat="1" applyFont="1" applyAlignment="1">
      <alignment horizontal="left" vertical="center"/>
    </xf>
    <xf numFmtId="0" fontId="57" fillId="0" borderId="0" xfId="298" applyNumberFormat="1" applyFont="1" applyAlignment="1">
      <alignment horizontal="left" vertical="center"/>
    </xf>
    <xf numFmtId="1" fontId="57" fillId="0" borderId="0" xfId="298" applyNumberFormat="1" applyFont="1" applyAlignment="1">
      <alignment horizontal="left" vertical="center"/>
    </xf>
    <xf numFmtId="0" fontId="58" fillId="0" borderId="0" xfId="298" applyFont="1" applyAlignment="1">
      <alignment horizontal="left" vertical="center"/>
    </xf>
    <xf numFmtId="49" fontId="4" fillId="0" borderId="0" xfId="298" applyNumberFormat="1" applyFont="1" applyFill="1" applyAlignment="1" applyProtection="1">
      <alignment horizontal="left" vertical="center"/>
      <protection locked="0"/>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176" fontId="35" fillId="17" borderId="8" xfId="0" applyNumberFormat="1" applyFont="1" applyFill="1" applyBorder="1" applyAlignment="1" applyProtection="1">
      <alignment horizontal="center"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0" fontId="4" fillId="17" borderId="0" xfId="0" applyFont="1" applyFill="1" applyBorder="1" applyAlignment="1" applyProtection="1">
      <alignment vertical="center"/>
    </xf>
    <xf numFmtId="0" fontId="33" fillId="17" borderId="0" xfId="0" applyFont="1" applyFill="1" applyBorder="1" applyAlignment="1" applyProtection="1">
      <alignment vertical="center"/>
    </xf>
    <xf numFmtId="0" fontId="35" fillId="17" borderId="6" xfId="0" applyFont="1" applyFill="1" applyBorder="1" applyAlignment="1" applyProtection="1">
      <alignment vertical="center"/>
    </xf>
    <xf numFmtId="176" fontId="35" fillId="17" borderId="7" xfId="0" applyNumberFormat="1" applyFont="1" applyFill="1" applyBorder="1" applyAlignment="1" applyProtection="1">
      <alignment horizontal="center" vertical="center"/>
      <protection locked="0"/>
    </xf>
    <xf numFmtId="37" fontId="4" fillId="3" borderId="17" xfId="0" applyNumberFormat="1" applyFont="1" applyFill="1" applyBorder="1" applyAlignment="1" applyProtection="1">
      <alignment horizontal="right" vertical="center"/>
    </xf>
    <xf numFmtId="173" fontId="35" fillId="12" borderId="8" xfId="0" applyNumberFormat="1" applyFont="1" applyFill="1" applyBorder="1" applyAlignment="1" applyProtection="1">
      <alignment horizontal="center" vertical="center"/>
    </xf>
    <xf numFmtId="176" fontId="33" fillId="17" borderId="12" xfId="0" applyNumberFormat="1" applyFont="1" applyFill="1" applyBorder="1" applyAlignment="1" applyProtection="1">
      <alignment horizontal="center" vertical="center"/>
    </xf>
    <xf numFmtId="0" fontId="33" fillId="17" borderId="1" xfId="0" applyFont="1" applyFill="1" applyBorder="1" applyAlignment="1" applyProtection="1">
      <alignment vertical="center"/>
    </xf>
    <xf numFmtId="0" fontId="41" fillId="12" borderId="1" xfId="0" applyFont="1" applyFill="1" applyBorder="1" applyAlignment="1">
      <alignment horizontal="left" vertical="center"/>
    </xf>
    <xf numFmtId="0" fontId="53" fillId="0" borderId="0" xfId="0" applyFont="1" applyProtection="1">
      <protection locked="0"/>
    </xf>
    <xf numFmtId="173" fontId="33" fillId="12" borderId="6"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7" borderId="12" xfId="0" applyNumberFormat="1" applyFont="1" applyFill="1" applyBorder="1" applyAlignment="1" applyProtection="1">
      <alignment horizontal="center" vertical="center"/>
    </xf>
    <xf numFmtId="173" fontId="33" fillId="17" borderId="10" xfId="0" applyNumberFormat="1" applyFont="1" applyFill="1" applyBorder="1" applyAlignment="1" applyProtection="1">
      <alignment horizontal="center" vertical="center"/>
    </xf>
    <xf numFmtId="0" fontId="4" fillId="12" borderId="17" xfId="0" applyFont="1" applyFill="1" applyBorder="1" applyProtection="1">
      <protection locked="0"/>
    </xf>
    <xf numFmtId="0" fontId="4" fillId="17" borderId="7" xfId="0" applyFont="1" applyFill="1" applyBorder="1" applyProtection="1">
      <protection locked="0"/>
    </xf>
    <xf numFmtId="0" fontId="4" fillId="12" borderId="17" xfId="0" applyFont="1" applyFill="1" applyBorder="1" applyAlignment="1" applyProtection="1">
      <alignment vertical="center"/>
      <protection locked="0"/>
    </xf>
    <xf numFmtId="0" fontId="33" fillId="3" borderId="17" xfId="7" applyNumberFormat="1" applyFont="1" applyFill="1" applyBorder="1" applyAlignment="1" applyProtection="1">
      <alignment horizontal="center" vertical="center"/>
    </xf>
    <xf numFmtId="0" fontId="4" fillId="0" borderId="0" xfId="56" applyFont="1" applyAlignment="1">
      <alignment vertical="center"/>
    </xf>
    <xf numFmtId="0" fontId="4" fillId="0" borderId="0" xfId="302"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4" applyFont="1" applyAlignment="1">
      <alignment vertical="center" wrapText="1"/>
    </xf>
    <xf numFmtId="0" fontId="4" fillId="0" borderId="0" xfId="16" applyFont="1" applyAlignment="1">
      <alignment vertical="center" wrapText="1"/>
    </xf>
    <xf numFmtId="0" fontId="4" fillId="0" borderId="0" xfId="46" applyFont="1" applyAlignment="1">
      <alignment vertical="center" wrapText="1"/>
    </xf>
    <xf numFmtId="0" fontId="4" fillId="0" borderId="0" xfId="52" applyFont="1" applyAlignment="1">
      <alignment vertical="center" wrapText="1"/>
    </xf>
    <xf numFmtId="0" fontId="4" fillId="0" borderId="0" xfId="73" applyFont="1" applyAlignment="1">
      <alignment vertical="center" wrapText="1"/>
    </xf>
    <xf numFmtId="179" fontId="4" fillId="8" borderId="3" xfId="14" applyNumberFormat="1" applyFont="1" applyFill="1" applyBorder="1" applyAlignment="1" applyProtection="1">
      <alignment vertical="center"/>
      <protection locked="0"/>
    </xf>
    <xf numFmtId="0" fontId="43" fillId="0" borderId="0" xfId="0" applyFont="1" applyAlignment="1" applyProtection="1">
      <alignment vertical="center"/>
    </xf>
    <xf numFmtId="0" fontId="2" fillId="18" borderId="0" xfId="14" applyFill="1"/>
    <xf numFmtId="0" fontId="2" fillId="18" borderId="0" xfId="11" applyFill="1"/>
    <xf numFmtId="0" fontId="10" fillId="18" borderId="0" xfId="7" applyFill="1" applyAlignment="1" applyProtection="1"/>
    <xf numFmtId="0" fontId="4" fillId="8" borderId="10" xfId="14" applyFont="1" applyFill="1" applyBorder="1" applyAlignment="1" applyProtection="1">
      <alignment horizontal="left" vertical="center"/>
      <protection locked="0"/>
    </xf>
    <xf numFmtId="0" fontId="4" fillId="8" borderId="10" xfId="14" applyFont="1" applyFill="1" applyBorder="1" applyAlignment="1" applyProtection="1">
      <alignment vertical="center"/>
      <protection locked="0"/>
    </xf>
    <xf numFmtId="0" fontId="12" fillId="0" borderId="0" xfId="20" applyFont="1" applyFill="1" applyBorder="1" applyAlignment="1" applyProtection="1"/>
    <xf numFmtId="0" fontId="0" fillId="0" borderId="0" xfId="0" applyFill="1" applyBorder="1" applyAlignment="1"/>
    <xf numFmtId="0" fontId="4" fillId="15" borderId="0" xfId="0" applyFont="1" applyFill="1" applyAlignment="1">
      <alignment vertical="center"/>
    </xf>
    <xf numFmtId="0" fontId="4" fillId="15" borderId="3" xfId="0" applyFont="1" applyFill="1" applyBorder="1" applyAlignment="1">
      <alignment vertical="center"/>
    </xf>
    <xf numFmtId="0" fontId="10" fillId="2" borderId="2" xfId="7" applyFill="1" applyBorder="1" applyAlignment="1" applyProtection="1">
      <alignment vertical="center"/>
      <protection locked="0"/>
    </xf>
    <xf numFmtId="0" fontId="4" fillId="8" borderId="12" xfId="14" applyFont="1" applyFill="1" applyBorder="1" applyAlignment="1" applyProtection="1">
      <alignment vertical="center"/>
      <protection locked="0"/>
    </xf>
    <xf numFmtId="0" fontId="12" fillId="0" borderId="0" xfId="14" applyFont="1" applyProtection="1">
      <protection locked="0"/>
    </xf>
    <xf numFmtId="0" fontId="4" fillId="0" borderId="0" xfId="14" applyFont="1" applyProtection="1">
      <protection locked="0"/>
    </xf>
    <xf numFmtId="2" fontId="4" fillId="0" borderId="0" xfId="14" applyNumberFormat="1" applyFont="1" applyProtection="1">
      <protection locked="0"/>
    </xf>
    <xf numFmtId="0" fontId="44" fillId="0" borderId="0" xfId="14" applyFont="1"/>
    <xf numFmtId="37" fontId="4" fillId="2" borderId="8" xfId="0" applyNumberFormat="1" applyFont="1" applyFill="1" applyBorder="1" applyAlignment="1" applyProtection="1">
      <alignment vertical="center"/>
      <protection locked="0"/>
    </xf>
    <xf numFmtId="9" fontId="4" fillId="0" borderId="0" xfId="307" applyFont="1" applyAlignment="1" applyProtection="1">
      <alignment vertical="center"/>
      <protection locked="0"/>
    </xf>
    <xf numFmtId="0" fontId="3" fillId="2" borderId="3"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298" applyFont="1" applyAlignment="1">
      <alignment horizontal="left" vertical="center" wrapText="1"/>
    </xf>
    <xf numFmtId="0" fontId="28" fillId="0" borderId="0" xfId="298" applyAlignment="1">
      <alignment horizontal="left" vertical="center" wrapText="1"/>
    </xf>
    <xf numFmtId="0" fontId="12" fillId="0" borderId="0" xfId="298"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2" borderId="0" xfId="301" applyFont="1" applyFill="1" applyAlignment="1">
      <alignment horizontal="center"/>
    </xf>
    <xf numFmtId="0" fontId="2" fillId="12" borderId="0" xfId="14" applyFill="1" applyAlignment="1">
      <alignment horizontal="center"/>
    </xf>
    <xf numFmtId="0" fontId="3" fillId="12" borderId="0" xfId="14" applyFont="1" applyFill="1" applyAlignment="1">
      <alignment horizontal="center" vertical="center"/>
    </xf>
    <xf numFmtId="0" fontId="12" fillId="12" borderId="0" xfId="14" applyFont="1" applyFill="1" applyAlignment="1">
      <alignment horizontal="center" vertical="center"/>
    </xf>
    <xf numFmtId="0" fontId="4" fillId="12" borderId="0" xfId="14" applyFont="1" applyFill="1" applyAlignment="1">
      <alignment vertical="center" wrapText="1"/>
    </xf>
    <xf numFmtId="3" fontId="4" fillId="3" borderId="9" xfId="23" applyNumberFormat="1" applyFont="1" applyFill="1" applyBorder="1" applyAlignment="1" applyProtection="1">
      <alignment horizontal="right" vertical="center"/>
    </xf>
    <xf numFmtId="0" fontId="2" fillId="0" borderId="14" xfId="23" applyBorder="1" applyAlignment="1">
      <alignment horizontal="right" vertical="center"/>
    </xf>
    <xf numFmtId="0" fontId="4" fillId="3" borderId="0" xfId="23" applyFont="1" applyFill="1" applyAlignment="1" applyProtection="1">
      <alignment horizontal="right" vertical="center"/>
    </xf>
    <xf numFmtId="0" fontId="4" fillId="0" borderId="17" xfId="23"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173" fontId="34" fillId="12" borderId="15" xfId="0" applyNumberFormat="1" applyFont="1" applyFill="1" applyBorder="1" applyAlignment="1" applyProtection="1">
      <alignment horizontal="center"/>
    </xf>
    <xf numFmtId="173" fontId="34" fillId="12" borderId="9" xfId="0" applyNumberFormat="1" applyFont="1" applyFill="1" applyBorder="1" applyAlignment="1" applyProtection="1">
      <alignment horizontal="center"/>
    </xf>
    <xf numFmtId="173" fontId="34" fillId="12" borderId="14" xfId="0" applyNumberFormat="1" applyFont="1" applyFill="1" applyBorder="1" applyAlignment="1" applyProtection="1">
      <alignment horizontal="center"/>
    </xf>
    <xf numFmtId="0" fontId="34" fillId="12" borderId="15" xfId="11" applyFont="1" applyFill="1" applyBorder="1" applyAlignment="1" applyProtection="1">
      <alignment horizontal="center" vertical="center"/>
    </xf>
    <xf numFmtId="0" fontId="41" fillId="0" borderId="9" xfId="11" applyFont="1" applyBorder="1" applyAlignment="1">
      <alignment horizontal="center" vertical="center"/>
    </xf>
    <xf numFmtId="0" fontId="0" fillId="0" borderId="14" xfId="0" applyBorder="1" applyAlignment="1">
      <alignment vertical="center"/>
    </xf>
    <xf numFmtId="0" fontId="2" fillId="0" borderId="9" xfId="11" applyBorder="1" applyAlignment="1">
      <alignment vertical="center"/>
    </xf>
    <xf numFmtId="0" fontId="2" fillId="0" borderId="14" xfId="11" applyBorder="1" applyAlignment="1">
      <alignmen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15" fillId="0" borderId="9" xfId="0" applyFont="1" applyBorder="1" applyAlignment="1"/>
    <xf numFmtId="0" fontId="15" fillId="0" borderId="14" xfId="0" applyFont="1" applyBorder="1" applyAlignment="1"/>
    <xf numFmtId="0" fontId="34" fillId="12" borderId="15" xfId="0" applyFont="1" applyFill="1" applyBorder="1" applyAlignment="1" applyProtection="1">
      <alignment horizontal="center" vertical="center"/>
    </xf>
    <xf numFmtId="0" fontId="0" fillId="0" borderId="9" xfId="0" applyBorder="1" applyAlignment="1">
      <alignment vertical="center"/>
    </xf>
    <xf numFmtId="0" fontId="0" fillId="0" borderId="9" xfId="0" applyBorder="1" applyAlignment="1">
      <alignment horizontal="center" vertical="center"/>
    </xf>
    <xf numFmtId="0" fontId="0" fillId="0" borderId="14" xfId="0" applyBorder="1" applyAlignment="1"/>
    <xf numFmtId="0" fontId="41"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0" fontId="12" fillId="12" borderId="15" xfId="20"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20" applyBorder="1" applyAlignment="1" applyProtection="1">
      <alignment horizontal="center"/>
    </xf>
    <xf numFmtId="0" fontId="2" fillId="0" borderId="14" xfId="20" applyBorder="1" applyAlignment="1" applyProtection="1">
      <alignment horizontal="center"/>
    </xf>
    <xf numFmtId="0" fontId="12" fillId="12" borderId="9" xfId="20" applyFont="1" applyFill="1" applyBorder="1" applyAlignment="1" applyProtection="1">
      <alignment horizontal="center"/>
    </xf>
    <xf numFmtId="0" fontId="12" fillId="12" borderId="14" xfId="20" applyFont="1" applyFill="1" applyBorder="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37" fontId="4" fillId="12" borderId="0" xfId="0" applyNumberFormat="1" applyFont="1" applyFill="1" applyAlignment="1" applyProtection="1">
      <alignment horizontal="center" vertical="center"/>
    </xf>
    <xf numFmtId="37" fontId="4" fillId="12" borderId="0" xfId="45" applyNumberFormat="1" applyFont="1" applyFill="1" applyAlignment="1" applyProtection="1">
      <alignment horizont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left" vertical="justify" wrapText="1"/>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right"/>
    </xf>
    <xf numFmtId="0" fontId="4" fillId="0" borderId="0" xfId="0" applyFont="1" applyAlignment="1" applyProtection="1">
      <alignment horizontal="left" vertical="justify"/>
      <protection locked="0"/>
    </xf>
    <xf numFmtId="0" fontId="38" fillId="12" borderId="26" xfId="0" applyFont="1" applyFill="1" applyBorder="1" applyAlignment="1">
      <alignment vertical="top" wrapText="1"/>
    </xf>
    <xf numFmtId="0" fontId="38" fillId="0" borderId="0" xfId="0" applyFont="1" applyAlignment="1">
      <alignment vertical="top" wrapText="1"/>
    </xf>
    <xf numFmtId="0" fontId="38" fillId="0" borderId="22" xfId="0" applyFont="1" applyBorder="1" applyAlignment="1">
      <alignment vertical="top" wrapText="1"/>
    </xf>
    <xf numFmtId="176" fontId="38" fillId="12" borderId="0" xfId="0" applyNumberFormat="1" applyFont="1" applyFill="1" applyBorder="1" applyAlignment="1">
      <alignment horizontal="center"/>
    </xf>
    <xf numFmtId="177" fontId="38" fillId="12" borderId="0" xfId="0" applyNumberFormat="1" applyFont="1" applyFill="1" applyBorder="1" applyAlignment="1">
      <alignment horizontal="center"/>
    </xf>
    <xf numFmtId="0" fontId="38" fillId="0" borderId="22" xfId="0" applyFont="1" applyBorder="1" applyAlignment="1">
      <alignment horizontal="center"/>
    </xf>
    <xf numFmtId="171" fontId="38" fillId="15" borderId="1" xfId="0" applyNumberFormat="1" applyFont="1" applyFill="1" applyBorder="1" applyAlignment="1" applyProtection="1">
      <alignment horizontal="center"/>
      <protection locked="0"/>
    </xf>
    <xf numFmtId="177" fontId="38" fillId="0" borderId="22" xfId="0" applyNumberFormat="1" applyFont="1" applyBorder="1" applyAlignment="1">
      <alignment horizontal="center"/>
    </xf>
    <xf numFmtId="0" fontId="38" fillId="12" borderId="9" xfId="0" applyFont="1" applyFill="1" applyBorder="1" applyAlignment="1">
      <alignment horizontal="center"/>
    </xf>
    <xf numFmtId="176" fontId="38" fillId="15" borderId="1" xfId="0" applyNumberFormat="1" applyFont="1" applyFill="1" applyBorder="1" applyAlignment="1" applyProtection="1">
      <alignment horizontal="center"/>
      <protection locked="0"/>
    </xf>
    <xf numFmtId="0" fontId="48" fillId="12" borderId="19" xfId="0" applyFont="1" applyFill="1" applyBorder="1" applyAlignment="1">
      <alignment horizontal="center" vertical="center"/>
    </xf>
    <xf numFmtId="0" fontId="48" fillId="12" borderId="0" xfId="0" applyFont="1" applyFill="1" applyAlignment="1">
      <alignment horizontal="center" wrapText="1"/>
    </xf>
    <xf numFmtId="0" fontId="38" fillId="12" borderId="0" xfId="0" applyFont="1" applyFill="1" applyAlignment="1">
      <alignment wrapText="1"/>
    </xf>
    <xf numFmtId="5" fontId="38" fillId="12" borderId="1" xfId="0" applyNumberFormat="1" applyFont="1" applyFill="1" applyBorder="1" applyAlignment="1">
      <alignment horizontal="center"/>
    </xf>
    <xf numFmtId="0" fontId="38" fillId="12" borderId="0" xfId="0" applyFont="1" applyFill="1" applyBorder="1" applyAlignment="1">
      <alignment horizontal="center"/>
    </xf>
    <xf numFmtId="0" fontId="38" fillId="0" borderId="19" xfId="0" applyFont="1" applyBorder="1" applyAlignment="1">
      <alignment horizontal="center" vertical="center"/>
    </xf>
    <xf numFmtId="0" fontId="38" fillId="0" borderId="0" xfId="0" applyFont="1" applyAlignment="1">
      <alignment wrapText="1"/>
    </xf>
    <xf numFmtId="176" fontId="38" fillId="15" borderId="21" xfId="0" applyNumberFormat="1" applyFont="1" applyFill="1" applyBorder="1" applyAlignment="1" applyProtection="1">
      <alignment horizontal="center"/>
      <protection locked="0"/>
    </xf>
    <xf numFmtId="0" fontId="38" fillId="12" borderId="0" xfId="0" applyFont="1" applyFill="1" applyBorder="1" applyAlignment="1"/>
    <xf numFmtId="0" fontId="38" fillId="0" borderId="0" xfId="0" applyFont="1" applyBorder="1" applyAlignment="1"/>
    <xf numFmtId="0" fontId="38" fillId="12" borderId="24" xfId="0" applyFont="1" applyFill="1" applyBorder="1" applyAlignment="1"/>
    <xf numFmtId="0" fontId="38" fillId="12" borderId="25" xfId="0" applyFont="1" applyFill="1" applyBorder="1" applyAlignment="1"/>
    <xf numFmtId="0" fontId="48" fillId="12" borderId="0" xfId="0" applyFont="1" applyFill="1" applyAlignment="1">
      <alignment horizontal="center"/>
    </xf>
    <xf numFmtId="0" fontId="38" fillId="12" borderId="0" xfId="0" applyFont="1" applyFill="1" applyBorder="1" applyAlignment="1">
      <alignment wrapText="1"/>
    </xf>
    <xf numFmtId="0" fontId="48" fillId="12" borderId="0" xfId="0" applyFont="1" applyFill="1" applyBorder="1" applyAlignment="1">
      <alignment horizontal="center" wrapText="1"/>
    </xf>
    <xf numFmtId="0" fontId="38" fillId="0" borderId="0" xfId="0" applyFont="1" applyAlignment="1">
      <alignment horizontal="center" wrapText="1"/>
    </xf>
    <xf numFmtId="0" fontId="48" fillId="0" borderId="0" xfId="0" applyFont="1" applyAlignment="1">
      <alignment horizontal="center" wrapText="1"/>
    </xf>
    <xf numFmtId="0" fontId="48" fillId="12" borderId="0" xfId="0" applyFont="1" applyFill="1" applyAlignment="1">
      <alignment horizontal="center" vertical="center"/>
    </xf>
    <xf numFmtId="0" fontId="48" fillId="0" borderId="0" xfId="0" applyFont="1" applyAlignment="1">
      <alignment horizontal="center" vertical="center"/>
    </xf>
    <xf numFmtId="176" fontId="38" fillId="12" borderId="0" xfId="0" applyNumberFormat="1" applyFont="1" applyFill="1" applyAlignment="1"/>
    <xf numFmtId="176" fontId="38" fillId="12" borderId="0" xfId="0" applyNumberFormat="1" applyFont="1" applyFill="1" applyAlignment="1">
      <alignment horizontal="center"/>
    </xf>
  </cellXfs>
  <cellStyles count="308">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2" xfId="16"/>
    <cellStyle name="Normal 11 3" xfId="17"/>
    <cellStyle name="Normal 11 4" xfId="18"/>
    <cellStyle name="Normal 12" xfId="19"/>
    <cellStyle name="Normal 12 10" xfId="20"/>
    <cellStyle name="Normal 12 11" xfId="21"/>
    <cellStyle name="Normal 12 12" xfId="22"/>
    <cellStyle name="Normal 12 2" xfId="23"/>
    <cellStyle name="Normal 12 2 2" xfId="24"/>
    <cellStyle name="Normal 12 3" xfId="25"/>
    <cellStyle name="Normal 12 4" xfId="26"/>
    <cellStyle name="Normal 12 5" xfId="27"/>
    <cellStyle name="Normal 12 6" xfId="28"/>
    <cellStyle name="Normal 12 7" xfId="29"/>
    <cellStyle name="Normal 12 8" xfId="30"/>
    <cellStyle name="Normal 12 9" xfId="31"/>
    <cellStyle name="Normal 13" xfId="32"/>
    <cellStyle name="Normal 13 10" xfId="33"/>
    <cellStyle name="Normal 13 11" xfId="34"/>
    <cellStyle name="Normal 13 12" xfId="35"/>
    <cellStyle name="Normal 13 2" xfId="36"/>
    <cellStyle name="Normal 13 2 2" xfId="37"/>
    <cellStyle name="Normal 13 3" xfId="38"/>
    <cellStyle name="Normal 13 4" xfId="39"/>
    <cellStyle name="Normal 13 5" xfId="40"/>
    <cellStyle name="Normal 13 6" xfId="41"/>
    <cellStyle name="Normal 13 7" xfId="42"/>
    <cellStyle name="Normal 13 8" xfId="43"/>
    <cellStyle name="Normal 13 9" xfId="44"/>
    <cellStyle name="Normal 14" xfId="45"/>
    <cellStyle name="Normal 14 2" xfId="46"/>
    <cellStyle name="Normal 14 3" xfId="47"/>
    <cellStyle name="Normal 14 4" xfId="48"/>
    <cellStyle name="Normal 14 5" xfId="49"/>
    <cellStyle name="Normal 14 6" xfId="50"/>
    <cellStyle name="Normal 15" xfId="51"/>
    <cellStyle name="Normal 15 2" xfId="52"/>
    <cellStyle name="Normal 15 3" xfId="53"/>
    <cellStyle name="Normal 15 4" xfId="54"/>
    <cellStyle name="Normal 16" xfId="55"/>
    <cellStyle name="Normal 16 2" xfId="56"/>
    <cellStyle name="Normal 16 3" xfId="57"/>
    <cellStyle name="Normal 16 4" xfId="58"/>
    <cellStyle name="Normal 17 2" xfId="59"/>
    <cellStyle name="Normal 17 3" xfId="60"/>
    <cellStyle name="Normal 17 4" xfId="61"/>
    <cellStyle name="Normal 18" xfId="62"/>
    <cellStyle name="Normal 18 2" xfId="63"/>
    <cellStyle name="Normal 18 2 2" xfId="64"/>
    <cellStyle name="Normal 18 2 3" xfId="65"/>
    <cellStyle name="Normal 18 3" xfId="66"/>
    <cellStyle name="Normal 18 4" xfId="67"/>
    <cellStyle name="Normal 18 5" xfId="68"/>
    <cellStyle name="Normal 18 6" xfId="69"/>
    <cellStyle name="Normal 18 7" xfId="70"/>
    <cellStyle name="Normal 19 2" xfId="71"/>
    <cellStyle name="Normal 19 2 2" xfId="72"/>
    <cellStyle name="Normal 19 2 3" xfId="73"/>
    <cellStyle name="Normal 19 3" xfId="74"/>
    <cellStyle name="Normal 19 4" xfId="75"/>
    <cellStyle name="Normal 19 5" xfId="76"/>
    <cellStyle name="Normal 19 6" xfId="77"/>
    <cellStyle name="Normal 2 10" xfId="78"/>
    <cellStyle name="Normal 2 10 10" xfId="79"/>
    <cellStyle name="Normal 2 10 2" xfId="80"/>
    <cellStyle name="Normal 2 10 2 2" xfId="81"/>
    <cellStyle name="Normal 2 10 3" xfId="82"/>
    <cellStyle name="Normal 2 10 3 2" xfId="83"/>
    <cellStyle name="Normal 2 10 4" xfId="84"/>
    <cellStyle name="Normal 2 10 4 2" xfId="85"/>
    <cellStyle name="Normal 2 10 5" xfId="86"/>
    <cellStyle name="Normal 2 10 5 2" xfId="87"/>
    <cellStyle name="Normal 2 10 6" xfId="88"/>
    <cellStyle name="Normal 2 10 6 2" xfId="89"/>
    <cellStyle name="Normal 2 10 7" xfId="90"/>
    <cellStyle name="Normal 2 10 7 2" xfId="91"/>
    <cellStyle name="Normal 2 10 8" xfId="92"/>
    <cellStyle name="Normal 2 10 8 2" xfId="93"/>
    <cellStyle name="Normal 2 10 9" xfId="94"/>
    <cellStyle name="Normal 2 11" xfId="95"/>
    <cellStyle name="Normal 2 11 10" xfId="96"/>
    <cellStyle name="Normal 2 11 2" xfId="97"/>
    <cellStyle name="Normal 2 11 2 2" xfId="98"/>
    <cellStyle name="Normal 2 11 3" xfId="99"/>
    <cellStyle name="Normal 2 11 3 2" xfId="100"/>
    <cellStyle name="Normal 2 11 4" xfId="101"/>
    <cellStyle name="Normal 2 11 4 2" xfId="102"/>
    <cellStyle name="Normal 2 11 5" xfId="103"/>
    <cellStyle name="Normal 2 11 5 2" xfId="104"/>
    <cellStyle name="Normal 2 11 6" xfId="105"/>
    <cellStyle name="Normal 2 11 6 2" xfId="106"/>
    <cellStyle name="Normal 2 11 7" xfId="107"/>
    <cellStyle name="Normal 2 11 7 2" xfId="108"/>
    <cellStyle name="Normal 2 11 8" xfId="109"/>
    <cellStyle name="Normal 2 11 8 2" xfId="110"/>
    <cellStyle name="Normal 2 11 9" xfId="111"/>
    <cellStyle name="Normal 2 12" xfId="112"/>
    <cellStyle name="Normal 2 13" xfId="113"/>
    <cellStyle name="Normal 2 14" xfId="114"/>
    <cellStyle name="Normal 2 15" xfId="115"/>
    <cellStyle name="Normal 2 2" xfId="116"/>
    <cellStyle name="Normal 2 2 10" xfId="117"/>
    <cellStyle name="Normal 2 2 10 2" xfId="118"/>
    <cellStyle name="Normal 2 2 11" xfId="119"/>
    <cellStyle name="Normal 2 2 11 2" xfId="120"/>
    <cellStyle name="Normal 2 2 12" xfId="121"/>
    <cellStyle name="Normal 2 2 12 2" xfId="122"/>
    <cellStyle name="Normal 2 2 13" xfId="123"/>
    <cellStyle name="Normal 2 2 13 2" xfId="124"/>
    <cellStyle name="Normal 2 2 14" xfId="125"/>
    <cellStyle name="Normal 2 2 14 2" xfId="126"/>
    <cellStyle name="Normal 2 2 15" xfId="127"/>
    <cellStyle name="Normal 2 2 15 2" xfId="128"/>
    <cellStyle name="Normal 2 2 16" xfId="129"/>
    <cellStyle name="Normal 2 2 17" xfId="130"/>
    <cellStyle name="Normal 2 2 18" xfId="131"/>
    <cellStyle name="Normal 2 2 19" xfId="132"/>
    <cellStyle name="Normal 2 2 2" xfId="133"/>
    <cellStyle name="Normal 2 2 2 2" xfId="134"/>
    <cellStyle name="Normal 2 2 2 2 2" xfId="135"/>
    <cellStyle name="Normal 2 2 2 3" xfId="136"/>
    <cellStyle name="Normal 2 2 2 3 2" xfId="137"/>
    <cellStyle name="Normal 2 2 2 4" xfId="138"/>
    <cellStyle name="Normal 2 2 2 4 2" xfId="139"/>
    <cellStyle name="Normal 2 2 2 5" xfId="140"/>
    <cellStyle name="Normal 2 2 2 5 2" xfId="141"/>
    <cellStyle name="Normal 2 2 2 6" xfId="142"/>
    <cellStyle name="Normal 2 2 2 6 2" xfId="143"/>
    <cellStyle name="Normal 2 2 2 7" xfId="144"/>
    <cellStyle name="Normal 2 2 2 8" xfId="145"/>
    <cellStyle name="Normal 2 2 20" xfId="146"/>
    <cellStyle name="Normal 2 2 21" xfId="147"/>
    <cellStyle name="Normal 2 2 3" xfId="148"/>
    <cellStyle name="Normal 2 2 3 2" xfId="149"/>
    <cellStyle name="Normal 2 2 4" xfId="150"/>
    <cellStyle name="Normal 2 2 4 2" xfId="151"/>
    <cellStyle name="Normal 2 2 5" xfId="152"/>
    <cellStyle name="Normal 2 2 5 2" xfId="153"/>
    <cellStyle name="Normal 2 2 6" xfId="154"/>
    <cellStyle name="Normal 2 2 6 2" xfId="155"/>
    <cellStyle name="Normal 2 2 7" xfId="156"/>
    <cellStyle name="Normal 2 2 7 2" xfId="157"/>
    <cellStyle name="Normal 2 2 8" xfId="158"/>
    <cellStyle name="Normal 2 2 8 2" xfId="159"/>
    <cellStyle name="Normal 2 2 9" xfId="160"/>
    <cellStyle name="Normal 2 2 9 2" xfId="161"/>
    <cellStyle name="Normal 2 3" xfId="162"/>
    <cellStyle name="Normal 2 3 10" xfId="163"/>
    <cellStyle name="Normal 2 3 11" xfId="164"/>
    <cellStyle name="Normal 2 3 12" xfId="165"/>
    <cellStyle name="Normal 2 3 13" xfId="166"/>
    <cellStyle name="Normal 2 3 14" xfId="167"/>
    <cellStyle name="Normal 2 3 2" xfId="168"/>
    <cellStyle name="Normal 2 3 2 2" xfId="169"/>
    <cellStyle name="Normal 2 3 3" xfId="170"/>
    <cellStyle name="Normal 2 3 3 2" xfId="171"/>
    <cellStyle name="Normal 2 3 4" xfId="172"/>
    <cellStyle name="Normal 2 3 5" xfId="173"/>
    <cellStyle name="Normal 2 3 6" xfId="174"/>
    <cellStyle name="Normal 2 3 7" xfId="175"/>
    <cellStyle name="Normal 2 3 8" xfId="176"/>
    <cellStyle name="Normal 2 3 9" xfId="177"/>
    <cellStyle name="Normal 2 4" xfId="178"/>
    <cellStyle name="Normal 2 4 10" xfId="179"/>
    <cellStyle name="Normal 2 4 11" xfId="180"/>
    <cellStyle name="Normal 2 4 2" xfId="181"/>
    <cellStyle name="Normal 2 4 2 2" xfId="182"/>
    <cellStyle name="Normal 2 4 3" xfId="183"/>
    <cellStyle name="Normal 2 4 3 2" xfId="184"/>
    <cellStyle name="Normal 2 4 4" xfId="185"/>
    <cellStyle name="Normal 2 4 5" xfId="186"/>
    <cellStyle name="Normal 2 4 6" xfId="187"/>
    <cellStyle name="Normal 2 4 7" xfId="188"/>
    <cellStyle name="Normal 2 4 8" xfId="189"/>
    <cellStyle name="Normal 2 4 9" xfId="190"/>
    <cellStyle name="Normal 2 5" xfId="191"/>
    <cellStyle name="Normal 2 5 10" xfId="192"/>
    <cellStyle name="Normal 2 5 11" xfId="193"/>
    <cellStyle name="Normal 2 5 2" xfId="194"/>
    <cellStyle name="Normal 2 5 2 2" xfId="195"/>
    <cellStyle name="Normal 2 5 3" xfId="196"/>
    <cellStyle name="Normal 2 5 3 2" xfId="197"/>
    <cellStyle name="Normal 2 5 4" xfId="198"/>
    <cellStyle name="Normal 2 5 5" xfId="199"/>
    <cellStyle name="Normal 2 5 6" xfId="200"/>
    <cellStyle name="Normal 2 5 7" xfId="201"/>
    <cellStyle name="Normal 2 5 8" xfId="202"/>
    <cellStyle name="Normal 2 5 9" xfId="203"/>
    <cellStyle name="Normal 2 6" xfId="204"/>
    <cellStyle name="Normal 2 6 10" xfId="205"/>
    <cellStyle name="Normal 2 6 11" xfId="206"/>
    <cellStyle name="Normal 2 6 2" xfId="207"/>
    <cellStyle name="Normal 2 6 2 2" xfId="208"/>
    <cellStyle name="Normal 2 6 3" xfId="209"/>
    <cellStyle name="Normal 2 6 3 2" xfId="210"/>
    <cellStyle name="Normal 2 6 4" xfId="211"/>
    <cellStyle name="Normal 2 6 5" xfId="212"/>
    <cellStyle name="Normal 2 6 6" xfId="213"/>
    <cellStyle name="Normal 2 6 7" xfId="214"/>
    <cellStyle name="Normal 2 6 8" xfId="215"/>
    <cellStyle name="Normal 2 6 9" xfId="216"/>
    <cellStyle name="Normal 2 7" xfId="217"/>
    <cellStyle name="Normal 2 7 10" xfId="218"/>
    <cellStyle name="Normal 2 7 2" xfId="219"/>
    <cellStyle name="Normal 2 7 2 2" xfId="220"/>
    <cellStyle name="Normal 2 7 3" xfId="221"/>
    <cellStyle name="Normal 2 7 3 2" xfId="222"/>
    <cellStyle name="Normal 2 7 4" xfId="223"/>
    <cellStyle name="Normal 2 7 4 2" xfId="224"/>
    <cellStyle name="Normal 2 7 5" xfId="225"/>
    <cellStyle name="Normal 2 7 5 2" xfId="226"/>
    <cellStyle name="Normal 2 7 6" xfId="227"/>
    <cellStyle name="Normal 2 7 6 2" xfId="228"/>
    <cellStyle name="Normal 2 7 7" xfId="229"/>
    <cellStyle name="Normal 2 7 7 2" xfId="230"/>
    <cellStyle name="Normal 2 7 8" xfId="231"/>
    <cellStyle name="Normal 2 7 8 2" xfId="232"/>
    <cellStyle name="Normal 2 7 9" xfId="233"/>
    <cellStyle name="Normal 2 8" xfId="234"/>
    <cellStyle name="Normal 2 8 10" xfId="235"/>
    <cellStyle name="Normal 2 8 2" xfId="236"/>
    <cellStyle name="Normal 2 8 2 2" xfId="237"/>
    <cellStyle name="Normal 2 8 3" xfId="238"/>
    <cellStyle name="Normal 2 8 3 2" xfId="239"/>
    <cellStyle name="Normal 2 8 4" xfId="240"/>
    <cellStyle name="Normal 2 8 4 2" xfId="241"/>
    <cellStyle name="Normal 2 8 5" xfId="242"/>
    <cellStyle name="Normal 2 8 5 2" xfId="243"/>
    <cellStyle name="Normal 2 8 6" xfId="244"/>
    <cellStyle name="Normal 2 8 6 2" xfId="245"/>
    <cellStyle name="Normal 2 8 7" xfId="246"/>
    <cellStyle name="Normal 2 8 7 2" xfId="247"/>
    <cellStyle name="Normal 2 8 8" xfId="248"/>
    <cellStyle name="Normal 2 8 8 2" xfId="249"/>
    <cellStyle name="Normal 2 8 9" xfId="250"/>
    <cellStyle name="Normal 2 9" xfId="251"/>
    <cellStyle name="Normal 2 9 10" xfId="252"/>
    <cellStyle name="Normal 2 9 2" xfId="253"/>
    <cellStyle name="Normal 2 9 2 2" xfId="254"/>
    <cellStyle name="Normal 2 9 3" xfId="255"/>
    <cellStyle name="Normal 2 9 3 2" xfId="256"/>
    <cellStyle name="Normal 2 9 4" xfId="257"/>
    <cellStyle name="Normal 2 9 4 2" xfId="258"/>
    <cellStyle name="Normal 2 9 5" xfId="259"/>
    <cellStyle name="Normal 2 9 5 2" xfId="260"/>
    <cellStyle name="Normal 2 9 6" xfId="261"/>
    <cellStyle name="Normal 2 9 6 2" xfId="262"/>
    <cellStyle name="Normal 2 9 7" xfId="263"/>
    <cellStyle name="Normal 2 9 7 2" xfId="264"/>
    <cellStyle name="Normal 2 9 8" xfId="265"/>
    <cellStyle name="Normal 2 9 8 2" xfId="266"/>
    <cellStyle name="Normal 2 9 9" xfId="267"/>
    <cellStyle name="Normal 20" xfId="268"/>
    <cellStyle name="Normal 20 2" xfId="269"/>
    <cellStyle name="Normal 20 3" xfId="270"/>
    <cellStyle name="Normal 21"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26" xfId="284"/>
    <cellStyle name="Normal 3" xfId="285"/>
    <cellStyle name="Normal 3 2" xfId="286"/>
    <cellStyle name="Normal 3 3" xfId="287"/>
    <cellStyle name="Normal 3 4" xfId="288"/>
    <cellStyle name="Normal 3 5" xfId="289"/>
    <cellStyle name="Normal 3 6" xfId="290"/>
    <cellStyle name="Normal 3 7" xfId="291"/>
    <cellStyle name="Normal 4" xfId="292"/>
    <cellStyle name="Normal 4 2" xfId="293"/>
    <cellStyle name="Normal 5 2" xfId="294"/>
    <cellStyle name="Normal 5 3" xfId="295"/>
    <cellStyle name="Normal 6" xfId="296"/>
    <cellStyle name="Normal 6 2" xfId="297"/>
    <cellStyle name="Normal 7 2" xfId="298"/>
    <cellStyle name="Normal 7 3" xfId="299"/>
    <cellStyle name="Normal 7 4" xfId="300"/>
    <cellStyle name="Normal 8 2" xfId="301"/>
    <cellStyle name="Normal 9 2" xfId="302"/>
    <cellStyle name="Normal 9 3" xfId="303"/>
    <cellStyle name="Normal 9 4" xfId="304"/>
    <cellStyle name="Normal_debt" xfId="305"/>
    <cellStyle name="Normal_lpform" xfId="306"/>
    <cellStyle name="Percent" xfId="307" builtinId="5"/>
  </cellStyles>
  <dxfs count="220">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47625</xdr:colOff>
      <xdr:row>86</xdr:row>
      <xdr:rowOff>152400</xdr:rowOff>
    </xdr:to>
    <xdr:pic>
      <xdr:nvPicPr>
        <xdr:cNvPr id="20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001625" cy="16535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xdr:colOff>
      <xdr:row>0</xdr:row>
      <xdr:rowOff>0</xdr:rowOff>
    </xdr:from>
    <xdr:to>
      <xdr:col>10</xdr:col>
      <xdr:colOff>748619</xdr:colOff>
      <xdr:row>57</xdr:row>
      <xdr:rowOff>114300</xdr:rowOff>
    </xdr:to>
    <xdr:grpSp>
      <xdr:nvGrpSpPr>
        <xdr:cNvPr id="1028" name="Group 4"/>
        <xdr:cNvGrpSpPr>
          <a:grpSpLocks noChangeAspect="1"/>
        </xdr:cNvGrpSpPr>
      </xdr:nvGrpSpPr>
      <xdr:grpSpPr bwMode="auto">
        <a:xfrm>
          <a:off x="7" y="0"/>
          <a:ext cx="8511487" cy="10972800"/>
          <a:chOff x="0" y="0"/>
          <a:chExt cx="2559" cy="3299"/>
        </a:xfrm>
      </xdr:grpSpPr>
      <xdr:sp macro="" textlink="">
        <xdr:nvSpPr>
          <xdr:cNvPr id="1027" name="AutoShape 3"/>
          <xdr:cNvSpPr>
            <a:spLocks noChangeAspect="1" noChangeArrowheads="1" noTextEdit="1"/>
          </xdr:cNvSpPr>
        </xdr:nvSpPr>
        <xdr:spPr bwMode="auto">
          <a:xfrm>
            <a:off x="0" y="0"/>
            <a:ext cx="2559" cy="3299"/>
          </a:xfrm>
          <a:prstGeom prst="rect">
            <a:avLst/>
          </a:prstGeom>
          <a:noFill/>
          <a:ln w="9525">
            <a:noFill/>
            <a:miter lim="800000"/>
            <a:headEnd/>
            <a:tailEnd/>
          </a:ln>
        </xdr:spPr>
      </xdr:sp>
      <xdr:pic>
        <xdr:nvPicPr>
          <xdr:cNvPr id="10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60" cy="3300"/>
          </a:xfrm>
          <a:prstGeom prst="rect">
            <a:avLst/>
          </a:prstGeom>
          <a:noFill/>
          <a:ln w="9525">
            <a:noFill/>
            <a:miter lim="800000"/>
            <a:headEnd/>
            <a:tailEn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peter.haxton@library.ks.gov"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42.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bstaats@abbb.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02"/>
  <sheetViews>
    <sheetView topLeftCell="A76" zoomScale="80" workbookViewId="0">
      <selection activeCell="A78" sqref="A78"/>
    </sheetView>
  </sheetViews>
  <sheetFormatPr defaultRowHeight="15.75"/>
  <cols>
    <col min="1" max="1" width="75.77734375" style="8" customWidth="1"/>
    <col min="2" max="16384" width="8.88671875" style="8"/>
  </cols>
  <sheetData>
    <row r="1" spans="1:1">
      <c r="A1" s="7" t="s">
        <v>249</v>
      </c>
    </row>
    <row r="3" spans="1:1" ht="34.5" customHeight="1">
      <c r="A3" s="9" t="s">
        <v>236</v>
      </c>
    </row>
    <row r="4" spans="1:1">
      <c r="A4" s="10"/>
    </row>
    <row r="5" spans="1:1" ht="85.5" customHeight="1">
      <c r="A5" s="11" t="s">
        <v>272</v>
      </c>
    </row>
    <row r="6" spans="1:1">
      <c r="A6" s="11"/>
    </row>
    <row r="7" spans="1:1" ht="55.5" customHeight="1">
      <c r="A7" s="11" t="s">
        <v>928</v>
      </c>
    </row>
    <row r="8" spans="1:1">
      <c r="A8" s="11"/>
    </row>
    <row r="9" spans="1:1">
      <c r="A9" s="7" t="s">
        <v>275</v>
      </c>
    </row>
    <row r="10" spans="1:1">
      <c r="A10" s="7"/>
    </row>
    <row r="11" spans="1:1">
      <c r="A11" s="10" t="s">
        <v>277</v>
      </c>
    </row>
    <row r="13" spans="1:1" ht="38.25" customHeight="1">
      <c r="A13" s="12" t="s">
        <v>643</v>
      </c>
    </row>
    <row r="14" spans="1:1" ht="14.25" customHeight="1">
      <c r="A14" s="12"/>
    </row>
    <row r="16" spans="1:1">
      <c r="A16" s="7" t="s">
        <v>331</v>
      </c>
    </row>
    <row r="18" spans="1:1" ht="34.5" customHeight="1">
      <c r="A18" s="11" t="s">
        <v>276</v>
      </c>
    </row>
    <row r="19" spans="1:1" ht="12" customHeight="1">
      <c r="A19" s="11"/>
    </row>
    <row r="20" spans="1:1" ht="16.5" customHeight="1">
      <c r="A20" s="13" t="s">
        <v>234</v>
      </c>
    </row>
    <row r="21" spans="1:1" ht="9.75" customHeight="1">
      <c r="A21" s="14"/>
    </row>
    <row r="22" spans="1:1">
      <c r="A22" s="15" t="s">
        <v>248</v>
      </c>
    </row>
    <row r="23" spans="1:1">
      <c r="A23" s="16"/>
    </row>
    <row r="24" spans="1:1" ht="85.5" customHeight="1">
      <c r="A24" s="17" t="s">
        <v>259</v>
      </c>
    </row>
    <row r="25" spans="1:1" ht="19.5" customHeight="1">
      <c r="A25" s="11"/>
    </row>
    <row r="26" spans="1:1" ht="19.5" customHeight="1">
      <c r="A26" s="18" t="s">
        <v>235</v>
      </c>
    </row>
    <row r="28" spans="1:1">
      <c r="A28" s="19" t="s">
        <v>273</v>
      </c>
    </row>
    <row r="30" spans="1:1" ht="20.25" customHeight="1">
      <c r="A30" s="11" t="s">
        <v>274</v>
      </c>
    </row>
    <row r="32" spans="1:1">
      <c r="A32" s="7" t="s">
        <v>84</v>
      </c>
    </row>
    <row r="34" spans="1:1" ht="69" customHeight="1">
      <c r="A34" s="11" t="s">
        <v>747</v>
      </c>
    </row>
    <row r="35" spans="1:1" ht="38.25" customHeight="1">
      <c r="A35" s="11" t="s">
        <v>260</v>
      </c>
    </row>
    <row r="36" spans="1:1" ht="51" customHeight="1">
      <c r="A36" s="20" t="s">
        <v>237</v>
      </c>
    </row>
    <row r="37" spans="1:1" ht="11.25" customHeight="1"/>
    <row r="38" spans="1:1" ht="80.25" customHeight="1">
      <c r="A38" s="11" t="s">
        <v>748</v>
      </c>
    </row>
    <row r="39" spans="1:1" ht="67.5" customHeight="1">
      <c r="A39" s="11" t="s">
        <v>307</v>
      </c>
    </row>
    <row r="40" spans="1:1" ht="103.5" customHeight="1">
      <c r="A40" s="11" t="s">
        <v>308</v>
      </c>
    </row>
    <row r="41" spans="1:1" ht="12.75" customHeight="1"/>
    <row r="42" spans="1:1" ht="74.099999999999994" customHeight="1">
      <c r="A42" s="677" t="s">
        <v>929</v>
      </c>
    </row>
    <row r="43" spans="1:1" ht="69.95" customHeight="1">
      <c r="A43" s="343" t="s">
        <v>602</v>
      </c>
    </row>
    <row r="44" spans="1:1" ht="69.95" customHeight="1">
      <c r="A44" s="678" t="s">
        <v>930</v>
      </c>
    </row>
    <row r="45" spans="1:1" ht="12.75" customHeight="1"/>
    <row r="46" spans="1:1" ht="67.5" customHeight="1">
      <c r="A46" s="11" t="s">
        <v>603</v>
      </c>
    </row>
    <row r="47" spans="1:1" ht="37.5" customHeight="1">
      <c r="A47" s="11" t="s">
        <v>604</v>
      </c>
    </row>
    <row r="48" spans="1:1" ht="72.75" customHeight="1">
      <c r="A48" s="11" t="s">
        <v>605</v>
      </c>
    </row>
    <row r="49" spans="1:1" ht="108" customHeight="1">
      <c r="A49" s="679" t="s">
        <v>966</v>
      </c>
    </row>
    <row r="50" spans="1:1" ht="13.5" customHeight="1">
      <c r="A50" s="11"/>
    </row>
    <row r="51" spans="1:1" ht="70.5" customHeight="1">
      <c r="A51" s="11" t="s">
        <v>606</v>
      </c>
    </row>
    <row r="52" spans="1:1" ht="126" customHeight="1">
      <c r="A52" s="11" t="s">
        <v>607</v>
      </c>
    </row>
    <row r="53" spans="1:1" ht="35.25" customHeight="1">
      <c r="A53" s="11" t="s">
        <v>608</v>
      </c>
    </row>
    <row r="54" spans="1:1" ht="15.75" customHeight="1">
      <c r="A54" s="11"/>
    </row>
    <row r="55" spans="1:1" ht="83.25" customHeight="1">
      <c r="A55" s="679" t="s">
        <v>931</v>
      </c>
    </row>
    <row r="56" spans="1:1" ht="12.75" customHeight="1"/>
    <row r="57" spans="1:1" ht="71.25" customHeight="1">
      <c r="A57" s="11" t="s">
        <v>609</v>
      </c>
    </row>
    <row r="58" spans="1:1" ht="45" customHeight="1">
      <c r="A58" s="11" t="s">
        <v>615</v>
      </c>
    </row>
    <row r="59" spans="1:1" ht="97.5" customHeight="1">
      <c r="A59" s="11" t="s">
        <v>644</v>
      </c>
    </row>
    <row r="60" spans="1:1" ht="42.75" customHeight="1">
      <c r="A60" s="326" t="s">
        <v>616</v>
      </c>
    </row>
    <row r="61" spans="1:1" ht="14.25" customHeight="1"/>
    <row r="62" spans="1:1" s="11" customFormat="1" ht="58.5" customHeight="1">
      <c r="A62" s="11" t="s">
        <v>610</v>
      </c>
    </row>
    <row r="64" spans="1:1" ht="69" customHeight="1">
      <c r="A64" s="11" t="s">
        <v>611</v>
      </c>
    </row>
    <row r="65" spans="1:1" ht="15.75" customHeight="1">
      <c r="A65" s="11"/>
    </row>
    <row r="66" spans="1:1" ht="167.25" customHeight="1">
      <c r="A66" s="679" t="s">
        <v>932</v>
      </c>
    </row>
    <row r="67" spans="1:1" ht="11.25" customHeight="1"/>
    <row r="68" spans="1:1" ht="104.25" customHeight="1">
      <c r="A68" s="11" t="s">
        <v>933</v>
      </c>
    </row>
    <row r="69" spans="1:1" ht="72.75" customHeight="1">
      <c r="A69" s="679" t="s">
        <v>957</v>
      </c>
    </row>
    <row r="70" spans="1:1" ht="117" customHeight="1">
      <c r="A70" s="680" t="s">
        <v>934</v>
      </c>
    </row>
    <row r="71" spans="1:1" ht="93" customHeight="1">
      <c r="A71" s="680" t="s">
        <v>935</v>
      </c>
    </row>
    <row r="72" spans="1:1" ht="104.25" customHeight="1">
      <c r="A72" s="680" t="s">
        <v>936</v>
      </c>
    </row>
    <row r="73" spans="1:1" ht="77.25" customHeight="1">
      <c r="A73" s="11" t="s">
        <v>937</v>
      </c>
    </row>
    <row r="74" spans="1:1" ht="112.5" customHeight="1">
      <c r="A74" s="679" t="s">
        <v>938</v>
      </c>
    </row>
    <row r="75" spans="1:1" ht="138" customHeight="1">
      <c r="A75" s="11" t="s">
        <v>939</v>
      </c>
    </row>
    <row r="76" spans="1:1" ht="149.25" customHeight="1">
      <c r="A76" s="11" t="s">
        <v>940</v>
      </c>
    </row>
    <row r="77" spans="1:1" ht="78.75" customHeight="1">
      <c r="A77" s="11" t="s">
        <v>941</v>
      </c>
    </row>
    <row r="78" spans="1:1" ht="99.75" customHeight="1">
      <c r="A78" s="11" t="s">
        <v>942</v>
      </c>
    </row>
    <row r="79" spans="1:1" ht="57" customHeight="1">
      <c r="A79" s="11" t="s">
        <v>943</v>
      </c>
    </row>
    <row r="80" spans="1:1" ht="111" customHeight="1">
      <c r="A80" s="11" t="s">
        <v>944</v>
      </c>
    </row>
    <row r="81" spans="1:1" ht="111.75" customHeight="1">
      <c r="A81" s="457" t="s">
        <v>945</v>
      </c>
    </row>
    <row r="82" spans="1:1" ht="110.25" customHeight="1">
      <c r="A82" s="458" t="s">
        <v>946</v>
      </c>
    </row>
    <row r="83" spans="1:1" ht="51.75" customHeight="1">
      <c r="A83" s="459" t="s">
        <v>947</v>
      </c>
    </row>
    <row r="84" spans="1:1" ht="78.75" customHeight="1">
      <c r="A84" s="679" t="s">
        <v>948</v>
      </c>
    </row>
    <row r="85" spans="1:1" ht="78.75" customHeight="1">
      <c r="A85" s="679" t="s">
        <v>959</v>
      </c>
    </row>
    <row r="86" spans="1:1" ht="46.5" customHeight="1">
      <c r="A86" s="681" t="s">
        <v>960</v>
      </c>
    </row>
    <row r="87" spans="1:1" ht="53.25" customHeight="1">
      <c r="A87" s="680" t="s">
        <v>961</v>
      </c>
    </row>
    <row r="88" spans="1:1" ht="125.25" customHeight="1">
      <c r="A88" s="680" t="s">
        <v>962</v>
      </c>
    </row>
    <row r="89" spans="1:1" ht="149.25" customHeight="1">
      <c r="A89" s="680" t="s">
        <v>963</v>
      </c>
    </row>
    <row r="90" spans="1:1" ht="87" customHeight="1">
      <c r="A90" s="682" t="s">
        <v>964</v>
      </c>
    </row>
    <row r="91" spans="1:1" ht="84" customHeight="1">
      <c r="A91" s="683" t="s">
        <v>965</v>
      </c>
    </row>
    <row r="92" spans="1:1" ht="30.75" customHeight="1"/>
    <row r="93" spans="1:1" ht="162" customHeight="1">
      <c r="A93" s="11" t="s">
        <v>949</v>
      </c>
    </row>
    <row r="94" spans="1:1" ht="159.75" customHeight="1">
      <c r="A94" s="11" t="s">
        <v>950</v>
      </c>
    </row>
    <row r="95" spans="1:1" ht="45" customHeight="1">
      <c r="A95" s="11" t="s">
        <v>951</v>
      </c>
    </row>
    <row r="96" spans="1:1" ht="45" customHeight="1">
      <c r="A96" s="11" t="s">
        <v>952</v>
      </c>
    </row>
    <row r="97" spans="1:1" ht="15" customHeight="1"/>
    <row r="98" spans="1:1" ht="72" customHeight="1">
      <c r="A98" s="679" t="s">
        <v>953</v>
      </c>
    </row>
    <row r="99" spans="1:1">
      <c r="A99" s="684"/>
    </row>
    <row r="100" spans="1:1" ht="54" customHeight="1">
      <c r="A100" s="680" t="s">
        <v>954</v>
      </c>
    </row>
    <row r="101" spans="1:1" ht="101.25" customHeight="1">
      <c r="A101" s="680" t="s">
        <v>955</v>
      </c>
    </row>
    <row r="102" spans="1:1" ht="131.25" customHeight="1">
      <c r="A102" s="680" t="s">
        <v>956</v>
      </c>
    </row>
  </sheetData>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F33"/>
  <sheetViews>
    <sheetView workbookViewId="0">
      <selection activeCell="E16" sqref="E16"/>
    </sheetView>
  </sheetViews>
  <sheetFormatPr defaultRowHeight="15.75"/>
  <cols>
    <col min="1" max="1" width="17.77734375" style="8" customWidth="1"/>
    <col min="2" max="2" width="35" style="8" customWidth="1"/>
    <col min="3" max="6" width="12.77734375" style="8" customWidth="1"/>
    <col min="7" max="16384" width="8.88671875" style="8"/>
  </cols>
  <sheetData>
    <row r="1" spans="1:6">
      <c r="A1" s="84" t="str">
        <f>inputPrYr!D2</f>
        <v>City of St.Francis</v>
      </c>
      <c r="B1" s="84"/>
      <c r="C1" s="86"/>
      <c r="D1" s="86"/>
      <c r="E1" s="86"/>
      <c r="F1" s="86">
        <f>inputPrYr!$C$5</f>
        <v>2013</v>
      </c>
    </row>
    <row r="2" spans="1:6">
      <c r="A2" s="86"/>
      <c r="B2" s="86"/>
      <c r="C2" s="86"/>
      <c r="D2" s="86"/>
      <c r="E2" s="86"/>
      <c r="F2" s="86"/>
    </row>
    <row r="3" spans="1:6">
      <c r="A3" s="733" t="s">
        <v>149</v>
      </c>
      <c r="B3" s="733"/>
      <c r="C3" s="733"/>
      <c r="D3" s="733"/>
      <c r="E3" s="733"/>
      <c r="F3" s="733"/>
    </row>
    <row r="4" spans="1:6">
      <c r="A4" s="174"/>
      <c r="B4" s="174"/>
      <c r="C4" s="174"/>
      <c r="D4" s="174"/>
      <c r="E4" s="174"/>
      <c r="F4" s="174"/>
    </row>
    <row r="5" spans="1:6">
      <c r="A5" s="175" t="s">
        <v>618</v>
      </c>
      <c r="B5" s="175" t="s">
        <v>620</v>
      </c>
      <c r="C5" s="175" t="s">
        <v>45</v>
      </c>
      <c r="D5" s="175" t="s">
        <v>163</v>
      </c>
      <c r="E5" s="175" t="s">
        <v>164</v>
      </c>
      <c r="F5" s="175" t="s">
        <v>202</v>
      </c>
    </row>
    <row r="6" spans="1:6">
      <c r="A6" s="176" t="s">
        <v>619</v>
      </c>
      <c r="B6" s="176" t="s">
        <v>621</v>
      </c>
      <c r="C6" s="176" t="s">
        <v>203</v>
      </c>
      <c r="D6" s="176" t="s">
        <v>203</v>
      </c>
      <c r="E6" s="176" t="s">
        <v>203</v>
      </c>
      <c r="F6" s="176" t="s">
        <v>204</v>
      </c>
    </row>
    <row r="7" spans="1:6" ht="15" customHeight="1">
      <c r="A7" s="177" t="s">
        <v>205</v>
      </c>
      <c r="B7" s="177" t="s">
        <v>206</v>
      </c>
      <c r="C7" s="178">
        <f>F1-2</f>
        <v>2011</v>
      </c>
      <c r="D7" s="178">
        <f>F1-1</f>
        <v>2012</v>
      </c>
      <c r="E7" s="178">
        <f>F1</f>
        <v>2013</v>
      </c>
      <c r="F7" s="177" t="s">
        <v>207</v>
      </c>
    </row>
    <row r="8" spans="1:6" ht="14.25" customHeight="1">
      <c r="A8" s="179" t="s">
        <v>978</v>
      </c>
      <c r="B8" s="179" t="s">
        <v>334</v>
      </c>
      <c r="C8" s="485">
        <f>'Electric &amp; Water Utility'!C43</f>
        <v>250000</v>
      </c>
      <c r="D8" s="485">
        <f>general!D32</f>
        <v>361000</v>
      </c>
      <c r="E8" s="485">
        <f>general!E32</f>
        <v>308000</v>
      </c>
      <c r="F8" s="179" t="s">
        <v>1103</v>
      </c>
    </row>
    <row r="9" spans="1:6" ht="15" customHeight="1">
      <c r="A9" s="180" t="s">
        <v>978</v>
      </c>
      <c r="B9" s="180" t="s">
        <v>985</v>
      </c>
      <c r="C9" s="486">
        <f>'Electric &amp; Water Utility'!C45</f>
        <v>75000</v>
      </c>
      <c r="D9" s="486">
        <f>'Electric &amp; Water Utility'!D45</f>
        <v>10000</v>
      </c>
      <c r="E9" s="486">
        <f>'Electric &amp; Water Utility'!E45</f>
        <v>81000</v>
      </c>
      <c r="F9" s="180" t="s">
        <v>1107</v>
      </c>
    </row>
    <row r="10" spans="1:6" ht="15" customHeight="1">
      <c r="A10" s="180" t="s">
        <v>978</v>
      </c>
      <c r="B10" s="180" t="s">
        <v>984</v>
      </c>
      <c r="C10" s="486">
        <v>0</v>
      </c>
      <c r="D10" s="486">
        <f>'Electric &amp; Water Utility'!D44</f>
        <v>10000</v>
      </c>
      <c r="E10" s="486">
        <f>'Electric &amp; Water Utility'!E44</f>
        <v>76000</v>
      </c>
      <c r="F10" s="180" t="s">
        <v>1104</v>
      </c>
    </row>
    <row r="11" spans="1:6" ht="15" customHeight="1">
      <c r="A11" s="180" t="s">
        <v>979</v>
      </c>
      <c r="B11" s="180" t="s">
        <v>334</v>
      </c>
      <c r="C11" s="486">
        <f>'Sewer &amp; Refuse Utility'!C17</f>
        <v>45000</v>
      </c>
      <c r="D11" s="486">
        <f>general!D30</f>
        <v>75000</v>
      </c>
      <c r="E11" s="486">
        <f>general!E30</f>
        <v>10000</v>
      </c>
      <c r="F11" s="179" t="s">
        <v>1103</v>
      </c>
    </row>
    <row r="12" spans="1:6" ht="15" customHeight="1">
      <c r="A12" s="180" t="s">
        <v>979</v>
      </c>
      <c r="B12" s="180" t="s">
        <v>984</v>
      </c>
      <c r="C12" s="486">
        <f>'Sewer &amp; Refuse Utility'!C18</f>
        <v>40000</v>
      </c>
      <c r="D12" s="486">
        <f>'Sewer &amp; Refuse Utility'!D18</f>
        <v>30000</v>
      </c>
      <c r="E12" s="486">
        <f>'Sewer &amp; Refuse Utility'!E18</f>
        <v>87000</v>
      </c>
      <c r="F12" s="180" t="s">
        <v>1104</v>
      </c>
    </row>
    <row r="13" spans="1:6" ht="15" customHeight="1">
      <c r="A13" s="180" t="s">
        <v>980</v>
      </c>
      <c r="B13" s="180" t="s">
        <v>334</v>
      </c>
      <c r="C13" s="486">
        <f>'Sewer &amp; Refuse Utility'!C44</f>
        <v>45000</v>
      </c>
      <c r="D13" s="486">
        <f>general!D31</f>
        <v>60000</v>
      </c>
      <c r="E13" s="486">
        <f>general!E31</f>
        <v>10000</v>
      </c>
      <c r="F13" s="179" t="s">
        <v>1103</v>
      </c>
    </row>
    <row r="14" spans="1:6" ht="15" customHeight="1">
      <c r="A14" s="180" t="s">
        <v>980</v>
      </c>
      <c r="B14" s="180" t="s">
        <v>984</v>
      </c>
      <c r="C14" s="486">
        <f>'Sewer &amp; Refuse Utility'!C45</f>
        <v>20000</v>
      </c>
      <c r="D14" s="486">
        <f>'Sewer &amp; Refuse Utility'!D45</f>
        <v>15000</v>
      </c>
      <c r="E14" s="486">
        <f>'Sewer &amp; Refuse Utility'!E45</f>
        <v>92000</v>
      </c>
      <c r="F14" s="180" t="s">
        <v>1104</v>
      </c>
    </row>
    <row r="15" spans="1:6" ht="15" customHeight="1">
      <c r="A15" s="180" t="s">
        <v>984</v>
      </c>
      <c r="B15" s="180" t="s">
        <v>1105</v>
      </c>
      <c r="C15" s="486">
        <f>NonBudA!D9</f>
        <v>177764</v>
      </c>
      <c r="D15" s="695">
        <v>0</v>
      </c>
      <c r="E15" s="486">
        <v>0</v>
      </c>
      <c r="F15" s="180" t="s">
        <v>1104</v>
      </c>
    </row>
    <row r="16" spans="1:6" ht="15" customHeight="1">
      <c r="A16" s="180" t="s">
        <v>985</v>
      </c>
      <c r="B16" s="180" t="s">
        <v>1106</v>
      </c>
      <c r="C16" s="486">
        <f>NonBudA!B9</f>
        <v>200024</v>
      </c>
      <c r="D16" s="694">
        <v>0</v>
      </c>
      <c r="E16" s="486">
        <v>0</v>
      </c>
      <c r="F16" s="180" t="s">
        <v>1107</v>
      </c>
    </row>
    <row r="17" spans="1:6" ht="15" customHeight="1">
      <c r="A17" s="180"/>
      <c r="B17" s="180"/>
      <c r="C17" s="486"/>
      <c r="D17" s="486"/>
      <c r="E17" s="486"/>
      <c r="F17" s="180"/>
    </row>
    <row r="18" spans="1:6" ht="15" customHeight="1">
      <c r="A18" s="180"/>
      <c r="B18" s="180"/>
      <c r="C18" s="486"/>
      <c r="D18" s="486"/>
      <c r="E18" s="486"/>
      <c r="F18" s="180"/>
    </row>
    <row r="19" spans="1:6" ht="15" customHeight="1">
      <c r="A19" s="180"/>
      <c r="B19" s="180"/>
      <c r="C19" s="486"/>
      <c r="D19" s="486"/>
      <c r="E19" s="486"/>
      <c r="F19" s="180"/>
    </row>
    <row r="20" spans="1:6" ht="15" customHeight="1">
      <c r="A20" s="180"/>
      <c r="B20" s="180"/>
      <c r="C20" s="486"/>
      <c r="D20" s="486"/>
      <c r="E20" s="486"/>
      <c r="F20" s="180"/>
    </row>
    <row r="21" spans="1:6" ht="15" customHeight="1">
      <c r="A21" s="180"/>
      <c r="B21" s="180"/>
      <c r="C21" s="486"/>
      <c r="D21" s="486"/>
      <c r="E21" s="486"/>
      <c r="F21" s="180"/>
    </row>
    <row r="22" spans="1:6" ht="15" customHeight="1">
      <c r="A22" s="180"/>
      <c r="B22" s="180"/>
      <c r="C22" s="486"/>
      <c r="D22" s="486"/>
      <c r="E22" s="486"/>
      <c r="F22" s="180"/>
    </row>
    <row r="23" spans="1:6" ht="15" customHeight="1">
      <c r="A23" s="180"/>
      <c r="B23" s="180"/>
      <c r="C23" s="486"/>
      <c r="D23" s="486"/>
      <c r="E23" s="486"/>
      <c r="F23" s="180"/>
    </row>
    <row r="24" spans="1:6" ht="15" customHeight="1">
      <c r="A24" s="180"/>
      <c r="B24" s="180"/>
      <c r="C24" s="486"/>
      <c r="D24" s="486"/>
      <c r="E24" s="486"/>
      <c r="F24" s="180"/>
    </row>
    <row r="25" spans="1:6" ht="15" customHeight="1">
      <c r="A25" s="180"/>
      <c r="B25" s="180"/>
      <c r="C25" s="486"/>
      <c r="D25" s="486"/>
      <c r="E25" s="486"/>
      <c r="F25" s="180"/>
    </row>
    <row r="26" spans="1:6" ht="15" customHeight="1">
      <c r="A26" s="180"/>
      <c r="B26" s="180"/>
      <c r="C26" s="486"/>
      <c r="D26" s="486"/>
      <c r="E26" s="486"/>
      <c r="F26" s="180"/>
    </row>
    <row r="27" spans="1:6" ht="15" customHeight="1">
      <c r="A27" s="181"/>
      <c r="B27" s="182" t="s">
        <v>12</v>
      </c>
      <c r="C27" s="484">
        <f>SUM(C8:C26)</f>
        <v>852788</v>
      </c>
      <c r="D27" s="484">
        <f>SUM(D8:D26)</f>
        <v>561000</v>
      </c>
      <c r="E27" s="484">
        <f>SUM(E8:E26)</f>
        <v>664000</v>
      </c>
      <c r="F27" s="181"/>
    </row>
    <row r="28" spans="1:6" ht="15" customHeight="1">
      <c r="A28" s="181"/>
      <c r="B28" s="184" t="s">
        <v>622</v>
      </c>
      <c r="C28" s="137"/>
      <c r="D28" s="180"/>
      <c r="E28" s="180"/>
      <c r="F28" s="181"/>
    </row>
    <row r="29" spans="1:6" ht="15" customHeight="1">
      <c r="A29" s="181"/>
      <c r="B29" s="182" t="s">
        <v>208</v>
      </c>
      <c r="C29" s="484">
        <f>C27</f>
        <v>852788</v>
      </c>
      <c r="D29" s="484">
        <f>SUM(D27-D28)</f>
        <v>561000</v>
      </c>
      <c r="E29" s="484">
        <f>SUM(E27-E28)</f>
        <v>664000</v>
      </c>
      <c r="F29" s="181"/>
    </row>
    <row r="30" spans="1:6" ht="15" customHeight="1">
      <c r="A30" s="78"/>
      <c r="B30" s="78"/>
      <c r="C30" s="78"/>
      <c r="D30" s="78"/>
      <c r="E30" s="78"/>
      <c r="F30" s="78"/>
    </row>
    <row r="31" spans="1:6" ht="15" customHeight="1">
      <c r="A31" s="78"/>
      <c r="B31" s="78"/>
      <c r="C31" s="78"/>
      <c r="D31" s="78"/>
      <c r="E31" s="78"/>
      <c r="F31" s="78"/>
    </row>
    <row r="32" spans="1:6" ht="21.75" customHeight="1">
      <c r="A32" s="346" t="s">
        <v>617</v>
      </c>
      <c r="B32" s="347" t="str">
        <f>CONCATENATE("Adjustments are required only if the transfer is being made in ",D7," and/or ",E7," from a non-budgeted fund.")</f>
        <v>Adjustments are required only if the transfer is being made in 2012 and/or 2013 from a non-budgeted fund.</v>
      </c>
      <c r="C32" s="78"/>
      <c r="D32" s="78"/>
      <c r="E32" s="78"/>
      <c r="F32" s="78"/>
    </row>
    <row r="33" ht="15" customHeight="1"/>
  </sheetData>
  <mergeCells count="1">
    <mergeCell ref="A3:F3"/>
  </mergeCells>
  <phoneticPr fontId="11" type="noConversion"/>
  <pageMargins left="1" right="1" top="1" bottom="1" header="0.5" footer="0.5"/>
  <pageSetup scale="66" orientation="portrait" blackAndWhite="1" r:id="rId1"/>
  <headerFooter alignWithMargins="0">
    <oddHeader>&amp;RState of Kansans
City</oddHeader>
    <oddFooter>&amp;CPage No. 4</oddFooter>
  </headerFooter>
</worksheet>
</file>

<file path=xl/worksheets/sheet11.xml><?xml version="1.0" encoding="utf-8"?>
<worksheet xmlns="http://schemas.openxmlformats.org/spreadsheetml/2006/main" xmlns:r="http://schemas.openxmlformats.org/officeDocument/2006/relationships">
  <dimension ref="A1:A68"/>
  <sheetViews>
    <sheetView workbookViewId="0">
      <selection activeCell="B2" sqref="B2"/>
    </sheetView>
  </sheetViews>
  <sheetFormatPr defaultRowHeight="15"/>
  <cols>
    <col min="1" max="1" width="70.5546875" style="321" customWidth="1"/>
    <col min="2" max="16384" width="8.88671875" style="321"/>
  </cols>
  <sheetData>
    <row r="1" spans="1:1" ht="18.75">
      <c r="A1" s="323" t="s">
        <v>351</v>
      </c>
    </row>
    <row r="2" spans="1:1" ht="18.75">
      <c r="A2" s="323"/>
    </row>
    <row r="3" spans="1:1" ht="18.75">
      <c r="A3" s="323"/>
    </row>
    <row r="4" spans="1:1" ht="51.75" customHeight="1">
      <c r="A4" s="447" t="s">
        <v>742</v>
      </c>
    </row>
    <row r="5" spans="1:1" ht="18.75">
      <c r="A5" s="323"/>
    </row>
    <row r="6" spans="1:1" ht="15.75">
      <c r="A6" s="324"/>
    </row>
    <row r="7" spans="1:1" ht="47.25">
      <c r="A7" s="325" t="s">
        <v>352</v>
      </c>
    </row>
    <row r="8" spans="1:1" ht="15.75">
      <c r="A8" s="324"/>
    </row>
    <row r="9" spans="1:1" ht="15.75">
      <c r="A9" s="324"/>
    </row>
    <row r="10" spans="1:1" ht="63">
      <c r="A10" s="325" t="s">
        <v>353</v>
      </c>
    </row>
    <row r="11" spans="1:1" ht="15.75">
      <c r="A11" s="448"/>
    </row>
    <row r="12" spans="1:1" ht="15.75">
      <c r="A12" s="324"/>
    </row>
    <row r="13" spans="1:1" ht="47.25">
      <c r="A13" s="325" t="s">
        <v>354</v>
      </c>
    </row>
    <row r="14" spans="1:1" ht="15.75">
      <c r="A14" s="448"/>
    </row>
    <row r="15" spans="1:1" ht="15.75">
      <c r="A15" s="324"/>
    </row>
    <row r="16" spans="1:1" ht="47.25">
      <c r="A16" s="325" t="s">
        <v>355</v>
      </c>
    </row>
    <row r="17" spans="1:1" ht="15.75">
      <c r="A17" s="448"/>
    </row>
    <row r="18" spans="1:1" ht="15.75">
      <c r="A18" s="448"/>
    </row>
    <row r="19" spans="1:1" ht="47.25">
      <c r="A19" s="325" t="s">
        <v>356</v>
      </c>
    </row>
    <row r="20" spans="1:1" ht="15.75">
      <c r="A20" s="448"/>
    </row>
    <row r="21" spans="1:1" ht="15.75">
      <c r="A21" s="448"/>
    </row>
    <row r="22" spans="1:1" ht="47.25">
      <c r="A22" s="325" t="s">
        <v>357</v>
      </c>
    </row>
    <row r="23" spans="1:1" ht="15.75">
      <c r="A23" s="448"/>
    </row>
    <row r="24" spans="1:1" ht="15.75">
      <c r="A24" s="448"/>
    </row>
    <row r="25" spans="1:1" ht="31.5">
      <c r="A25" s="325" t="s">
        <v>358</v>
      </c>
    </row>
    <row r="26" spans="1:1" ht="15.75">
      <c r="A26" s="324"/>
    </row>
    <row r="27" spans="1:1" ht="15.75">
      <c r="A27" s="324"/>
    </row>
    <row r="28" spans="1:1" ht="60">
      <c r="A28" s="449" t="s">
        <v>359</v>
      </c>
    </row>
    <row r="29" spans="1:1">
      <c r="A29" s="450"/>
    </row>
    <row r="30" spans="1:1">
      <c r="A30" s="450"/>
    </row>
    <row r="31" spans="1:1" ht="47.25">
      <c r="A31" s="325" t="s">
        <v>360</v>
      </c>
    </row>
    <row r="32" spans="1:1" ht="15.75">
      <c r="A32" s="324"/>
    </row>
    <row r="33" spans="1:1" ht="15.75">
      <c r="A33" s="324"/>
    </row>
    <row r="34" spans="1:1" ht="66.75" customHeight="1">
      <c r="A34" s="446" t="s">
        <v>743</v>
      </c>
    </row>
    <row r="35" spans="1:1" ht="15.75">
      <c r="A35" s="324"/>
    </row>
    <row r="36" spans="1:1" ht="15.75">
      <c r="A36" s="324"/>
    </row>
    <row r="37" spans="1:1" ht="63">
      <c r="A37" s="451" t="s">
        <v>361</v>
      </c>
    </row>
    <row r="38" spans="1:1" ht="15.75">
      <c r="A38" s="448"/>
    </row>
    <row r="39" spans="1:1" ht="15.75">
      <c r="A39" s="324"/>
    </row>
    <row r="40" spans="1:1" ht="63">
      <c r="A40" s="325" t="s">
        <v>362</v>
      </c>
    </row>
    <row r="41" spans="1:1" ht="15.75">
      <c r="A41" s="448"/>
    </row>
    <row r="42" spans="1:1" ht="15.75">
      <c r="A42" s="448"/>
    </row>
    <row r="43" spans="1:1" ht="82.5" customHeight="1">
      <c r="A43" s="444" t="s">
        <v>744</v>
      </c>
    </row>
    <row r="44" spans="1:1" ht="15.75">
      <c r="A44" s="448"/>
    </row>
    <row r="45" spans="1:1" ht="15.75">
      <c r="A45" s="448"/>
    </row>
    <row r="46" spans="1:1" ht="69" customHeight="1">
      <c r="A46" s="444" t="s">
        <v>745</v>
      </c>
    </row>
    <row r="47" spans="1:1" ht="15.75">
      <c r="A47" s="448"/>
    </row>
    <row r="48" spans="1:1" ht="15.75">
      <c r="A48" s="448"/>
    </row>
    <row r="49" spans="1:1" ht="69" customHeight="1">
      <c r="A49" s="444" t="s">
        <v>746</v>
      </c>
    </row>
    <row r="50" spans="1:1" ht="15.75">
      <c r="A50" s="448"/>
    </row>
    <row r="51" spans="1:1" ht="15.75">
      <c r="A51" s="448"/>
    </row>
    <row r="52" spans="1:1" ht="54.75" customHeight="1">
      <c r="A52" s="444" t="s">
        <v>885</v>
      </c>
    </row>
    <row r="53" spans="1:1" ht="15.75">
      <c r="A53" s="448"/>
    </row>
    <row r="54" spans="1:1" ht="15.75">
      <c r="A54" s="448"/>
    </row>
    <row r="55" spans="1:1" ht="63">
      <c r="A55" s="325" t="s">
        <v>363</v>
      </c>
    </row>
    <row r="56" spans="1:1" ht="15.75">
      <c r="A56" s="448"/>
    </row>
    <row r="57" spans="1:1" ht="15.75">
      <c r="A57" s="448"/>
    </row>
    <row r="58" spans="1:1" ht="63">
      <c r="A58" s="325" t="s">
        <v>364</v>
      </c>
    </row>
    <row r="59" spans="1:1" ht="15.75">
      <c r="A59" s="448"/>
    </row>
    <row r="60" spans="1:1" ht="15.75">
      <c r="A60" s="448"/>
    </row>
    <row r="61" spans="1:1" ht="47.25">
      <c r="A61" s="325" t="s">
        <v>365</v>
      </c>
    </row>
    <row r="62" spans="1:1" ht="15.75">
      <c r="A62" s="448"/>
    </row>
    <row r="63" spans="1:1" ht="15.75">
      <c r="A63" s="448"/>
    </row>
    <row r="64" spans="1:1" ht="47.25">
      <c r="A64" s="325" t="s">
        <v>366</v>
      </c>
    </row>
    <row r="65" spans="1:1" ht="15.75">
      <c r="A65" s="448"/>
    </row>
    <row r="66" spans="1:1" ht="15.75">
      <c r="A66" s="448"/>
    </row>
    <row r="67" spans="1:1" ht="78.75">
      <c r="A67" s="325" t="s">
        <v>367</v>
      </c>
    </row>
    <row r="68" spans="1:1">
      <c r="A68" s="452"/>
    </row>
  </sheetData>
  <pageMargins left="0.7" right="0.7" top="0.75" bottom="0.75" header="0.3" footer="0.3"/>
  <pageSetup orientation="portrait" r:id="rId1"/>
  <headerFooter>
    <oddFooter>&amp;Lrevised 10/2/09</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AC48"/>
  <sheetViews>
    <sheetView zoomScale="75" workbookViewId="0">
      <selection activeCell="B23" sqref="B23"/>
    </sheetView>
  </sheetViews>
  <sheetFormatPr defaultRowHeight="15.75"/>
  <cols>
    <col min="1" max="1" width="4.5546875" style="23" customWidth="1"/>
    <col min="2" max="2" width="20.77734375" style="23" customWidth="1"/>
    <col min="3" max="3" width="9.33203125" style="23" customWidth="1"/>
    <col min="4" max="4" width="9.109375" style="23" customWidth="1"/>
    <col min="5" max="5" width="8.77734375" style="23" customWidth="1"/>
    <col min="6" max="6" width="12.6640625" style="23" customWidth="1"/>
    <col min="7" max="7" width="13.6640625" style="23" customWidth="1"/>
    <col min="8" max="9" width="9.33203125" style="23" customWidth="1"/>
    <col min="10" max="13" width="9.77734375" style="23" customWidth="1"/>
    <col min="14" max="16384" width="8.88671875" style="23"/>
  </cols>
  <sheetData>
    <row r="1" spans="2:13" ht="18.75" customHeight="1">
      <c r="B1" s="151" t="str">
        <f>inputPrYr!$D$2</f>
        <v>City of St.Francis</v>
      </c>
      <c r="C1" s="22"/>
      <c r="D1" s="22"/>
      <c r="E1" s="22"/>
      <c r="F1" s="22"/>
      <c r="G1" s="22"/>
      <c r="H1" s="22"/>
      <c r="I1" s="22"/>
      <c r="J1" s="22"/>
      <c r="K1" s="22"/>
      <c r="L1" s="22"/>
      <c r="M1" s="185">
        <f>inputPrYr!$C$5</f>
        <v>2013</v>
      </c>
    </row>
    <row r="2" spans="2:13">
      <c r="B2" s="151"/>
      <c r="C2" s="22"/>
      <c r="D2" s="22"/>
      <c r="E2" s="22"/>
      <c r="F2" s="22"/>
      <c r="G2" s="22"/>
      <c r="H2" s="22"/>
      <c r="I2" s="22"/>
      <c r="J2" s="22"/>
      <c r="K2" s="22"/>
      <c r="L2" s="22"/>
      <c r="M2" s="147"/>
    </row>
    <row r="3" spans="2:13">
      <c r="B3" s="186" t="s">
        <v>92</v>
      </c>
      <c r="C3" s="33"/>
      <c r="D3" s="33"/>
      <c r="E3" s="33"/>
      <c r="F3" s="33"/>
      <c r="G3" s="33"/>
      <c r="H3" s="33"/>
      <c r="I3" s="33"/>
      <c r="J3" s="33"/>
      <c r="K3" s="33"/>
      <c r="L3" s="33"/>
      <c r="M3" s="33"/>
    </row>
    <row r="4" spans="2:13">
      <c r="B4" s="22"/>
      <c r="C4" s="187"/>
      <c r="D4" s="187"/>
      <c r="E4" s="187"/>
      <c r="F4" s="187"/>
      <c r="G4" s="187"/>
      <c r="H4" s="187"/>
      <c r="I4" s="187"/>
      <c r="J4" s="187"/>
      <c r="K4" s="187"/>
      <c r="L4" s="187"/>
      <c r="M4" s="187"/>
    </row>
    <row r="5" spans="2:13">
      <c r="B5" s="133"/>
      <c r="C5" s="166" t="s">
        <v>60</v>
      </c>
      <c r="D5" s="166" t="s">
        <v>60</v>
      </c>
      <c r="E5" s="166" t="s">
        <v>74</v>
      </c>
      <c r="F5" s="166"/>
      <c r="G5" s="166" t="s">
        <v>197</v>
      </c>
      <c r="H5" s="22"/>
      <c r="I5" s="22"/>
      <c r="J5" s="188" t="s">
        <v>61</v>
      </c>
      <c r="K5" s="189"/>
      <c r="L5" s="188" t="s">
        <v>61</v>
      </c>
      <c r="M5" s="189"/>
    </row>
    <row r="6" spans="2:13">
      <c r="B6" s="127" t="s">
        <v>867</v>
      </c>
      <c r="C6" s="127" t="s">
        <v>62</v>
      </c>
      <c r="D6" s="127" t="s">
        <v>198</v>
      </c>
      <c r="E6" s="127" t="s">
        <v>63</v>
      </c>
      <c r="F6" s="127" t="s">
        <v>17</v>
      </c>
      <c r="G6" s="127" t="s">
        <v>199</v>
      </c>
      <c r="H6" s="737" t="s">
        <v>64</v>
      </c>
      <c r="I6" s="738"/>
      <c r="J6" s="739">
        <f>M1-1</f>
        <v>2012</v>
      </c>
      <c r="K6" s="740"/>
      <c r="L6" s="739">
        <f>M1</f>
        <v>2013</v>
      </c>
      <c r="M6" s="740"/>
    </row>
    <row r="7" spans="2:13">
      <c r="B7" s="130" t="s">
        <v>868</v>
      </c>
      <c r="C7" s="130" t="s">
        <v>65</v>
      </c>
      <c r="D7" s="130" t="s">
        <v>200</v>
      </c>
      <c r="E7" s="130" t="s">
        <v>40</v>
      </c>
      <c r="F7" s="130" t="s">
        <v>66</v>
      </c>
      <c r="G7" s="190" t="str">
        <f>CONCATENATE("Jan 1,",M1-1,"")</f>
        <v>Jan 1,2012</v>
      </c>
      <c r="H7" s="137" t="s">
        <v>74</v>
      </c>
      <c r="I7" s="137" t="s">
        <v>76</v>
      </c>
      <c r="J7" s="137" t="s">
        <v>74</v>
      </c>
      <c r="K7" s="137" t="s">
        <v>76</v>
      </c>
      <c r="L7" s="137" t="s">
        <v>74</v>
      </c>
      <c r="M7" s="137" t="s">
        <v>76</v>
      </c>
    </row>
    <row r="8" spans="2:13">
      <c r="B8" s="191" t="s">
        <v>67</v>
      </c>
      <c r="C8" s="48"/>
      <c r="D8" s="48"/>
      <c r="E8" s="192"/>
      <c r="F8" s="193"/>
      <c r="G8" s="193"/>
      <c r="H8" s="48"/>
      <c r="I8" s="48"/>
      <c r="J8" s="193"/>
      <c r="K8" s="193"/>
      <c r="L8" s="193"/>
      <c r="M8" s="193"/>
    </row>
    <row r="9" spans="2:13">
      <c r="B9" s="53" t="s">
        <v>1128</v>
      </c>
      <c r="C9" s="349"/>
      <c r="D9" s="349"/>
      <c r="E9" s="194"/>
      <c r="F9" s="195"/>
      <c r="G9" s="196"/>
      <c r="H9" s="197"/>
      <c r="I9" s="197"/>
      <c r="J9" s="196"/>
      <c r="K9" s="196"/>
      <c r="L9" s="196"/>
      <c r="M9" s="196"/>
    </row>
    <row r="10" spans="2:13">
      <c r="B10" s="53"/>
      <c r="C10" s="349"/>
      <c r="D10" s="349"/>
      <c r="E10" s="194"/>
      <c r="F10" s="195"/>
      <c r="G10" s="196"/>
      <c r="H10" s="197"/>
      <c r="I10" s="197"/>
      <c r="J10" s="196"/>
      <c r="K10" s="196"/>
      <c r="L10" s="196"/>
      <c r="M10" s="196"/>
    </row>
    <row r="11" spans="2:13">
      <c r="B11" s="53"/>
      <c r="C11" s="349"/>
      <c r="D11" s="349"/>
      <c r="E11" s="194"/>
      <c r="F11" s="195"/>
      <c r="G11" s="196"/>
      <c r="H11" s="197"/>
      <c r="I11" s="197"/>
      <c r="J11" s="196"/>
      <c r="K11" s="196"/>
      <c r="L11" s="196"/>
      <c r="M11" s="196"/>
    </row>
    <row r="12" spans="2:13">
      <c r="B12" s="53"/>
      <c r="C12" s="349"/>
      <c r="D12" s="349"/>
      <c r="E12" s="194"/>
      <c r="F12" s="195"/>
      <c r="G12" s="196"/>
      <c r="H12" s="197"/>
      <c r="I12" s="197"/>
      <c r="J12" s="196"/>
      <c r="K12" s="196"/>
      <c r="L12" s="196"/>
      <c r="M12" s="196"/>
    </row>
    <row r="13" spans="2:13">
      <c r="B13" s="53"/>
      <c r="C13" s="349"/>
      <c r="D13" s="349"/>
      <c r="E13" s="194"/>
      <c r="F13" s="195"/>
      <c r="G13" s="196"/>
      <c r="H13" s="197"/>
      <c r="I13" s="197"/>
      <c r="J13" s="196"/>
      <c r="K13" s="196"/>
      <c r="L13" s="196"/>
      <c r="M13" s="196"/>
    </row>
    <row r="14" spans="2:13">
      <c r="B14" s="53"/>
      <c r="C14" s="349"/>
      <c r="D14" s="349"/>
      <c r="E14" s="194"/>
      <c r="F14" s="195"/>
      <c r="G14" s="196"/>
      <c r="H14" s="197"/>
      <c r="I14" s="197"/>
      <c r="J14" s="196"/>
      <c r="K14" s="196"/>
      <c r="L14" s="196"/>
      <c r="M14" s="196"/>
    </row>
    <row r="15" spans="2:13">
      <c r="B15" s="53"/>
      <c r="C15" s="349"/>
      <c r="D15" s="349"/>
      <c r="E15" s="194"/>
      <c r="F15" s="195"/>
      <c r="G15" s="196"/>
      <c r="H15" s="197"/>
      <c r="I15" s="197"/>
      <c r="J15" s="196"/>
      <c r="K15" s="196"/>
      <c r="L15" s="196"/>
      <c r="M15" s="196"/>
    </row>
    <row r="16" spans="2:13">
      <c r="B16" s="53"/>
      <c r="C16" s="349"/>
      <c r="D16" s="349"/>
      <c r="E16" s="194"/>
      <c r="F16" s="195"/>
      <c r="G16" s="196"/>
      <c r="H16" s="197"/>
      <c r="I16" s="197"/>
      <c r="J16" s="196"/>
      <c r="K16" s="196"/>
      <c r="L16" s="196"/>
      <c r="M16" s="196"/>
    </row>
    <row r="17" spans="2:13">
      <c r="B17" s="53"/>
      <c r="C17" s="349"/>
      <c r="D17" s="349"/>
      <c r="E17" s="194"/>
      <c r="F17" s="195"/>
      <c r="G17" s="196"/>
      <c r="H17" s="197"/>
      <c r="I17" s="197"/>
      <c r="J17" s="196"/>
      <c r="K17" s="196"/>
      <c r="L17" s="196"/>
      <c r="M17" s="196"/>
    </row>
    <row r="18" spans="2:13">
      <c r="B18" s="53"/>
      <c r="C18" s="349"/>
      <c r="D18" s="349"/>
      <c r="E18" s="194"/>
      <c r="F18" s="195"/>
      <c r="G18" s="196"/>
      <c r="H18" s="197"/>
      <c r="I18" s="197"/>
      <c r="J18" s="196"/>
      <c r="K18" s="196"/>
      <c r="L18" s="196"/>
      <c r="M18" s="196"/>
    </row>
    <row r="19" spans="2:13">
      <c r="B19" s="53"/>
      <c r="C19" s="349"/>
      <c r="D19" s="349"/>
      <c r="E19" s="194"/>
      <c r="F19" s="195"/>
      <c r="G19" s="196"/>
      <c r="H19" s="197"/>
      <c r="I19" s="197"/>
      <c r="J19" s="196"/>
      <c r="K19" s="196"/>
      <c r="L19" s="196"/>
      <c r="M19" s="196"/>
    </row>
    <row r="20" spans="2:13">
      <c r="B20" s="198" t="s">
        <v>68</v>
      </c>
      <c r="C20" s="199"/>
      <c r="D20" s="199"/>
      <c r="E20" s="200"/>
      <c r="F20" s="201"/>
      <c r="G20" s="202">
        <f>SUM(G9:G19)</f>
        <v>0</v>
      </c>
      <c r="H20" s="203"/>
      <c r="I20" s="203"/>
      <c r="J20" s="202">
        <f>SUM(J9:J19)</f>
        <v>0</v>
      </c>
      <c r="K20" s="202">
        <f>SUM(K9:K19)</f>
        <v>0</v>
      </c>
      <c r="L20" s="202">
        <f>SUM(L9:L19)</f>
        <v>0</v>
      </c>
      <c r="M20" s="202">
        <f>SUM(M9:M19)</f>
        <v>0</v>
      </c>
    </row>
    <row r="21" spans="2:13">
      <c r="B21" s="191" t="s">
        <v>69</v>
      </c>
      <c r="C21" s="204"/>
      <c r="D21" s="204"/>
      <c r="E21" s="205"/>
      <c r="F21" s="183"/>
      <c r="G21" s="183"/>
      <c r="H21" s="206"/>
      <c r="I21" s="206"/>
      <c r="J21" s="183"/>
      <c r="K21" s="183"/>
      <c r="L21" s="183"/>
      <c r="M21" s="183"/>
    </row>
    <row r="22" spans="2:13">
      <c r="B22" s="53" t="s">
        <v>1128</v>
      </c>
      <c r="C22" s="349"/>
      <c r="D22" s="349"/>
      <c r="E22" s="194"/>
      <c r="F22" s="195"/>
      <c r="G22" s="196"/>
      <c r="H22" s="197"/>
      <c r="I22" s="197"/>
      <c r="J22" s="196"/>
      <c r="K22" s="196"/>
      <c r="L22" s="196"/>
      <c r="M22" s="196"/>
    </row>
    <row r="23" spans="2:13">
      <c r="B23" s="53"/>
      <c r="C23" s="349"/>
      <c r="D23" s="349"/>
      <c r="E23" s="194"/>
      <c r="F23" s="195"/>
      <c r="G23" s="196"/>
      <c r="H23" s="197"/>
      <c r="I23" s="197"/>
      <c r="J23" s="196"/>
      <c r="K23" s="196"/>
      <c r="L23" s="196"/>
      <c r="M23" s="196"/>
    </row>
    <row r="24" spans="2:13">
      <c r="B24" s="53"/>
      <c r="C24" s="349"/>
      <c r="D24" s="349"/>
      <c r="E24" s="194"/>
      <c r="F24" s="195"/>
      <c r="G24" s="196"/>
      <c r="H24" s="197"/>
      <c r="I24" s="197"/>
      <c r="J24" s="196"/>
      <c r="K24" s="196"/>
      <c r="L24" s="196"/>
      <c r="M24" s="196"/>
    </row>
    <row r="25" spans="2:13">
      <c r="B25" s="53"/>
      <c r="C25" s="349"/>
      <c r="D25" s="349"/>
      <c r="E25" s="194"/>
      <c r="F25" s="195"/>
      <c r="G25" s="196"/>
      <c r="H25" s="197"/>
      <c r="I25" s="197"/>
      <c r="J25" s="196"/>
      <c r="K25" s="196"/>
      <c r="L25" s="196"/>
      <c r="M25" s="196"/>
    </row>
    <row r="26" spans="2:13">
      <c r="B26" s="53"/>
      <c r="C26" s="349"/>
      <c r="D26" s="349"/>
      <c r="E26" s="194"/>
      <c r="F26" s="195"/>
      <c r="G26" s="196"/>
      <c r="H26" s="197"/>
      <c r="I26" s="197"/>
      <c r="J26" s="196"/>
      <c r="K26" s="196"/>
      <c r="L26" s="196"/>
      <c r="M26" s="196"/>
    </row>
    <row r="27" spans="2:13">
      <c r="B27" s="53"/>
      <c r="C27" s="349"/>
      <c r="D27" s="349"/>
      <c r="E27" s="194"/>
      <c r="F27" s="195"/>
      <c r="G27" s="196"/>
      <c r="H27" s="197"/>
      <c r="I27" s="197"/>
      <c r="J27" s="196"/>
      <c r="K27" s="196"/>
      <c r="L27" s="196"/>
      <c r="M27" s="196"/>
    </row>
    <row r="28" spans="2:13">
      <c r="B28" s="53"/>
      <c r="C28" s="349"/>
      <c r="D28" s="349"/>
      <c r="E28" s="194"/>
      <c r="F28" s="195"/>
      <c r="G28" s="196"/>
      <c r="H28" s="197"/>
      <c r="I28" s="197"/>
      <c r="J28" s="196"/>
      <c r="K28" s="196"/>
      <c r="L28" s="196"/>
      <c r="M28" s="196"/>
    </row>
    <row r="29" spans="2:13">
      <c r="B29" s="53"/>
      <c r="C29" s="349"/>
      <c r="D29" s="349"/>
      <c r="E29" s="194"/>
      <c r="F29" s="195"/>
      <c r="G29" s="196"/>
      <c r="H29" s="197"/>
      <c r="I29" s="197"/>
      <c r="J29" s="196"/>
      <c r="K29" s="196"/>
      <c r="L29" s="196"/>
      <c r="M29" s="196"/>
    </row>
    <row r="30" spans="2:13">
      <c r="B30" s="53"/>
      <c r="C30" s="349"/>
      <c r="D30" s="349"/>
      <c r="E30" s="194"/>
      <c r="F30" s="195"/>
      <c r="G30" s="196"/>
      <c r="H30" s="197"/>
      <c r="I30" s="197"/>
      <c r="J30" s="196"/>
      <c r="K30" s="196"/>
      <c r="L30" s="196"/>
      <c r="M30" s="196"/>
    </row>
    <row r="31" spans="2:13">
      <c r="B31" s="53"/>
      <c r="C31" s="349"/>
      <c r="D31" s="349"/>
      <c r="E31" s="194"/>
      <c r="F31" s="195"/>
      <c r="G31" s="196"/>
      <c r="H31" s="197"/>
      <c r="I31" s="197"/>
      <c r="J31" s="196"/>
      <c r="K31" s="196"/>
      <c r="L31" s="196"/>
      <c r="M31" s="196"/>
    </row>
    <row r="32" spans="2:13">
      <c r="B32" s="198" t="s">
        <v>70</v>
      </c>
      <c r="C32" s="199"/>
      <c r="D32" s="199"/>
      <c r="E32" s="207"/>
      <c r="F32" s="201"/>
      <c r="G32" s="208">
        <f>SUM(G22:G31)</f>
        <v>0</v>
      </c>
      <c r="H32" s="203"/>
      <c r="I32" s="203"/>
      <c r="J32" s="208">
        <f>SUM(J22:J31)</f>
        <v>0</v>
      </c>
      <c r="K32" s="208">
        <f>SUM(K22:K31)</f>
        <v>0</v>
      </c>
      <c r="L32" s="202">
        <f>SUM(L22:L31)</f>
        <v>0</v>
      </c>
      <c r="M32" s="208">
        <f>SUM(M22:M31)</f>
        <v>0</v>
      </c>
    </row>
    <row r="33" spans="2:29">
      <c r="B33" s="191" t="s">
        <v>71</v>
      </c>
      <c r="C33" s="204"/>
      <c r="D33" s="204"/>
      <c r="E33" s="205"/>
      <c r="F33" s="183"/>
      <c r="G33" s="209"/>
      <c r="H33" s="206"/>
      <c r="I33" s="206"/>
      <c r="J33" s="183"/>
      <c r="K33" s="183"/>
      <c r="L33" s="183"/>
      <c r="M33" s="183"/>
    </row>
    <row r="34" spans="2:29">
      <c r="B34" s="53" t="s">
        <v>990</v>
      </c>
      <c r="C34" s="349"/>
      <c r="D34" s="349"/>
      <c r="E34" s="194"/>
      <c r="F34" s="195"/>
      <c r="G34" s="196"/>
      <c r="H34" s="197"/>
      <c r="I34" s="197"/>
      <c r="J34" s="196"/>
      <c r="K34" s="196"/>
      <c r="L34" s="196"/>
      <c r="M34" s="196"/>
    </row>
    <row r="35" spans="2:29">
      <c r="B35" s="53" t="s">
        <v>991</v>
      </c>
      <c r="C35" s="349">
        <v>38497</v>
      </c>
      <c r="D35" s="349">
        <v>45352</v>
      </c>
      <c r="E35" s="194">
        <v>2.91</v>
      </c>
      <c r="F35" s="195">
        <v>481860</v>
      </c>
      <c r="G35" s="196">
        <v>336539</v>
      </c>
      <c r="H35" s="197" t="s">
        <v>992</v>
      </c>
      <c r="I35" s="197" t="s">
        <v>992</v>
      </c>
      <c r="J35" s="196">
        <v>9637</v>
      </c>
      <c r="K35" s="196">
        <v>21641</v>
      </c>
      <c r="L35" s="196">
        <v>9003</v>
      </c>
      <c r="M35" s="196">
        <v>22275</v>
      </c>
    </row>
    <row r="36" spans="2:29">
      <c r="B36" s="53"/>
      <c r="C36" s="349"/>
      <c r="D36" s="349"/>
      <c r="E36" s="194"/>
      <c r="F36" s="195"/>
      <c r="G36" s="196"/>
      <c r="H36" s="197"/>
      <c r="I36" s="197"/>
      <c r="J36" s="196"/>
      <c r="K36" s="196"/>
      <c r="L36" s="196"/>
      <c r="M36" s="196"/>
    </row>
    <row r="37" spans="2:29">
      <c r="B37" s="53"/>
      <c r="C37" s="349"/>
      <c r="D37" s="349"/>
      <c r="E37" s="194"/>
      <c r="F37" s="195"/>
      <c r="G37" s="196"/>
      <c r="H37" s="197"/>
      <c r="I37" s="197"/>
      <c r="J37" s="196"/>
      <c r="K37" s="196"/>
      <c r="L37" s="196"/>
      <c r="M37" s="196"/>
    </row>
    <row r="38" spans="2:29">
      <c r="B38" s="53"/>
      <c r="C38" s="349"/>
      <c r="D38" s="349"/>
      <c r="E38" s="194"/>
      <c r="F38" s="195"/>
      <c r="G38" s="196"/>
      <c r="H38" s="197"/>
      <c r="I38" s="197"/>
      <c r="J38" s="196"/>
      <c r="K38" s="196"/>
      <c r="L38" s="196"/>
      <c r="M38" s="196"/>
    </row>
    <row r="39" spans="2:29">
      <c r="B39" s="53"/>
      <c r="C39" s="349"/>
      <c r="D39" s="349"/>
      <c r="E39" s="194"/>
      <c r="F39" s="195"/>
      <c r="G39" s="196"/>
      <c r="H39" s="197"/>
      <c r="I39" s="197"/>
      <c r="J39" s="196"/>
      <c r="K39" s="196"/>
      <c r="L39" s="196"/>
      <c r="M39" s="196"/>
    </row>
    <row r="40" spans="2:29">
      <c r="B40" s="53"/>
      <c r="C40" s="349"/>
      <c r="D40" s="349"/>
      <c r="E40" s="194"/>
      <c r="F40" s="195"/>
      <c r="G40" s="196"/>
      <c r="H40" s="197"/>
      <c r="I40" s="197"/>
      <c r="J40" s="196"/>
      <c r="K40" s="196"/>
      <c r="L40" s="196"/>
      <c r="M40" s="196"/>
    </row>
    <row r="41" spans="2:29">
      <c r="B41" s="53"/>
      <c r="C41" s="349"/>
      <c r="D41" s="349"/>
      <c r="E41" s="194"/>
      <c r="F41" s="195"/>
      <c r="G41" s="196"/>
      <c r="H41" s="197"/>
      <c r="I41" s="197"/>
      <c r="J41" s="196"/>
      <c r="K41" s="196"/>
      <c r="L41" s="196"/>
      <c r="M41" s="196"/>
      <c r="N41" s="8"/>
      <c r="O41" s="8"/>
      <c r="P41" s="8"/>
      <c r="Q41" s="8"/>
      <c r="R41" s="8"/>
      <c r="S41" s="8"/>
      <c r="T41" s="8"/>
      <c r="U41" s="8"/>
      <c r="V41" s="8"/>
      <c r="W41" s="8"/>
      <c r="X41" s="8"/>
      <c r="Y41" s="8"/>
      <c r="Z41" s="8"/>
      <c r="AA41" s="8"/>
      <c r="AB41" s="8"/>
      <c r="AC41" s="8"/>
    </row>
    <row r="42" spans="2:29">
      <c r="B42" s="198" t="s">
        <v>201</v>
      </c>
      <c r="C42" s="182"/>
      <c r="D42" s="182"/>
      <c r="E42" s="207"/>
      <c r="F42" s="201"/>
      <c r="G42" s="208">
        <f>SUM(G34:G41)</f>
        <v>336539</v>
      </c>
      <c r="H42" s="201"/>
      <c r="I42" s="201"/>
      <c r="J42" s="208">
        <f>SUM(J34:J41)</f>
        <v>9637</v>
      </c>
      <c r="K42" s="208">
        <f>SUM(K34:K41)</f>
        <v>21641</v>
      </c>
      <c r="L42" s="208">
        <f>SUM(L34:L41)</f>
        <v>9003</v>
      </c>
      <c r="M42" s="208">
        <f>SUM(M34:M41)</f>
        <v>22275</v>
      </c>
    </row>
    <row r="43" spans="2:29">
      <c r="B43" s="198" t="s">
        <v>72</v>
      </c>
      <c r="C43" s="182"/>
      <c r="D43" s="182"/>
      <c r="E43" s="182"/>
      <c r="F43" s="201"/>
      <c r="G43" s="208">
        <f>SUM(G20+G32+G42)</f>
        <v>336539</v>
      </c>
      <c r="H43" s="201"/>
      <c r="I43" s="201"/>
      <c r="J43" s="208">
        <f>SUM(J20+J32+J42)</f>
        <v>9637</v>
      </c>
      <c r="K43" s="208">
        <f>SUM(K20+K32+K42)</f>
        <v>21641</v>
      </c>
      <c r="L43" s="208">
        <f>SUM(L20+L32+L42)</f>
        <v>9003</v>
      </c>
      <c r="M43" s="208">
        <f>SUM(M20+M32+M42)</f>
        <v>22275</v>
      </c>
    </row>
    <row r="44" spans="2:29">
      <c r="B44" s="8"/>
      <c r="C44" s="8"/>
      <c r="D44" s="8"/>
      <c r="E44" s="8"/>
      <c r="F44" s="8"/>
      <c r="G44" s="8"/>
      <c r="H44" s="8"/>
      <c r="I44" s="8"/>
      <c r="J44" s="8"/>
      <c r="K44" s="8"/>
      <c r="L44" s="8"/>
      <c r="M44" s="8"/>
    </row>
    <row r="45" spans="2:29">
      <c r="F45" s="210"/>
      <c r="G45" s="210"/>
      <c r="J45" s="210"/>
      <c r="K45" s="210"/>
      <c r="L45" s="210"/>
      <c r="M45" s="210"/>
    </row>
    <row r="46" spans="2:29">
      <c r="F46" s="8"/>
      <c r="H46" s="211"/>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mergeCells count="3">
    <mergeCell ref="H6:I6"/>
    <mergeCell ref="J6:K6"/>
    <mergeCell ref="L6:M6"/>
  </mergeCells>
  <phoneticPr fontId="0" type="noConversion"/>
  <pageMargins left="0.25" right="0.25" top="1" bottom="0.5" header="0.5" footer="0.25"/>
  <pageSetup scale="81" orientation="landscape" blackAndWhite="1" horizontalDpi="120" verticalDpi="144" r:id="rId1"/>
  <headerFooter alignWithMargins="0">
    <oddHeader xml:space="preserve">&amp;RState of Kansas
City
</oddHeader>
    <oddFooter>&amp;CPage No. 5</oddFooter>
  </headerFooter>
</worksheet>
</file>

<file path=xl/worksheets/sheet13.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D10" sqref="D10"/>
    </sheetView>
  </sheetViews>
  <sheetFormatPr defaultRowHeight="15.75"/>
  <cols>
    <col min="1" max="1" width="10.77734375" style="23" customWidth="1"/>
    <col min="2" max="2" width="23.5546875" style="23" customWidth="1"/>
    <col min="3" max="5" width="9.77734375" style="23" customWidth="1"/>
    <col min="6" max="6" width="18.33203125" style="23" customWidth="1"/>
    <col min="7" max="9" width="15.77734375" style="23" customWidth="1"/>
    <col min="10" max="16384" width="8.88671875" style="23"/>
  </cols>
  <sheetData>
    <row r="1" spans="2:9">
      <c r="B1" s="151" t="str">
        <f>inputPrYr!$D$2</f>
        <v>City of St.Francis</v>
      </c>
      <c r="C1" s="22"/>
      <c r="D1" s="22"/>
      <c r="E1" s="22"/>
      <c r="F1" s="22"/>
      <c r="G1" s="22"/>
      <c r="H1" s="22"/>
      <c r="I1" s="212">
        <f>inputPrYr!$C$5</f>
        <v>2013</v>
      </c>
    </row>
    <row r="2" spans="2:9">
      <c r="B2" s="151"/>
      <c r="C2" s="22"/>
      <c r="D2" s="22"/>
      <c r="E2" s="22"/>
      <c r="F2" s="22"/>
      <c r="G2" s="22"/>
      <c r="H2" s="22"/>
      <c r="I2" s="147"/>
    </row>
    <row r="3" spans="2:9">
      <c r="B3" s="22"/>
      <c r="C3" s="22"/>
      <c r="D3" s="22"/>
      <c r="E3" s="22"/>
      <c r="F3" s="22"/>
      <c r="G3" s="22"/>
      <c r="H3" s="22"/>
      <c r="I3" s="119"/>
    </row>
    <row r="4" spans="2:9">
      <c r="B4" s="186" t="s">
        <v>86</v>
      </c>
      <c r="C4" s="33"/>
      <c r="D4" s="33"/>
      <c r="E4" s="33"/>
      <c r="F4" s="33"/>
      <c r="G4" s="33"/>
      <c r="H4" s="33"/>
      <c r="I4" s="33"/>
    </row>
    <row r="5" spans="2:9">
      <c r="B5" s="55"/>
      <c r="C5" s="187"/>
      <c r="D5" s="187"/>
      <c r="E5" s="187"/>
      <c r="F5" s="187"/>
      <c r="G5" s="187"/>
      <c r="H5" s="187"/>
      <c r="I5" s="187"/>
    </row>
    <row r="6" spans="2:9">
      <c r="B6" s="133"/>
      <c r="C6" s="133"/>
      <c r="D6" s="133"/>
      <c r="E6" s="133"/>
      <c r="F6" s="166" t="s">
        <v>335</v>
      </c>
      <c r="G6" s="133"/>
      <c r="H6" s="133"/>
      <c r="I6" s="133"/>
    </row>
    <row r="7" spans="2:9">
      <c r="B7" s="134"/>
      <c r="C7" s="127"/>
      <c r="D7" s="127" t="s">
        <v>73</v>
      </c>
      <c r="E7" s="127" t="s">
        <v>74</v>
      </c>
      <c r="F7" s="127" t="s">
        <v>17</v>
      </c>
      <c r="G7" s="127" t="s">
        <v>76</v>
      </c>
      <c r="H7" s="127" t="s">
        <v>77</v>
      </c>
      <c r="I7" s="127" t="s">
        <v>77</v>
      </c>
    </row>
    <row r="8" spans="2:9">
      <c r="B8" s="134"/>
      <c r="C8" s="127" t="s">
        <v>78</v>
      </c>
      <c r="D8" s="127" t="s">
        <v>79</v>
      </c>
      <c r="E8" s="127" t="s">
        <v>63</v>
      </c>
      <c r="F8" s="127" t="s">
        <v>80</v>
      </c>
      <c r="G8" s="127" t="s">
        <v>126</v>
      </c>
      <c r="H8" s="127" t="s">
        <v>81</v>
      </c>
      <c r="I8" s="127" t="s">
        <v>81</v>
      </c>
    </row>
    <row r="9" spans="2:9">
      <c r="B9" s="130" t="s">
        <v>82</v>
      </c>
      <c r="C9" s="130" t="s">
        <v>60</v>
      </c>
      <c r="D9" s="213" t="s">
        <v>83</v>
      </c>
      <c r="E9" s="130" t="s">
        <v>40</v>
      </c>
      <c r="F9" s="213" t="s">
        <v>150</v>
      </c>
      <c r="G9" s="214" t="str">
        <f>CONCATENATE("Jan 1 ",I1-1,"")</f>
        <v>Jan 1 2012</v>
      </c>
      <c r="H9" s="130">
        <f>I1-1</f>
        <v>2012</v>
      </c>
      <c r="I9" s="130">
        <f>I1</f>
        <v>2013</v>
      </c>
    </row>
    <row r="10" spans="2:9">
      <c r="B10" s="53" t="s">
        <v>1126</v>
      </c>
      <c r="C10" s="349">
        <v>40556</v>
      </c>
      <c r="D10" s="216">
        <v>48</v>
      </c>
      <c r="E10" s="194">
        <v>3.25</v>
      </c>
      <c r="F10" s="195">
        <v>97000</v>
      </c>
      <c r="G10" s="195">
        <v>43500</v>
      </c>
      <c r="H10" s="195">
        <v>12500</v>
      </c>
      <c r="I10" s="195">
        <v>12500</v>
      </c>
    </row>
    <row r="11" spans="2:9">
      <c r="B11" s="53"/>
      <c r="C11" s="215"/>
      <c r="D11" s="216"/>
      <c r="E11" s="194"/>
      <c r="F11" s="195"/>
      <c r="G11" s="195"/>
      <c r="H11" s="195"/>
      <c r="I11" s="195"/>
    </row>
    <row r="12" spans="2:9">
      <c r="B12" s="53"/>
      <c r="C12" s="215"/>
      <c r="D12" s="216"/>
      <c r="E12" s="194"/>
      <c r="F12" s="195"/>
      <c r="G12" s="195"/>
      <c r="H12" s="195"/>
      <c r="I12" s="195"/>
    </row>
    <row r="13" spans="2:9">
      <c r="B13" s="53"/>
      <c r="C13" s="215"/>
      <c r="D13" s="216"/>
      <c r="E13" s="194"/>
      <c r="F13" s="195"/>
      <c r="G13" s="195"/>
      <c r="H13" s="195"/>
      <c r="I13" s="195"/>
    </row>
    <row r="14" spans="2:9">
      <c r="B14" s="53"/>
      <c r="C14" s="349"/>
      <c r="D14" s="216"/>
      <c r="E14" s="194"/>
      <c r="F14" s="195"/>
      <c r="G14" s="195"/>
      <c r="H14" s="195"/>
      <c r="I14" s="195"/>
    </row>
    <row r="15" spans="2:9">
      <c r="B15" s="53"/>
      <c r="C15" s="215"/>
      <c r="D15" s="216"/>
      <c r="E15" s="194"/>
      <c r="F15" s="195"/>
      <c r="G15" s="195"/>
      <c r="H15" s="195"/>
      <c r="I15" s="195"/>
    </row>
    <row r="16" spans="2:9">
      <c r="B16" s="53"/>
      <c r="C16" s="215"/>
      <c r="D16" s="216"/>
      <c r="E16" s="194"/>
      <c r="F16" s="195"/>
      <c r="G16" s="195"/>
      <c r="H16" s="195"/>
      <c r="I16" s="195"/>
    </row>
    <row r="17" spans="2:9">
      <c r="B17" s="53"/>
      <c r="C17" s="215"/>
      <c r="D17" s="216"/>
      <c r="E17" s="194"/>
      <c r="F17" s="195"/>
      <c r="G17" s="195"/>
      <c r="H17" s="195"/>
      <c r="I17" s="195"/>
    </row>
    <row r="18" spans="2:9">
      <c r="B18" s="53"/>
      <c r="C18" s="215"/>
      <c r="D18" s="216"/>
      <c r="E18" s="194"/>
      <c r="F18" s="195"/>
      <c r="G18" s="195"/>
      <c r="H18" s="195"/>
      <c r="I18" s="195"/>
    </row>
    <row r="19" spans="2:9">
      <c r="B19" s="53"/>
      <c r="C19" s="215"/>
      <c r="D19" s="216"/>
      <c r="E19" s="194"/>
      <c r="F19" s="195"/>
      <c r="G19" s="195"/>
      <c r="H19" s="195"/>
      <c r="I19" s="195"/>
    </row>
    <row r="20" spans="2:9">
      <c r="B20" s="53"/>
      <c r="C20" s="215"/>
      <c r="D20" s="216"/>
      <c r="E20" s="194"/>
      <c r="F20" s="195"/>
      <c r="G20" s="195"/>
      <c r="H20" s="195"/>
      <c r="I20" s="195"/>
    </row>
    <row r="21" spans="2:9">
      <c r="B21" s="53"/>
      <c r="C21" s="215"/>
      <c r="D21" s="216"/>
      <c r="E21" s="194"/>
      <c r="F21" s="195"/>
      <c r="G21" s="195"/>
      <c r="H21" s="195"/>
      <c r="I21" s="195"/>
    </row>
    <row r="22" spans="2:9">
      <c r="B22" s="53"/>
      <c r="C22" s="215"/>
      <c r="D22" s="216"/>
      <c r="E22" s="194"/>
      <c r="F22" s="195"/>
      <c r="G22" s="195"/>
      <c r="H22" s="195"/>
      <c r="I22" s="195"/>
    </row>
    <row r="23" spans="2:9">
      <c r="B23" s="53"/>
      <c r="C23" s="215"/>
      <c r="D23" s="216"/>
      <c r="E23" s="194"/>
      <c r="F23" s="195"/>
      <c r="G23" s="195"/>
      <c r="H23" s="195"/>
      <c r="I23" s="195"/>
    </row>
    <row r="24" spans="2:9">
      <c r="B24" s="53"/>
      <c r="C24" s="215"/>
      <c r="D24" s="216"/>
      <c r="E24" s="194"/>
      <c r="F24" s="195"/>
      <c r="G24" s="195"/>
      <c r="H24" s="195"/>
      <c r="I24" s="195"/>
    </row>
    <row r="25" spans="2:9">
      <c r="B25" s="53"/>
      <c r="C25" s="215"/>
      <c r="D25" s="216"/>
      <c r="E25" s="194"/>
      <c r="F25" s="195"/>
      <c r="G25" s="195"/>
      <c r="H25" s="195"/>
      <c r="I25" s="195"/>
    </row>
    <row r="26" spans="2:9">
      <c r="B26" s="53"/>
      <c r="C26" s="215"/>
      <c r="D26" s="216"/>
      <c r="E26" s="194"/>
      <c r="F26" s="195"/>
      <c r="G26" s="195"/>
      <c r="H26" s="195"/>
      <c r="I26" s="195"/>
    </row>
    <row r="27" spans="2:9">
      <c r="B27" s="53"/>
      <c r="C27" s="215"/>
      <c r="D27" s="216"/>
      <c r="E27" s="194"/>
      <c r="F27" s="195"/>
      <c r="G27" s="195"/>
      <c r="H27" s="195"/>
      <c r="I27" s="195"/>
    </row>
    <row r="28" spans="2:9" ht="16.5" thickBot="1">
      <c r="B28" s="217" t="s">
        <v>12</v>
      </c>
      <c r="C28" s="150"/>
      <c r="D28" s="150"/>
      <c r="E28" s="150"/>
      <c r="F28" s="150"/>
      <c r="G28" s="218">
        <f>SUM(G10:G27)</f>
        <v>43500</v>
      </c>
      <c r="H28" s="218">
        <f>SUM(H10:H27)</f>
        <v>12500</v>
      </c>
      <c r="I28" s="218">
        <f>SUM(I10:I27)</f>
        <v>12500</v>
      </c>
    </row>
    <row r="29" spans="2:9" ht="16.5" thickTop="1">
      <c r="B29" s="22"/>
      <c r="C29" s="22"/>
      <c r="D29" s="22"/>
      <c r="E29" s="22"/>
      <c r="F29" s="22"/>
      <c r="G29" s="22"/>
      <c r="H29" s="151"/>
      <c r="I29" s="151"/>
    </row>
    <row r="30" spans="2:9">
      <c r="B30" s="219" t="s">
        <v>279</v>
      </c>
      <c r="C30" s="220"/>
      <c r="D30" s="220"/>
      <c r="E30" s="220"/>
      <c r="F30" s="220"/>
      <c r="G30" s="220"/>
      <c r="H30" s="151"/>
      <c r="I30" s="151"/>
    </row>
  </sheetData>
  <phoneticPr fontId="0" type="noConversion"/>
  <pageMargins left="0.25" right="0.25" top="1" bottom="0.5" header="0.5" footer="0.5"/>
  <pageSetup scale="91" orientation="landscape" blackAndWhite="1" horizontalDpi="120" verticalDpi="144" r:id="rId1"/>
  <headerFooter alignWithMargins="0">
    <oddHeader xml:space="preserve">&amp;RState of Kansas
City
</oddHeader>
    <oddFooter>&amp;CPage No. 6</oddFooter>
  </headerFooter>
</worksheet>
</file>

<file path=xl/worksheets/sheet14.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E31" sqref="E31"/>
    </sheetView>
  </sheetViews>
  <sheetFormatPr defaultRowHeight="15"/>
  <cols>
    <col min="1" max="1" width="2.5546875" style="571" customWidth="1"/>
    <col min="2" max="4" width="8.88671875" style="571"/>
    <col min="5" max="5" width="9.6640625" style="571" customWidth="1"/>
    <col min="6" max="6" width="8.88671875" style="571"/>
    <col min="7" max="7" width="9.6640625" style="571" customWidth="1"/>
    <col min="8" max="16384" width="8.88671875" style="571"/>
  </cols>
  <sheetData>
    <row r="1" spans="2:9" ht="15.75">
      <c r="B1" s="570"/>
      <c r="C1" s="570"/>
      <c r="D1" s="570"/>
      <c r="E1" s="570"/>
      <c r="F1" s="570"/>
      <c r="G1" s="570"/>
      <c r="H1" s="570"/>
      <c r="I1" s="570"/>
    </row>
    <row r="2" spans="2:9" ht="15.75">
      <c r="B2" s="743" t="s">
        <v>815</v>
      </c>
      <c r="C2" s="743"/>
      <c r="D2" s="743"/>
      <c r="E2" s="743"/>
      <c r="F2" s="743"/>
      <c r="G2" s="743"/>
      <c r="H2" s="743"/>
      <c r="I2" s="743"/>
    </row>
    <row r="3" spans="2:9" ht="15.75">
      <c r="B3" s="743" t="s">
        <v>816</v>
      </c>
      <c r="C3" s="743"/>
      <c r="D3" s="743"/>
      <c r="E3" s="743"/>
      <c r="F3" s="743"/>
      <c r="G3" s="743"/>
      <c r="H3" s="743"/>
      <c r="I3" s="743"/>
    </row>
    <row r="4" spans="2:9" ht="15.75">
      <c r="B4" s="572"/>
      <c r="C4" s="572"/>
      <c r="D4" s="572"/>
      <c r="E4" s="572"/>
      <c r="F4" s="572"/>
      <c r="G4" s="572"/>
      <c r="H4" s="572"/>
      <c r="I4" s="572"/>
    </row>
    <row r="5" spans="2:9" ht="15.75">
      <c r="B5" s="744" t="str">
        <f>CONCATENATE("Budgeted Year: ",inputPrYr!C5,"")</f>
        <v>Budgeted Year: 2013</v>
      </c>
      <c r="C5" s="744"/>
      <c r="D5" s="744"/>
      <c r="E5" s="744"/>
      <c r="F5" s="744"/>
      <c r="G5" s="744"/>
      <c r="H5" s="744"/>
      <c r="I5" s="744"/>
    </row>
    <row r="6" spans="2:9" ht="15.75">
      <c r="B6" s="573"/>
      <c r="C6" s="572"/>
      <c r="D6" s="572"/>
      <c r="E6" s="572"/>
      <c r="F6" s="572"/>
      <c r="G6" s="572"/>
      <c r="H6" s="572"/>
      <c r="I6" s="572"/>
    </row>
    <row r="7" spans="2:9" ht="15.75">
      <c r="B7" s="573" t="str">
        <f>CONCATENATE("Library found in: ",inputPrYr!D2,"")</f>
        <v>Library found in: City of St.Francis</v>
      </c>
      <c r="C7" s="572"/>
      <c r="D7" s="572"/>
      <c r="E7" s="572"/>
      <c r="F7" s="572"/>
      <c r="G7" s="572"/>
      <c r="H7" s="572"/>
      <c r="I7" s="572"/>
    </row>
    <row r="8" spans="2:9" ht="15.75">
      <c r="B8" s="573" t="str">
        <f>inputPrYr!D3</f>
        <v>Cheyenne County</v>
      </c>
      <c r="C8" s="572"/>
      <c r="D8" s="572"/>
      <c r="E8" s="572"/>
      <c r="F8" s="572"/>
      <c r="G8" s="572"/>
      <c r="H8" s="572"/>
      <c r="I8" s="572"/>
    </row>
    <row r="9" spans="2:9" ht="15.75">
      <c r="B9" s="572"/>
      <c r="C9" s="572"/>
      <c r="D9" s="572"/>
      <c r="E9" s="572"/>
      <c r="F9" s="572"/>
      <c r="G9" s="572"/>
      <c r="H9" s="572"/>
      <c r="I9" s="572"/>
    </row>
    <row r="10" spans="2:9" ht="39" customHeight="1">
      <c r="B10" s="745" t="s">
        <v>817</v>
      </c>
      <c r="C10" s="745"/>
      <c r="D10" s="745"/>
      <c r="E10" s="745"/>
      <c r="F10" s="745"/>
      <c r="G10" s="745"/>
      <c r="H10" s="745"/>
      <c r="I10" s="745"/>
    </row>
    <row r="11" spans="2:9" ht="15.75">
      <c r="B11" s="572"/>
      <c r="C11" s="572"/>
      <c r="D11" s="572"/>
      <c r="E11" s="572"/>
      <c r="F11" s="572"/>
      <c r="G11" s="572"/>
      <c r="H11" s="572"/>
      <c r="I11" s="572"/>
    </row>
    <row r="12" spans="2:9" ht="15.75">
      <c r="B12" s="574" t="s">
        <v>818</v>
      </c>
      <c r="C12" s="572"/>
      <c r="D12" s="572"/>
      <c r="E12" s="572"/>
      <c r="F12" s="572"/>
      <c r="G12" s="572"/>
      <c r="H12" s="572"/>
      <c r="I12" s="572"/>
    </row>
    <row r="13" spans="2:9" ht="15.75">
      <c r="B13" s="572"/>
      <c r="C13" s="572"/>
      <c r="D13" s="572"/>
      <c r="E13" s="575" t="s">
        <v>809</v>
      </c>
      <c r="F13" s="572"/>
      <c r="G13" s="575" t="s">
        <v>819</v>
      </c>
      <c r="H13" s="572"/>
      <c r="I13" s="572"/>
    </row>
    <row r="14" spans="2:9" ht="15.75">
      <c r="B14" s="572"/>
      <c r="C14" s="572"/>
      <c r="D14" s="572"/>
      <c r="E14" s="576">
        <f>inputPrYr!C5-1</f>
        <v>2012</v>
      </c>
      <c r="F14" s="572"/>
      <c r="G14" s="576">
        <f>inputPrYr!C5</f>
        <v>2013</v>
      </c>
      <c r="H14" s="572"/>
      <c r="I14" s="572"/>
    </row>
    <row r="15" spans="2:9" ht="15.75">
      <c r="B15" s="573" t="str">
        <f>'DebtSvs-Library'!B7</f>
        <v>Ad Valorem Tax</v>
      </c>
      <c r="C15" s="572"/>
      <c r="D15" s="572"/>
      <c r="E15" s="577">
        <f>'DebtSvs-Library'!D7</f>
        <v>26602</v>
      </c>
      <c r="F15" s="572"/>
      <c r="G15" s="577">
        <f>'DebtSvs-Library'!E28</f>
        <v>26380</v>
      </c>
      <c r="H15" s="572"/>
      <c r="I15" s="572"/>
    </row>
    <row r="16" spans="2:9" ht="15.75">
      <c r="B16" s="573" t="str">
        <f>'DebtSvs-Library'!B8</f>
        <v>Delinquent Tax</v>
      </c>
      <c r="C16" s="572"/>
      <c r="D16" s="572"/>
      <c r="E16" s="577">
        <f>'DebtSvs-Library'!D8</f>
        <v>0</v>
      </c>
      <c r="F16" s="572"/>
      <c r="G16" s="577">
        <f>'DebtSvs-Library'!E8</f>
        <v>300</v>
      </c>
      <c r="H16" s="572"/>
      <c r="I16" s="572"/>
    </row>
    <row r="17" spans="2:9" ht="15.75">
      <c r="B17" s="573" t="str">
        <f>'DebtSvs-Library'!B9</f>
        <v>Motor Vehicle Tax</v>
      </c>
      <c r="C17" s="572"/>
      <c r="D17" s="572"/>
      <c r="E17" s="577">
        <f>'DebtSvs-Library'!D9</f>
        <v>5616</v>
      </c>
      <c r="F17" s="572"/>
      <c r="G17" s="577">
        <f>'DebtSvs-Library'!E9</f>
        <v>5774</v>
      </c>
      <c r="H17" s="572"/>
      <c r="I17" s="572"/>
    </row>
    <row r="18" spans="2:9" ht="15.75">
      <c r="B18" s="573" t="str">
        <f>'DebtSvs-Library'!B10</f>
        <v>Recreational Vehicle Tax</v>
      </c>
      <c r="C18" s="572"/>
      <c r="D18" s="572"/>
      <c r="E18" s="577">
        <f>'DebtSvs-Library'!D10</f>
        <v>159</v>
      </c>
      <c r="F18" s="572"/>
      <c r="G18" s="577">
        <f>'DebtSvs-Library'!E10</f>
        <v>132</v>
      </c>
      <c r="H18" s="572"/>
      <c r="I18" s="572"/>
    </row>
    <row r="19" spans="2:9" ht="15.75">
      <c r="B19" s="573" t="str">
        <f>'DebtSvs-Library'!B11</f>
        <v>16/20M Vehicle Tax</v>
      </c>
      <c r="C19" s="572"/>
      <c r="D19" s="572"/>
      <c r="E19" s="577">
        <f>'DebtSvs-Library'!D11</f>
        <v>178</v>
      </c>
      <c r="F19" s="572"/>
      <c r="G19" s="577">
        <f>'DebtSvs-Library'!E11</f>
        <v>143</v>
      </c>
      <c r="H19" s="572"/>
      <c r="I19" s="572"/>
    </row>
    <row r="20" spans="2:9" ht="15.75">
      <c r="B20" s="572" t="s">
        <v>169</v>
      </c>
      <c r="C20" s="572"/>
      <c r="D20" s="572"/>
      <c r="E20" s="577">
        <v>0</v>
      </c>
      <c r="F20" s="572"/>
      <c r="G20" s="577">
        <v>0</v>
      </c>
      <c r="H20" s="572"/>
      <c r="I20" s="572"/>
    </row>
    <row r="21" spans="2:9" ht="15.75">
      <c r="B21" s="572"/>
      <c r="C21" s="572"/>
      <c r="D21" s="572"/>
      <c r="E21" s="577">
        <v>0</v>
      </c>
      <c r="F21" s="572"/>
      <c r="G21" s="577">
        <v>0</v>
      </c>
      <c r="H21" s="572"/>
      <c r="I21" s="572"/>
    </row>
    <row r="22" spans="2:9" ht="15.75">
      <c r="B22" s="572" t="s">
        <v>820</v>
      </c>
      <c r="C22" s="572"/>
      <c r="D22" s="572"/>
      <c r="E22" s="578">
        <f>SUM(E15:E21)</f>
        <v>32555</v>
      </c>
      <c r="F22" s="572"/>
      <c r="G22" s="578">
        <f>SUM(G15:G21)</f>
        <v>32729</v>
      </c>
      <c r="H22" s="572"/>
      <c r="I22" s="572"/>
    </row>
    <row r="23" spans="2:9" ht="15.75">
      <c r="B23" s="572" t="s">
        <v>821</v>
      </c>
      <c r="C23" s="572"/>
      <c r="D23" s="572"/>
      <c r="E23" s="579">
        <f>G22-E22</f>
        <v>174</v>
      </c>
      <c r="F23" s="572"/>
      <c r="G23" s="580"/>
      <c r="H23" s="572"/>
      <c r="I23" s="572"/>
    </row>
    <row r="24" spans="2:9" ht="15.75">
      <c r="B24" s="572" t="s">
        <v>822</v>
      </c>
      <c r="C24" s="572"/>
      <c r="D24" s="581" t="str">
        <f>IF((G22-E22)&gt;0,"Qualify","Not Qualify")</f>
        <v>Qualify</v>
      </c>
      <c r="E24" s="572"/>
      <c r="F24" s="572"/>
      <c r="G24" s="572"/>
      <c r="H24" s="572"/>
      <c r="I24" s="572"/>
    </row>
    <row r="25" spans="2:9" ht="15.75">
      <c r="B25" s="572"/>
      <c r="C25" s="572"/>
      <c r="D25" s="572"/>
      <c r="E25" s="572"/>
      <c r="F25" s="572"/>
      <c r="G25" s="572"/>
      <c r="H25" s="572"/>
      <c r="I25" s="572"/>
    </row>
    <row r="26" spans="2:9" ht="15.75">
      <c r="B26" s="574" t="s">
        <v>823</v>
      </c>
      <c r="C26" s="572"/>
      <c r="D26" s="572"/>
      <c r="E26" s="572"/>
      <c r="F26" s="572"/>
      <c r="G26" s="572"/>
      <c r="H26" s="572"/>
      <c r="I26" s="572"/>
    </row>
    <row r="27" spans="2:9" ht="15.75">
      <c r="B27" s="572" t="s">
        <v>824</v>
      </c>
      <c r="C27" s="572"/>
      <c r="D27" s="572"/>
      <c r="E27" s="577">
        <f>summ!D33</f>
        <v>6725989</v>
      </c>
      <c r="F27" s="572"/>
      <c r="G27" s="577">
        <f>summ!F33</f>
        <v>6596051</v>
      </c>
      <c r="H27" s="572"/>
      <c r="I27" s="572"/>
    </row>
    <row r="28" spans="2:9" ht="15.75">
      <c r="B28" s="572" t="s">
        <v>825</v>
      </c>
      <c r="C28" s="572"/>
      <c r="D28" s="572"/>
      <c r="E28" s="582" t="str">
        <f>IF(G27-E27&gt;0,"No","Yes")</f>
        <v>Yes</v>
      </c>
      <c r="F28" s="572"/>
      <c r="G28" s="572"/>
      <c r="H28" s="572"/>
      <c r="I28" s="572"/>
    </row>
    <row r="29" spans="2:9" ht="15.75">
      <c r="B29" s="572" t="s">
        <v>826</v>
      </c>
      <c r="C29" s="572"/>
      <c r="D29" s="572"/>
      <c r="E29" s="575">
        <f>summ!E17</f>
        <v>3.9569999999999999</v>
      </c>
      <c r="F29" s="572"/>
      <c r="G29" s="590">
        <f>summ!H17</f>
        <v>3.9990000000000001</v>
      </c>
      <c r="H29" s="572"/>
      <c r="I29" s="572"/>
    </row>
    <row r="30" spans="2:9" ht="15.75">
      <c r="B30" s="572" t="s">
        <v>827</v>
      </c>
      <c r="C30" s="572"/>
      <c r="D30" s="572"/>
      <c r="E30" s="591">
        <f>G29-E29</f>
        <v>4.2000000000000259E-2</v>
      </c>
      <c r="F30" s="572"/>
      <c r="G30" s="572"/>
      <c r="H30" s="572"/>
      <c r="I30" s="572"/>
    </row>
    <row r="31" spans="2:9" ht="15.75">
      <c r="B31" s="572" t="s">
        <v>822</v>
      </c>
      <c r="C31" s="572"/>
      <c r="D31" s="583" t="str">
        <f>IF(E30&gt;=0,"Qualify","Not Qualify")</f>
        <v>Qualify</v>
      </c>
      <c r="E31" s="572"/>
      <c r="F31" s="572"/>
      <c r="G31" s="572"/>
      <c r="H31" s="572"/>
      <c r="I31" s="572"/>
    </row>
    <row r="32" spans="2:9" ht="15.75">
      <c r="B32" s="572"/>
      <c r="C32" s="572"/>
      <c r="D32" s="572"/>
      <c r="E32" s="572"/>
      <c r="F32" s="572"/>
      <c r="G32" s="572"/>
      <c r="H32" s="572"/>
      <c r="I32" s="572"/>
    </row>
    <row r="33" spans="2:9" ht="15.75">
      <c r="B33" s="572" t="s">
        <v>828</v>
      </c>
      <c r="C33" s="572"/>
      <c r="D33" s="572"/>
      <c r="E33" s="572"/>
      <c r="F33" s="592" t="str">
        <f>IF(D24="Not Qualify",IF(D31="Not Qualify",IF(D31="Not Qualify","Not Qualify","Qualify"),"Qualify"),"Qualify")</f>
        <v>Qualify</v>
      </c>
      <c r="G33" s="572"/>
      <c r="H33" s="572"/>
      <c r="I33" s="572"/>
    </row>
    <row r="34" spans="2:9" ht="15.75">
      <c r="B34" s="572"/>
      <c r="C34" s="572"/>
      <c r="D34" s="572"/>
      <c r="E34" s="572"/>
      <c r="F34" s="572"/>
      <c r="G34" s="572"/>
      <c r="H34" s="572"/>
      <c r="I34" s="572"/>
    </row>
    <row r="35" spans="2:9" ht="15.75">
      <c r="B35" s="572"/>
      <c r="C35" s="572"/>
      <c r="D35" s="572"/>
      <c r="E35" s="572"/>
      <c r="F35" s="572"/>
      <c r="G35" s="572"/>
      <c r="H35" s="572"/>
      <c r="I35" s="572"/>
    </row>
    <row r="36" spans="2:9" ht="37.5" customHeight="1">
      <c r="B36" s="745" t="s">
        <v>829</v>
      </c>
      <c r="C36" s="745"/>
      <c r="D36" s="745"/>
      <c r="E36" s="745"/>
      <c r="F36" s="745"/>
      <c r="G36" s="745"/>
      <c r="H36" s="745"/>
      <c r="I36" s="745"/>
    </row>
    <row r="37" spans="2:9" ht="15.75">
      <c r="B37" s="572"/>
      <c r="C37" s="572"/>
      <c r="D37" s="572"/>
      <c r="E37" s="572"/>
      <c r="F37" s="572"/>
      <c r="G37" s="572"/>
      <c r="H37" s="572"/>
      <c r="I37" s="572"/>
    </row>
    <row r="38" spans="2:9" ht="15.75">
      <c r="B38" s="572"/>
      <c r="C38" s="572"/>
      <c r="D38" s="572"/>
      <c r="E38" s="572"/>
      <c r="F38" s="572"/>
      <c r="G38" s="572"/>
      <c r="H38" s="572"/>
      <c r="I38" s="572"/>
    </row>
    <row r="39" spans="2:9" ht="15.75">
      <c r="B39" s="572"/>
      <c r="C39" s="572"/>
      <c r="D39" s="572"/>
      <c r="E39" s="572"/>
      <c r="F39" s="572"/>
      <c r="G39" s="572"/>
      <c r="H39" s="572"/>
      <c r="I39" s="572"/>
    </row>
    <row r="40" spans="2:9" ht="15.75">
      <c r="B40" s="572"/>
      <c r="C40" s="572"/>
      <c r="D40" s="572"/>
      <c r="E40" s="589" t="s">
        <v>33</v>
      </c>
      <c r="F40" s="588">
        <v>7</v>
      </c>
      <c r="G40" s="572"/>
      <c r="H40" s="572"/>
      <c r="I40" s="572"/>
    </row>
    <row r="41" spans="2:9" ht="15.75">
      <c r="B41" s="572"/>
      <c r="C41" s="572"/>
      <c r="D41" s="572"/>
      <c r="E41" s="572"/>
      <c r="F41" s="572"/>
      <c r="G41" s="572"/>
      <c r="H41" s="572"/>
      <c r="I41" s="572"/>
    </row>
    <row r="42" spans="2:9" ht="15.75">
      <c r="B42" s="572"/>
      <c r="C42" s="572"/>
      <c r="D42" s="572"/>
      <c r="E42" s="572"/>
      <c r="F42" s="572"/>
      <c r="G42" s="572"/>
      <c r="H42" s="572"/>
      <c r="I42" s="572"/>
    </row>
    <row r="43" spans="2:9" ht="15.75">
      <c r="B43" s="741" t="s">
        <v>830</v>
      </c>
      <c r="C43" s="742"/>
      <c r="D43" s="742"/>
      <c r="E43" s="742"/>
      <c r="F43" s="742"/>
      <c r="G43" s="742"/>
      <c r="H43" s="742"/>
      <c r="I43" s="742"/>
    </row>
    <row r="44" spans="2:9" ht="15.75">
      <c r="B44" s="572"/>
      <c r="C44" s="572"/>
      <c r="D44" s="572"/>
      <c r="E44" s="572"/>
      <c r="F44" s="572"/>
      <c r="G44" s="572"/>
      <c r="H44" s="572"/>
      <c r="I44" s="572"/>
    </row>
    <row r="45" spans="2:9" ht="15.75">
      <c r="B45" s="584" t="s">
        <v>831</v>
      </c>
      <c r="C45" s="572"/>
      <c r="D45" s="572"/>
      <c r="E45" s="572"/>
      <c r="F45" s="572"/>
      <c r="G45" s="572"/>
      <c r="H45" s="572"/>
      <c r="I45" s="572"/>
    </row>
    <row r="46" spans="2:9" ht="15.75">
      <c r="B46" s="584" t="str">
        <f>CONCATENATE("sources in your ",G14," library fund is not equal to or greater than the amount from the same")</f>
        <v>sources in your 2013 library fund is not equal to or greater than the amount from the same</v>
      </c>
      <c r="C46" s="572"/>
      <c r="D46" s="572"/>
      <c r="E46" s="572"/>
      <c r="F46" s="572"/>
      <c r="G46" s="572"/>
      <c r="H46" s="572"/>
      <c r="I46" s="572"/>
    </row>
    <row r="47" spans="2:9" ht="15.75">
      <c r="B47" s="584" t="str">
        <f>CONCATENATE("sources in ",E14,".")</f>
        <v>sources in 2012.</v>
      </c>
      <c r="C47" s="570"/>
      <c r="D47" s="570"/>
      <c r="E47" s="570"/>
      <c r="F47" s="570"/>
      <c r="G47" s="570"/>
      <c r="H47" s="570"/>
      <c r="I47" s="570"/>
    </row>
    <row r="48" spans="2:9" ht="15.75">
      <c r="B48" s="570"/>
      <c r="C48" s="570"/>
      <c r="D48" s="570"/>
      <c r="E48" s="570"/>
      <c r="F48" s="570"/>
      <c r="G48" s="570"/>
      <c r="H48" s="570"/>
      <c r="I48" s="570"/>
    </row>
    <row r="49" spans="2:9" ht="15.75">
      <c r="B49" s="584" t="s">
        <v>832</v>
      </c>
      <c r="C49" s="584"/>
      <c r="D49" s="585"/>
      <c r="E49" s="585"/>
      <c r="F49" s="585"/>
      <c r="G49" s="585"/>
      <c r="H49" s="585"/>
      <c r="I49" s="585"/>
    </row>
    <row r="50" spans="2:9" ht="15.75">
      <c r="B50" s="584" t="s">
        <v>833</v>
      </c>
      <c r="C50" s="584"/>
      <c r="D50" s="585"/>
      <c r="E50" s="585"/>
      <c r="F50" s="585"/>
      <c r="G50" s="585"/>
      <c r="H50" s="585"/>
      <c r="I50" s="585"/>
    </row>
    <row r="51" spans="2:9" ht="15.75">
      <c r="B51" s="584" t="s">
        <v>834</v>
      </c>
      <c r="C51" s="584"/>
      <c r="D51" s="585"/>
      <c r="E51" s="585"/>
      <c r="F51" s="585"/>
      <c r="G51" s="585"/>
      <c r="H51" s="585"/>
      <c r="I51" s="585"/>
    </row>
    <row r="52" spans="2:9">
      <c r="B52" s="585"/>
      <c r="C52" s="585"/>
      <c r="D52" s="585"/>
      <c r="E52" s="585"/>
      <c r="F52" s="585"/>
      <c r="G52" s="585"/>
      <c r="H52" s="585"/>
      <c r="I52" s="585"/>
    </row>
    <row r="53" spans="2:9" ht="15.75">
      <c r="B53" s="586" t="s">
        <v>835</v>
      </c>
      <c r="C53" s="585"/>
      <c r="D53" s="585"/>
      <c r="E53" s="585"/>
      <c r="F53" s="585"/>
      <c r="G53" s="585"/>
      <c r="H53" s="585"/>
      <c r="I53" s="585"/>
    </row>
    <row r="54" spans="2:9">
      <c r="B54" s="585"/>
      <c r="C54" s="585"/>
      <c r="D54" s="585"/>
      <c r="E54" s="585"/>
      <c r="F54" s="585"/>
      <c r="G54" s="585"/>
      <c r="H54" s="585"/>
      <c r="I54" s="585"/>
    </row>
    <row r="55" spans="2:9" ht="15.75">
      <c r="B55" s="584" t="s">
        <v>836</v>
      </c>
      <c r="C55" s="585"/>
      <c r="D55" s="585"/>
      <c r="E55" s="585"/>
      <c r="F55" s="585"/>
      <c r="G55" s="585"/>
      <c r="H55" s="585"/>
      <c r="I55" s="585"/>
    </row>
    <row r="56" spans="2:9" ht="15.75">
      <c r="B56" s="584" t="s">
        <v>837</v>
      </c>
      <c r="C56" s="585"/>
      <c r="D56" s="585"/>
      <c r="E56" s="585"/>
      <c r="F56" s="585"/>
      <c r="G56" s="585"/>
      <c r="H56" s="585"/>
      <c r="I56" s="585"/>
    </row>
    <row r="57" spans="2:9">
      <c r="B57" s="585"/>
      <c r="C57" s="585"/>
      <c r="D57" s="585"/>
      <c r="E57" s="585"/>
      <c r="F57" s="585"/>
      <c r="G57" s="585"/>
      <c r="H57" s="585"/>
      <c r="I57" s="585"/>
    </row>
    <row r="58" spans="2:9" ht="15.75">
      <c r="B58" s="586" t="s">
        <v>838</v>
      </c>
      <c r="C58" s="584"/>
      <c r="D58" s="584"/>
      <c r="E58" s="584"/>
      <c r="F58" s="584"/>
      <c r="G58" s="585"/>
      <c r="H58" s="585"/>
      <c r="I58" s="585"/>
    </row>
    <row r="59" spans="2:9" ht="15.75">
      <c r="B59" s="584"/>
      <c r="C59" s="584"/>
      <c r="D59" s="584"/>
      <c r="E59" s="584"/>
      <c r="F59" s="584"/>
      <c r="G59" s="585"/>
      <c r="H59" s="585"/>
      <c r="I59" s="585"/>
    </row>
    <row r="60" spans="2:9" ht="15.75">
      <c r="B60" s="584" t="s">
        <v>839</v>
      </c>
      <c r="C60" s="584"/>
      <c r="D60" s="584"/>
      <c r="E60" s="584"/>
      <c r="F60" s="584"/>
      <c r="G60" s="585"/>
      <c r="H60" s="585"/>
      <c r="I60" s="585"/>
    </row>
    <row r="61" spans="2:9" ht="15.75">
      <c r="B61" s="584" t="s">
        <v>840</v>
      </c>
      <c r="C61" s="584"/>
      <c r="D61" s="584"/>
      <c r="E61" s="584"/>
      <c r="F61" s="584"/>
      <c r="G61" s="585"/>
      <c r="H61" s="585"/>
      <c r="I61" s="585"/>
    </row>
    <row r="62" spans="2:9" ht="15.75">
      <c r="B62" s="584" t="s">
        <v>841</v>
      </c>
      <c r="C62" s="584"/>
      <c r="D62" s="584"/>
      <c r="E62" s="584"/>
      <c r="F62" s="584"/>
      <c r="G62" s="585"/>
      <c r="H62" s="585"/>
      <c r="I62" s="585"/>
    </row>
    <row r="63" spans="2:9" ht="15.75">
      <c r="B63" s="584" t="s">
        <v>842</v>
      </c>
      <c r="C63" s="584"/>
      <c r="D63" s="584"/>
      <c r="E63" s="584"/>
      <c r="F63" s="584"/>
      <c r="G63" s="585"/>
      <c r="H63" s="585"/>
      <c r="I63" s="585"/>
    </row>
    <row r="64" spans="2:9">
      <c r="B64" s="587"/>
      <c r="C64" s="587"/>
      <c r="D64" s="587"/>
      <c r="E64" s="587"/>
      <c r="F64" s="587"/>
      <c r="G64" s="585"/>
      <c r="H64" s="585"/>
      <c r="I64" s="585"/>
    </row>
    <row r="65" spans="2:9" ht="15.75">
      <c r="B65" s="584" t="s">
        <v>843</v>
      </c>
      <c r="C65" s="587"/>
      <c r="D65" s="587"/>
      <c r="E65" s="587"/>
      <c r="F65" s="587"/>
      <c r="G65" s="585"/>
      <c r="H65" s="585"/>
      <c r="I65" s="585"/>
    </row>
    <row r="66" spans="2:9" ht="15.75">
      <c r="B66" s="584" t="s">
        <v>844</v>
      </c>
      <c r="C66" s="587"/>
      <c r="D66" s="587"/>
      <c r="E66" s="587"/>
      <c r="F66" s="587"/>
      <c r="G66" s="585"/>
      <c r="H66" s="585"/>
      <c r="I66" s="585"/>
    </row>
    <row r="67" spans="2:9">
      <c r="B67" s="587"/>
      <c r="C67" s="587"/>
      <c r="D67" s="587"/>
      <c r="E67" s="587"/>
      <c r="F67" s="587"/>
      <c r="G67" s="585"/>
      <c r="H67" s="585"/>
      <c r="I67" s="585"/>
    </row>
    <row r="68" spans="2:9" ht="15.75">
      <c r="B68" s="584" t="s">
        <v>845</v>
      </c>
      <c r="C68" s="587"/>
      <c r="D68" s="587"/>
      <c r="E68" s="587"/>
      <c r="F68" s="587"/>
      <c r="G68" s="585"/>
      <c r="H68" s="585"/>
      <c r="I68" s="585"/>
    </row>
    <row r="69" spans="2:9" ht="15.75">
      <c r="B69" s="584" t="s">
        <v>846</v>
      </c>
      <c r="C69" s="587"/>
      <c r="D69" s="587"/>
      <c r="E69" s="587"/>
      <c r="F69" s="587"/>
      <c r="G69" s="585"/>
      <c r="H69" s="585"/>
      <c r="I69" s="585"/>
    </row>
    <row r="70" spans="2:9">
      <c r="B70" s="587"/>
      <c r="C70" s="587"/>
      <c r="D70" s="587"/>
      <c r="E70" s="587"/>
      <c r="F70" s="587"/>
      <c r="G70" s="585"/>
      <c r="H70" s="585"/>
      <c r="I70" s="585"/>
    </row>
    <row r="71" spans="2:9" ht="15.75">
      <c r="B71" s="586" t="s">
        <v>847</v>
      </c>
      <c r="C71" s="587"/>
      <c r="D71" s="587"/>
      <c r="E71" s="587"/>
      <c r="F71" s="587"/>
      <c r="G71" s="585"/>
      <c r="H71" s="585"/>
      <c r="I71" s="585"/>
    </row>
    <row r="72" spans="2:9">
      <c r="B72" s="587"/>
      <c r="C72" s="587"/>
      <c r="D72" s="587"/>
      <c r="E72" s="587"/>
      <c r="F72" s="587"/>
      <c r="G72" s="585"/>
      <c r="H72" s="585"/>
      <c r="I72" s="585"/>
    </row>
    <row r="73" spans="2:9" ht="15.75">
      <c r="B73" s="584" t="s">
        <v>848</v>
      </c>
      <c r="C73" s="587"/>
      <c r="D73" s="587"/>
      <c r="E73" s="587"/>
      <c r="F73" s="587"/>
      <c r="G73" s="585"/>
      <c r="H73" s="585"/>
      <c r="I73" s="585"/>
    </row>
    <row r="74" spans="2:9" ht="15.75">
      <c r="B74" s="584" t="s">
        <v>849</v>
      </c>
      <c r="C74" s="587"/>
      <c r="D74" s="587"/>
      <c r="E74" s="587"/>
      <c r="F74" s="587"/>
      <c r="G74" s="585"/>
      <c r="H74" s="585"/>
      <c r="I74" s="585"/>
    </row>
    <row r="75" spans="2:9">
      <c r="B75" s="587"/>
      <c r="C75" s="587"/>
      <c r="D75" s="587"/>
      <c r="E75" s="587"/>
      <c r="F75" s="587"/>
      <c r="G75" s="585"/>
      <c r="H75" s="585"/>
      <c r="I75" s="585"/>
    </row>
    <row r="76" spans="2:9" ht="15.75">
      <c r="B76" s="586" t="s">
        <v>850</v>
      </c>
      <c r="C76" s="587"/>
      <c r="D76" s="587"/>
      <c r="E76" s="587"/>
      <c r="F76" s="587"/>
      <c r="G76" s="585"/>
      <c r="H76" s="585"/>
      <c r="I76" s="585"/>
    </row>
    <row r="77" spans="2:9">
      <c r="B77" s="587"/>
      <c r="C77" s="587"/>
      <c r="D77" s="587"/>
      <c r="E77" s="587"/>
      <c r="F77" s="587"/>
      <c r="G77" s="585"/>
      <c r="H77" s="585"/>
      <c r="I77" s="585"/>
    </row>
    <row r="78" spans="2:9" ht="15.75">
      <c r="B78" s="584" t="str">
        <f>CONCATENATE("If the ",G14," municipal budget has not been published and has not been submitted to the County")</f>
        <v>If the 2013 municipal budget has not been published and has not been submitted to the County</v>
      </c>
      <c r="C78" s="587"/>
      <c r="D78" s="587"/>
      <c r="E78" s="587"/>
      <c r="F78" s="587"/>
      <c r="G78" s="585"/>
      <c r="H78" s="585"/>
      <c r="I78" s="585"/>
    </row>
    <row r="79" spans="2:9" ht="15.75">
      <c r="B79" s="584" t="s">
        <v>851</v>
      </c>
      <c r="C79" s="587"/>
      <c r="D79" s="587"/>
      <c r="E79" s="587"/>
      <c r="F79" s="587"/>
      <c r="G79" s="585"/>
      <c r="H79" s="585"/>
      <c r="I79" s="585"/>
    </row>
    <row r="80" spans="2:9">
      <c r="B80" s="587"/>
      <c r="C80" s="587"/>
      <c r="D80" s="587"/>
      <c r="E80" s="587"/>
      <c r="F80" s="587"/>
      <c r="G80" s="585"/>
      <c r="H80" s="585"/>
      <c r="I80" s="585"/>
    </row>
    <row r="81" spans="2:9" ht="15.75">
      <c r="B81" s="586" t="s">
        <v>401</v>
      </c>
      <c r="C81" s="587"/>
      <c r="D81" s="587"/>
      <c r="E81" s="587"/>
      <c r="F81" s="587"/>
      <c r="G81" s="585"/>
      <c r="H81" s="585"/>
      <c r="I81" s="585"/>
    </row>
    <row r="82" spans="2:9">
      <c r="B82" s="587"/>
      <c r="C82" s="587"/>
      <c r="D82" s="587"/>
      <c r="E82" s="587"/>
      <c r="F82" s="587"/>
      <c r="G82" s="585"/>
      <c r="H82" s="585"/>
      <c r="I82" s="585"/>
    </row>
    <row r="83" spans="2:9" ht="15.75">
      <c r="B83" s="584" t="s">
        <v>852</v>
      </c>
      <c r="C83" s="587"/>
      <c r="D83" s="587"/>
      <c r="E83" s="587"/>
      <c r="F83" s="587"/>
      <c r="G83" s="585"/>
      <c r="H83" s="585"/>
      <c r="I83" s="585"/>
    </row>
    <row r="84" spans="2:9" ht="15.75">
      <c r="B84" s="584" t="str">
        <f>CONCATENATE("Budget Year ",G14," is equal to or greater than that for Current Year Estimate ",E14,".")</f>
        <v>Budget Year 2013 is equal to or greater than that for Current Year Estimate 2012.</v>
      </c>
      <c r="C84" s="587"/>
      <c r="D84" s="587"/>
      <c r="E84" s="587"/>
      <c r="F84" s="587"/>
      <c r="G84" s="585"/>
      <c r="H84" s="585"/>
      <c r="I84" s="585"/>
    </row>
    <row r="85" spans="2:9">
      <c r="B85" s="587"/>
      <c r="C85" s="587"/>
      <c r="D85" s="587"/>
      <c r="E85" s="587"/>
      <c r="F85" s="587"/>
      <c r="G85" s="585"/>
      <c r="H85" s="585"/>
      <c r="I85" s="585"/>
    </row>
    <row r="86" spans="2:9" ht="15.75">
      <c r="B86" s="584" t="s">
        <v>853</v>
      </c>
      <c r="C86" s="587"/>
      <c r="D86" s="587"/>
      <c r="E86" s="587"/>
      <c r="F86" s="587"/>
      <c r="G86" s="585"/>
      <c r="H86" s="585"/>
      <c r="I86" s="585"/>
    </row>
    <row r="87" spans="2:9" ht="15.75">
      <c r="B87" s="584" t="s">
        <v>854</v>
      </c>
      <c r="C87" s="587"/>
      <c r="D87" s="587"/>
      <c r="E87" s="587"/>
      <c r="F87" s="587"/>
      <c r="G87" s="585"/>
      <c r="H87" s="585"/>
      <c r="I87" s="585"/>
    </row>
    <row r="88" spans="2:9" ht="15.75">
      <c r="B88" s="584" t="s">
        <v>855</v>
      </c>
      <c r="C88" s="587"/>
      <c r="D88" s="587"/>
      <c r="E88" s="587"/>
      <c r="F88" s="587"/>
      <c r="G88" s="585"/>
      <c r="H88" s="585"/>
      <c r="I88" s="585"/>
    </row>
    <row r="89" spans="2:9" ht="15.75">
      <c r="B89" s="584" t="str">
        <f>CONCATENATE("purpose for the previous (",E14,") year.")</f>
        <v>purpose for the previous (2012) year.</v>
      </c>
      <c r="C89" s="587"/>
      <c r="D89" s="587"/>
      <c r="E89" s="587"/>
      <c r="F89" s="587"/>
      <c r="G89" s="585"/>
      <c r="H89" s="585"/>
      <c r="I89" s="585"/>
    </row>
    <row r="90" spans="2:9">
      <c r="B90" s="587"/>
      <c r="C90" s="587"/>
      <c r="D90" s="587"/>
      <c r="E90" s="587"/>
      <c r="F90" s="587"/>
      <c r="G90" s="585"/>
      <c r="H90" s="585"/>
      <c r="I90" s="585"/>
    </row>
    <row r="91" spans="2:9" ht="15.75">
      <c r="B91" s="584" t="str">
        <f>CONCATENATE("Next, look to see if delinquent tax for ",G14," is budgeted. Often this line is budgeted at $0 or left")</f>
        <v>Next, look to see if delinquent tax for 2013 is budgeted. Often this line is budgeted at $0 or left</v>
      </c>
      <c r="C91" s="587"/>
      <c r="D91" s="587"/>
      <c r="E91" s="587"/>
      <c r="F91" s="587"/>
      <c r="G91" s="585"/>
      <c r="H91" s="585"/>
      <c r="I91" s="585"/>
    </row>
    <row r="92" spans="2:9" ht="15.75">
      <c r="B92" s="584" t="s">
        <v>856</v>
      </c>
      <c r="C92" s="587"/>
      <c r="D92" s="587"/>
      <c r="E92" s="587"/>
      <c r="F92" s="587"/>
      <c r="G92" s="585"/>
      <c r="H92" s="585"/>
      <c r="I92" s="585"/>
    </row>
    <row r="93" spans="2:9" ht="15.75">
      <c r="B93" s="584" t="s">
        <v>857</v>
      </c>
      <c r="C93" s="587"/>
      <c r="D93" s="587"/>
      <c r="E93" s="587"/>
      <c r="F93" s="587"/>
      <c r="G93" s="585"/>
      <c r="H93" s="585"/>
      <c r="I93" s="585"/>
    </row>
    <row r="94" spans="2:9" ht="15.75">
      <c r="B94" s="584" t="s">
        <v>858</v>
      </c>
      <c r="C94" s="587"/>
      <c r="D94" s="587"/>
      <c r="E94" s="587"/>
      <c r="F94" s="587"/>
      <c r="G94" s="585"/>
      <c r="H94" s="585"/>
      <c r="I94" s="585"/>
    </row>
    <row r="95" spans="2:9">
      <c r="B95" s="587"/>
      <c r="C95" s="587"/>
      <c r="D95" s="587"/>
      <c r="E95" s="587"/>
      <c r="F95" s="587"/>
      <c r="G95" s="585"/>
      <c r="H95" s="585"/>
      <c r="I95" s="585"/>
    </row>
    <row r="96" spans="2:9" ht="15.75">
      <c r="B96" s="586" t="s">
        <v>859</v>
      </c>
      <c r="C96" s="587"/>
      <c r="D96" s="587"/>
      <c r="E96" s="587"/>
      <c r="F96" s="587"/>
      <c r="G96" s="585"/>
      <c r="H96" s="585"/>
      <c r="I96" s="585"/>
    </row>
    <row r="97" spans="2:9">
      <c r="B97" s="587"/>
      <c r="C97" s="587"/>
      <c r="D97" s="587"/>
      <c r="E97" s="587"/>
      <c r="F97" s="587"/>
      <c r="G97" s="585"/>
      <c r="H97" s="585"/>
      <c r="I97" s="585"/>
    </row>
    <row r="98" spans="2:9" ht="15.75">
      <c r="B98" s="584" t="s">
        <v>860</v>
      </c>
      <c r="C98" s="587"/>
      <c r="D98" s="587"/>
      <c r="E98" s="587"/>
      <c r="F98" s="587"/>
      <c r="G98" s="585"/>
      <c r="H98" s="585"/>
      <c r="I98" s="585"/>
    </row>
    <row r="99" spans="2:9" ht="15.75">
      <c r="B99" s="584" t="s">
        <v>861</v>
      </c>
      <c r="C99" s="587"/>
      <c r="D99" s="587"/>
      <c r="E99" s="587"/>
      <c r="F99" s="587"/>
      <c r="G99" s="585"/>
      <c r="H99" s="585"/>
      <c r="I99" s="585"/>
    </row>
    <row r="100" spans="2:9">
      <c r="B100" s="587"/>
      <c r="C100" s="587"/>
      <c r="D100" s="587"/>
      <c r="E100" s="587"/>
      <c r="F100" s="587"/>
      <c r="G100" s="585"/>
      <c r="H100" s="585"/>
      <c r="I100" s="585"/>
    </row>
    <row r="101" spans="2:9" ht="15.75">
      <c r="B101" s="584" t="s">
        <v>862</v>
      </c>
      <c r="C101" s="587"/>
      <c r="D101" s="587"/>
      <c r="E101" s="587"/>
      <c r="F101" s="587"/>
      <c r="G101" s="585"/>
      <c r="H101" s="585"/>
      <c r="I101" s="585"/>
    </row>
    <row r="102" spans="2:9" ht="15.75">
      <c r="B102" s="584" t="s">
        <v>863</v>
      </c>
      <c r="C102" s="587"/>
      <c r="D102" s="587"/>
      <c r="E102" s="587"/>
      <c r="F102" s="587"/>
      <c r="G102" s="585"/>
      <c r="H102" s="585"/>
      <c r="I102" s="585"/>
    </row>
    <row r="103" spans="2:9" ht="15.75">
      <c r="B103" s="584" t="s">
        <v>864</v>
      </c>
      <c r="C103" s="587"/>
      <c r="D103" s="587"/>
      <c r="E103" s="587"/>
      <c r="F103" s="587"/>
      <c r="G103" s="585"/>
      <c r="H103" s="585"/>
      <c r="I103" s="585"/>
    </row>
    <row r="104" spans="2:9" ht="15.75">
      <c r="B104" s="584" t="s">
        <v>865</v>
      </c>
      <c r="C104" s="587"/>
      <c r="D104" s="587"/>
      <c r="E104" s="587"/>
      <c r="F104" s="587"/>
      <c r="G104" s="585"/>
      <c r="H104" s="585"/>
      <c r="I104" s="585"/>
    </row>
    <row r="105" spans="2:9">
      <c r="B105" s="689" t="s">
        <v>972</v>
      </c>
      <c r="C105" s="688"/>
      <c r="D105" s="688"/>
      <c r="E105" s="688"/>
      <c r="F105" s="688"/>
      <c r="G105" s="687"/>
      <c r="H105" s="687"/>
      <c r="I105" s="687"/>
    </row>
    <row r="108" spans="2:9">
      <c r="G108" s="593"/>
    </row>
  </sheetData>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5.xml><?xml version="1.0" encoding="utf-8"?>
<worksheet xmlns="http://schemas.openxmlformats.org/spreadsheetml/2006/main" xmlns:r="http://schemas.openxmlformats.org/officeDocument/2006/relationships">
  <dimension ref="B1:K112"/>
  <sheetViews>
    <sheetView topLeftCell="A71" zoomScaleNormal="100" workbookViewId="0">
      <selection activeCell="H82" sqref="H82"/>
    </sheetView>
  </sheetViews>
  <sheetFormatPr defaultRowHeight="15.75"/>
  <cols>
    <col min="1" max="1" width="2.44140625" style="23" customWidth="1"/>
    <col min="2" max="2" width="31.6640625" style="23" customWidth="1"/>
    <col min="3" max="4" width="15.77734375" style="23" customWidth="1"/>
    <col min="5" max="5" width="16.21875" style="23" customWidth="1"/>
    <col min="6" max="6" width="6.886718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c r="C3" s="22"/>
      <c r="D3" s="22"/>
      <c r="E3" s="119"/>
    </row>
    <row r="4" spans="2:5">
      <c r="B4" s="41" t="s">
        <v>90</v>
      </c>
      <c r="C4" s="221"/>
      <c r="D4" s="221"/>
      <c r="E4" s="221"/>
    </row>
    <row r="5" spans="2:5">
      <c r="B5" s="149" t="s">
        <v>24</v>
      </c>
      <c r="C5" s="604" t="s">
        <v>808</v>
      </c>
      <c r="D5" s="605" t="s">
        <v>811</v>
      </c>
      <c r="E5" s="125" t="s">
        <v>812</v>
      </c>
    </row>
    <row r="6" spans="2:5">
      <c r="B6" s="364" t="str">
        <f>inputPrYr!B17</f>
        <v>General</v>
      </c>
      <c r="C6" s="351" t="str">
        <f>CONCATENATE("Actual for ",E1-2,"")</f>
        <v>Actual for 2011</v>
      </c>
      <c r="D6" s="351" t="str">
        <f>CONCATENATE("Estimate for ",E1-1,"")</f>
        <v>Estimate for 2012</v>
      </c>
      <c r="E6" s="222" t="str">
        <f>CONCATENATE("Year for ",E1,"")</f>
        <v>Year for 2013</v>
      </c>
    </row>
    <row r="7" spans="2:5">
      <c r="B7" s="223" t="s">
        <v>145</v>
      </c>
      <c r="C7" s="224">
        <v>104409</v>
      </c>
      <c r="D7" s="350">
        <f>C80</f>
        <v>59126</v>
      </c>
      <c r="E7" s="193">
        <f>D80</f>
        <v>144014.05999999994</v>
      </c>
    </row>
    <row r="8" spans="2:5">
      <c r="B8" s="226" t="s">
        <v>147</v>
      </c>
      <c r="C8" s="139"/>
      <c r="D8" s="139"/>
      <c r="E8" s="68"/>
    </row>
    <row r="9" spans="2:5">
      <c r="B9" s="223" t="s">
        <v>25</v>
      </c>
      <c r="C9" s="224">
        <v>241734</v>
      </c>
      <c r="D9" s="350">
        <f>IF(inputPrYr!H16&gt;0,inputPrYr!G17,inputPrYr!E17)</f>
        <v>253766</v>
      </c>
      <c r="E9" s="229" t="s">
        <v>13</v>
      </c>
    </row>
    <row r="10" spans="2:5">
      <c r="B10" s="223" t="s">
        <v>26</v>
      </c>
      <c r="C10" s="224">
        <v>5075</v>
      </c>
      <c r="D10" s="224">
        <v>0</v>
      </c>
      <c r="E10" s="230">
        <v>0</v>
      </c>
    </row>
    <row r="11" spans="2:5">
      <c r="B11" s="223" t="s">
        <v>27</v>
      </c>
      <c r="C11" s="224">
        <v>46748</v>
      </c>
      <c r="D11" s="224">
        <v>53983</v>
      </c>
      <c r="E11" s="193">
        <f>mvalloc!D7</f>
        <v>55082</v>
      </c>
    </row>
    <row r="12" spans="2:5">
      <c r="B12" s="223" t="s">
        <v>28</v>
      </c>
      <c r="C12" s="224">
        <v>1619</v>
      </c>
      <c r="D12" s="224">
        <v>1525</v>
      </c>
      <c r="E12" s="193">
        <f>mvalloc!E7</f>
        <v>1255</v>
      </c>
    </row>
    <row r="13" spans="2:5">
      <c r="B13" s="223" t="s">
        <v>122</v>
      </c>
      <c r="C13" s="224">
        <v>1188</v>
      </c>
      <c r="D13" s="224">
        <v>1708</v>
      </c>
      <c r="E13" s="193">
        <f>mvalloc!F7</f>
        <v>1367</v>
      </c>
    </row>
    <row r="14" spans="2:5">
      <c r="B14" s="223" t="s">
        <v>123</v>
      </c>
      <c r="C14" s="224">
        <v>0</v>
      </c>
      <c r="D14" s="224">
        <v>0</v>
      </c>
      <c r="E14" s="193">
        <f>inputOth!E16</f>
        <v>0</v>
      </c>
    </row>
    <row r="15" spans="2:5">
      <c r="B15" s="223" t="s">
        <v>169</v>
      </c>
      <c r="C15" s="224">
        <v>0</v>
      </c>
      <c r="D15" s="224">
        <v>0</v>
      </c>
      <c r="E15" s="193">
        <f>inputOth!E42</f>
        <v>0</v>
      </c>
    </row>
    <row r="16" spans="2:5">
      <c r="B16" s="223" t="s">
        <v>170</v>
      </c>
      <c r="C16" s="224">
        <v>0</v>
      </c>
      <c r="D16" s="224">
        <v>0</v>
      </c>
      <c r="E16" s="193">
        <f>inputOth!E43</f>
        <v>0</v>
      </c>
    </row>
    <row r="17" spans="2:5">
      <c r="B17" s="227" t="s">
        <v>29</v>
      </c>
      <c r="C17" s="224">
        <v>274</v>
      </c>
      <c r="D17" s="224">
        <v>224</v>
      </c>
      <c r="E17" s="50">
        <v>256</v>
      </c>
    </row>
    <row r="18" spans="2:5">
      <c r="B18" s="479" t="s">
        <v>753</v>
      </c>
      <c r="C18" s="224">
        <v>92639</v>
      </c>
      <c r="D18" s="224">
        <v>95000</v>
      </c>
      <c r="E18" s="50">
        <v>97000</v>
      </c>
    </row>
    <row r="19" spans="2:5">
      <c r="B19" s="479" t="s">
        <v>754</v>
      </c>
      <c r="C19" s="224">
        <v>19330</v>
      </c>
      <c r="D19" s="224">
        <v>20500</v>
      </c>
      <c r="E19" s="50">
        <v>22500</v>
      </c>
    </row>
    <row r="20" spans="2:5">
      <c r="B20" s="479" t="s">
        <v>755</v>
      </c>
      <c r="C20" s="224">
        <v>2333</v>
      </c>
      <c r="D20" s="224">
        <v>750</v>
      </c>
      <c r="E20" s="50">
        <v>750</v>
      </c>
    </row>
    <row r="21" spans="2:5">
      <c r="B21" s="479" t="s">
        <v>1001</v>
      </c>
      <c r="C21" s="224">
        <v>642</v>
      </c>
      <c r="D21" s="224">
        <v>300</v>
      </c>
      <c r="E21" s="50">
        <v>350</v>
      </c>
    </row>
    <row r="22" spans="2:5">
      <c r="B22" s="227" t="s">
        <v>1002</v>
      </c>
      <c r="C22" s="224">
        <v>3118</v>
      </c>
      <c r="D22" s="224">
        <v>1200</v>
      </c>
      <c r="E22" s="50">
        <v>5000</v>
      </c>
    </row>
    <row r="23" spans="2:5">
      <c r="B23" s="227" t="s">
        <v>1003</v>
      </c>
      <c r="C23" s="224">
        <v>8638</v>
      </c>
      <c r="D23" s="224">
        <v>8500</v>
      </c>
      <c r="E23" s="50">
        <v>8000</v>
      </c>
    </row>
    <row r="24" spans="2:5">
      <c r="B24" s="227" t="s">
        <v>1004</v>
      </c>
      <c r="C24" s="224">
        <v>3259</v>
      </c>
      <c r="D24" s="224">
        <v>3259</v>
      </c>
      <c r="E24" s="50">
        <v>3259</v>
      </c>
    </row>
    <row r="25" spans="2:5">
      <c r="B25" s="227" t="s">
        <v>1005</v>
      </c>
      <c r="C25" s="224">
        <v>15270</v>
      </c>
      <c r="D25" s="224">
        <v>9600</v>
      </c>
      <c r="E25" s="50">
        <v>10000</v>
      </c>
    </row>
    <row r="26" spans="2:5">
      <c r="B26" s="227" t="s">
        <v>1006</v>
      </c>
      <c r="C26" s="224">
        <v>1798</v>
      </c>
      <c r="D26" s="224">
        <v>1798</v>
      </c>
      <c r="E26" s="50">
        <v>2000</v>
      </c>
    </row>
    <row r="27" spans="2:5">
      <c r="B27" s="227" t="s">
        <v>1007</v>
      </c>
      <c r="C27" s="224">
        <v>2380</v>
      </c>
      <c r="D27" s="224">
        <v>500</v>
      </c>
      <c r="E27" s="50">
        <v>500</v>
      </c>
    </row>
    <row r="28" spans="2:5">
      <c r="B28" s="227" t="s">
        <v>1127</v>
      </c>
      <c r="C28" s="224">
        <v>400</v>
      </c>
      <c r="D28" s="224">
        <v>200</v>
      </c>
      <c r="E28" s="50">
        <v>400</v>
      </c>
    </row>
    <row r="29" spans="2:5">
      <c r="B29" s="227" t="s">
        <v>1008</v>
      </c>
      <c r="C29" s="224"/>
      <c r="D29" s="224"/>
      <c r="E29" s="50"/>
    </row>
    <row r="30" spans="2:5">
      <c r="B30" s="227" t="s">
        <v>1009</v>
      </c>
      <c r="C30" s="224">
        <v>45000</v>
      </c>
      <c r="D30" s="224">
        <f>'Sewer &amp; Refuse Utility'!D17</f>
        <v>75000</v>
      </c>
      <c r="E30" s="50">
        <f>'Sewer &amp; Refuse Utility'!E17</f>
        <v>10000</v>
      </c>
    </row>
    <row r="31" spans="2:5">
      <c r="B31" s="227" t="s">
        <v>1010</v>
      </c>
      <c r="C31" s="224">
        <v>45000</v>
      </c>
      <c r="D31" s="224">
        <f>'Sewer &amp; Refuse Utility'!D44</f>
        <v>60000</v>
      </c>
      <c r="E31" s="50">
        <f>'Sewer &amp; Refuse Utility'!E44</f>
        <v>10000</v>
      </c>
    </row>
    <row r="32" spans="2:5">
      <c r="B32" s="227" t="s">
        <v>1011</v>
      </c>
      <c r="C32" s="224">
        <v>250000</v>
      </c>
      <c r="D32" s="224">
        <f>'Electric &amp; Water Utility'!D43</f>
        <v>361000</v>
      </c>
      <c r="E32" s="50">
        <f>'Electric &amp; Water Utility'!E43</f>
        <v>308000</v>
      </c>
    </row>
    <row r="33" spans="2:5">
      <c r="B33" s="231" t="s">
        <v>30</v>
      </c>
      <c r="C33" s="224">
        <v>94</v>
      </c>
      <c r="D33" s="224">
        <v>0</v>
      </c>
      <c r="E33" s="50">
        <v>0</v>
      </c>
    </row>
    <row r="34" spans="2:5">
      <c r="B34" s="139" t="s">
        <v>270</v>
      </c>
      <c r="C34" s="224">
        <f>11750+7786</f>
        <v>19536</v>
      </c>
      <c r="D34" s="50">
        <v>0</v>
      </c>
      <c r="E34" s="225">
        <v>0</v>
      </c>
    </row>
    <row r="35" spans="2:5">
      <c r="B35" s="223" t="s">
        <v>791</v>
      </c>
      <c r="C35" s="348" t="str">
        <f>IF(C36*0.1&lt;C34,"Exceed 10% Rule","")</f>
        <v/>
      </c>
      <c r="D35" s="355" t="str">
        <f>IF(D36*0.1&lt;D34,"Exceed 10% Rule","")</f>
        <v/>
      </c>
      <c r="E35" s="232" t="str">
        <f>IF(E36*0.1+E86&lt;E34,"Exceed 10% Rule","")</f>
        <v/>
      </c>
    </row>
    <row r="36" spans="2:5">
      <c r="B36" s="233" t="s">
        <v>31</v>
      </c>
      <c r="C36" s="361">
        <f>SUM(C9:C34)</f>
        <v>806075</v>
      </c>
      <c r="D36" s="361">
        <f>SUM(D9:D34)</f>
        <v>948813</v>
      </c>
      <c r="E36" s="234">
        <f>SUM(E10:E34)</f>
        <v>535719</v>
      </c>
    </row>
    <row r="37" spans="2:5">
      <c r="B37" s="233" t="s">
        <v>32</v>
      </c>
      <c r="C37" s="361">
        <f>C7+C36</f>
        <v>910484</v>
      </c>
      <c r="D37" s="361">
        <f>D7+D36</f>
        <v>1007939</v>
      </c>
      <c r="E37" s="234">
        <f>E7+E36</f>
        <v>679733.05999999994</v>
      </c>
    </row>
    <row r="38" spans="2:5">
      <c r="B38" s="22"/>
      <c r="C38" s="22"/>
      <c r="D38" s="22"/>
      <c r="E38" s="22"/>
    </row>
    <row r="39" spans="2:5">
      <c r="B39" s="150"/>
      <c r="C39" s="119" t="s">
        <v>41</v>
      </c>
      <c r="D39" s="149">
        <f>IF(inputPrYr!D19&gt;0,8,7)</f>
        <v>8</v>
      </c>
      <c r="E39" s="150"/>
    </row>
    <row r="40" spans="2:5">
      <c r="B40" s="150"/>
      <c r="C40" s="150"/>
      <c r="D40" s="150"/>
      <c r="E40" s="150"/>
    </row>
    <row r="41" spans="2:5">
      <c r="B41" s="151" t="str">
        <f>inputPrYr!D2</f>
        <v>City of St.Francis</v>
      </c>
      <c r="C41" s="22"/>
      <c r="D41" s="22"/>
      <c r="E41" s="147"/>
    </row>
    <row r="42" spans="2:5">
      <c r="B42" s="22"/>
      <c r="C42" s="22"/>
      <c r="D42" s="22"/>
      <c r="E42" s="119"/>
    </row>
    <row r="43" spans="2:5">
      <c r="B43" s="217" t="s">
        <v>89</v>
      </c>
      <c r="C43" s="187"/>
      <c r="D43" s="187"/>
      <c r="E43" s="187"/>
    </row>
    <row r="44" spans="2:5">
      <c r="B44" s="22" t="s">
        <v>24</v>
      </c>
      <c r="C44" s="604" t="str">
        <f t="shared" ref="C44:E45" si="0">C5</f>
        <v xml:space="preserve">Prior Year </v>
      </c>
      <c r="D44" s="605" t="str">
        <f t="shared" si="0"/>
        <v xml:space="preserve">Current Year </v>
      </c>
      <c r="E44" s="125" t="str">
        <f t="shared" si="0"/>
        <v xml:space="preserve">Proposed Budget </v>
      </c>
    </row>
    <row r="45" spans="2:5">
      <c r="B45" s="170" t="str">
        <f>inputPrYr!B17</f>
        <v>General</v>
      </c>
      <c r="C45" s="351" t="str">
        <f t="shared" si="0"/>
        <v>Actual for 2011</v>
      </c>
      <c r="D45" s="351" t="str">
        <f t="shared" si="0"/>
        <v>Estimate for 2012</v>
      </c>
      <c r="E45" s="222" t="str">
        <f t="shared" si="0"/>
        <v>Year for 2013</v>
      </c>
    </row>
    <row r="46" spans="2:5">
      <c r="B46" s="235" t="s">
        <v>32</v>
      </c>
      <c r="C46" s="350">
        <f>C37</f>
        <v>910484</v>
      </c>
      <c r="D46" s="350">
        <f>D37</f>
        <v>1007939</v>
      </c>
      <c r="E46" s="193">
        <f>E37</f>
        <v>679733.05999999994</v>
      </c>
    </row>
    <row r="47" spans="2:5">
      <c r="B47" s="223" t="s">
        <v>34</v>
      </c>
      <c r="C47" s="139"/>
      <c r="D47" s="139"/>
      <c r="E47" s="68"/>
    </row>
    <row r="48" spans="2:5">
      <c r="B48" s="236" t="str">
        <f>GenDetail!A7</f>
        <v>General Government</v>
      </c>
      <c r="C48" s="362">
        <f>GenDetail!B11</f>
        <v>66195</v>
      </c>
      <c r="D48" s="362">
        <f>GenDetail!C11</f>
        <v>69079.55</v>
      </c>
      <c r="E48" s="57">
        <f>GenDetail!D11</f>
        <v>71151.936499999996</v>
      </c>
    </row>
    <row r="49" spans="2:6">
      <c r="B49" s="236" t="str">
        <f>GenDetail!A12</f>
        <v>Police Department</v>
      </c>
      <c r="C49" s="362">
        <f>GenDetail!B17</f>
        <v>151142</v>
      </c>
      <c r="D49" s="362">
        <f>GenDetail!C17</f>
        <v>177183.7</v>
      </c>
      <c r="E49" s="57">
        <f>GenDetail!D17</f>
        <v>162000.21099999998</v>
      </c>
    </row>
    <row r="50" spans="2:6">
      <c r="B50" s="236" t="str">
        <f>GenDetail!A18</f>
        <v>Streets</v>
      </c>
      <c r="C50" s="362">
        <f>GenDetail!B22</f>
        <v>32320</v>
      </c>
      <c r="D50" s="362">
        <f>GenDetail!C22</f>
        <v>37575.299999999996</v>
      </c>
      <c r="E50" s="57">
        <f>GenDetail!D22</f>
        <v>46925.558999999994</v>
      </c>
    </row>
    <row r="51" spans="2:6">
      <c r="B51" s="236" t="str">
        <f>GenDetail!A23</f>
        <v>Fire</v>
      </c>
      <c r="C51" s="362">
        <f>GenDetail!B26</f>
        <v>6472</v>
      </c>
      <c r="D51" s="362">
        <f>GenDetail!C26</f>
        <v>9182</v>
      </c>
      <c r="E51" s="57">
        <f>GenDetail!D26</f>
        <v>9457.4599999999991</v>
      </c>
    </row>
    <row r="52" spans="2:6">
      <c r="B52" s="236" t="str">
        <f>GenDetail!A27</f>
        <v>Sanitation</v>
      </c>
      <c r="C52" s="362">
        <f>GenDetail!B29</f>
        <v>17347</v>
      </c>
      <c r="D52" s="362">
        <f>GenDetail!C29</f>
        <v>0</v>
      </c>
      <c r="E52" s="57">
        <f>GenDetail!D29</f>
        <v>0</v>
      </c>
    </row>
    <row r="53" spans="2:6">
      <c r="B53" s="236" t="str">
        <f>GenDetail!A30</f>
        <v>Recycling</v>
      </c>
      <c r="C53" s="362">
        <f>GenDetail!B32</f>
        <v>11671</v>
      </c>
      <c r="D53" s="362">
        <f>GenDetail!C32</f>
        <v>13421.65</v>
      </c>
      <c r="E53" s="57">
        <f>GenDetail!D32</f>
        <v>22000</v>
      </c>
    </row>
    <row r="54" spans="2:6">
      <c r="B54" s="236" t="str">
        <f>GenDetail!A33</f>
        <v>Parks</v>
      </c>
      <c r="C54" s="362">
        <f>GenDetail!B36</f>
        <v>106951</v>
      </c>
      <c r="D54" s="362">
        <f>GenDetail!C36</f>
        <v>133756.1</v>
      </c>
      <c r="E54" s="57">
        <f>GenDetail!D36</f>
        <v>122410</v>
      </c>
    </row>
    <row r="55" spans="2:6">
      <c r="B55" s="236" t="str">
        <f>GenDetail!A37</f>
        <v>Pool</v>
      </c>
      <c r="C55" s="362">
        <f>GenDetail!B40</f>
        <v>31783</v>
      </c>
      <c r="D55" s="362">
        <f>GenDetail!C40</f>
        <v>34097.199999999997</v>
      </c>
      <c r="E55" s="57">
        <f>GenDetail!D40</f>
        <v>35120.115999999995</v>
      </c>
    </row>
    <row r="56" spans="2:6">
      <c r="B56" s="237" t="s">
        <v>633</v>
      </c>
      <c r="C56" s="392">
        <f>SUM(C48:C55)</f>
        <v>423881</v>
      </c>
      <c r="D56" s="392">
        <f>SUM(D48:D55)</f>
        <v>474295.50000000006</v>
      </c>
      <c r="E56" s="255">
        <f>SUM(E48:E55)</f>
        <v>469065.28249999997</v>
      </c>
      <c r="F56" s="238"/>
    </row>
    <row r="57" spans="2:6">
      <c r="B57" s="690" t="s">
        <v>1012</v>
      </c>
      <c r="C57" s="224"/>
      <c r="D57" s="224"/>
      <c r="E57" s="50"/>
    </row>
    <row r="58" spans="2:6">
      <c r="B58" s="690" t="s">
        <v>1013</v>
      </c>
      <c r="C58" s="224">
        <v>44683</v>
      </c>
      <c r="D58" s="224">
        <f>ROUND((17044.48/inputPrYr!$E$94)*inputPrYr!$E$95,0)+8000</f>
        <v>48907</v>
      </c>
      <c r="E58" s="50">
        <f>ROUND(D58*inputPrYr!$E$100,0)+144</f>
        <v>50518</v>
      </c>
      <c r="F58" s="703">
        <f>(E58-D58)/D58</f>
        <v>3.294006992864007E-2</v>
      </c>
    </row>
    <row r="59" spans="2:6">
      <c r="B59" s="690" t="s">
        <v>1030</v>
      </c>
      <c r="C59" s="224">
        <v>200</v>
      </c>
      <c r="D59" s="224">
        <f>ROUND((869.5/inputPrYr!$E$94)*inputPrYr!$E$95,0)</f>
        <v>2087</v>
      </c>
      <c r="E59" s="50">
        <f>ROUND(D59*inputPrYr!$E$100,0)</f>
        <v>2150</v>
      </c>
      <c r="F59" s="703">
        <f t="shared" ref="F59:F77" si="1">(E59-D59)/D59</f>
        <v>3.0186871106851941E-2</v>
      </c>
    </row>
    <row r="60" spans="2:6">
      <c r="B60" s="690" t="s">
        <v>1014</v>
      </c>
      <c r="C60" s="224">
        <v>12406</v>
      </c>
      <c r="D60" s="224">
        <f>ROUND((360.29/inputPrYr!$E$94)*inputPrYr!$E$95,0)</f>
        <v>865</v>
      </c>
      <c r="E60" s="50">
        <f>ROUND(D60*inputPrYr!$E$100,0)</f>
        <v>891</v>
      </c>
      <c r="F60" s="703">
        <f t="shared" si="1"/>
        <v>3.0057803468208091E-2</v>
      </c>
    </row>
    <row r="61" spans="2:6">
      <c r="B61" s="690" t="s">
        <v>1015</v>
      </c>
      <c r="C61" s="224">
        <v>635</v>
      </c>
      <c r="D61" s="224">
        <f>ROUND((278.19/inputPrYr!$E$94)*inputPrYr!$E$95,0)</f>
        <v>668</v>
      </c>
      <c r="E61" s="50">
        <f>ROUND(D61*inputPrYr!$E$100,0)</f>
        <v>688</v>
      </c>
      <c r="F61" s="703">
        <f t="shared" si="1"/>
        <v>2.9940119760479042E-2</v>
      </c>
    </row>
    <row r="62" spans="2:6">
      <c r="B62" s="690" t="s">
        <v>1016</v>
      </c>
      <c r="C62" s="224">
        <v>49908</v>
      </c>
      <c r="D62" s="224">
        <f>ROUND((17431.48/inputPrYr!$E$94)*inputPrYr!$E$95,0)+15000</f>
        <v>56836</v>
      </c>
      <c r="E62" s="50">
        <f>ROUND(D62*inputPrYr!$E$100,0)</f>
        <v>58541</v>
      </c>
      <c r="F62" s="703">
        <f t="shared" si="1"/>
        <v>2.9998592441410375E-2</v>
      </c>
    </row>
    <row r="63" spans="2:6">
      <c r="B63" s="691" t="s">
        <v>1017</v>
      </c>
      <c r="C63" s="224">
        <v>19658</v>
      </c>
      <c r="D63" s="224">
        <f>ROUND((16913/inputPrYr!$E$94)*inputPrYr!$E$95,0)-20000</f>
        <v>20591</v>
      </c>
      <c r="E63" s="50">
        <f>ROUND(D63*inputPrYr!$E$100,0)</f>
        <v>21209</v>
      </c>
      <c r="F63" s="703">
        <f t="shared" si="1"/>
        <v>3.0013112524889515E-2</v>
      </c>
    </row>
    <row r="64" spans="2:6">
      <c r="B64" s="691" t="s">
        <v>1018</v>
      </c>
      <c r="C64" s="224">
        <v>252544</v>
      </c>
      <c r="D64" s="224">
        <v>195000</v>
      </c>
      <c r="E64" s="50">
        <f>ROUND(D64*inputPrYr!$E$100,0)+63405</f>
        <v>264255</v>
      </c>
      <c r="F64" s="703">
        <f t="shared" si="1"/>
        <v>0.35515384615384615</v>
      </c>
    </row>
    <row r="65" spans="2:11">
      <c r="B65" s="691" t="s">
        <v>1019</v>
      </c>
      <c r="C65" s="224">
        <v>1203</v>
      </c>
      <c r="D65" s="224">
        <f>ROUND((600.5/inputPrYr!$E$94)*inputPrYr!$E$95,0)</f>
        <v>1441</v>
      </c>
      <c r="E65" s="50">
        <f>ROUND(D65*inputPrYr!$E$100,0)</f>
        <v>1484</v>
      </c>
      <c r="F65" s="703">
        <f t="shared" si="1"/>
        <v>2.9840388619014575E-2</v>
      </c>
    </row>
    <row r="66" spans="2:11">
      <c r="B66" s="691" t="s">
        <v>1020</v>
      </c>
      <c r="C66" s="224">
        <v>274</v>
      </c>
      <c r="D66" s="224">
        <f>ROUND((60.1/inputPrYr!$E$94)*inputPrYr!$E$95,0)</f>
        <v>144</v>
      </c>
      <c r="E66" s="50">
        <f>ROUND(D66*inputPrYr!$E$100,0)</f>
        <v>148</v>
      </c>
      <c r="F66" s="703">
        <f t="shared" si="1"/>
        <v>2.7777777777777776E-2</v>
      </c>
    </row>
    <row r="67" spans="2:11">
      <c r="B67" s="691" t="s">
        <v>1021</v>
      </c>
      <c r="C67" s="224">
        <v>379</v>
      </c>
      <c r="D67" s="224">
        <f>ROUND((170.83/inputPrYr!$E$94)*inputPrYr!$E$95,0)</f>
        <v>410</v>
      </c>
      <c r="E67" s="50">
        <f>ROUND(D67*inputPrYr!$E$100,0)</f>
        <v>422</v>
      </c>
      <c r="F67" s="703">
        <f t="shared" si="1"/>
        <v>2.9268292682926831E-2</v>
      </c>
    </row>
    <row r="68" spans="2:11">
      <c r="B68" s="691" t="s">
        <v>1029</v>
      </c>
      <c r="C68" s="224">
        <v>2068</v>
      </c>
      <c r="D68" s="224">
        <f>C68*1.01</f>
        <v>2088.6799999999998</v>
      </c>
      <c r="E68" s="50">
        <f>ROUND(D68*inputPrYr!$E$100,0)</f>
        <v>2151</v>
      </c>
      <c r="F68" s="703">
        <f t="shared" si="1"/>
        <v>2.9837026255817151E-2</v>
      </c>
    </row>
    <row r="69" spans="2:11">
      <c r="B69" s="691" t="s">
        <v>1022</v>
      </c>
      <c r="C69" s="224">
        <v>8388</v>
      </c>
      <c r="D69" s="224">
        <f>ROUND((300/inputPrYr!$E$94)*inputPrYr!$E$95,0)+4280</f>
        <v>5000</v>
      </c>
      <c r="E69" s="50">
        <v>20000</v>
      </c>
      <c r="F69" s="703">
        <f t="shared" si="1"/>
        <v>3</v>
      </c>
    </row>
    <row r="70" spans="2:11">
      <c r="B70" s="691" t="s">
        <v>1023</v>
      </c>
      <c r="C70" s="224">
        <v>11111</v>
      </c>
      <c r="D70" s="224">
        <f>ROUND((3995.75/inputPrYr!$E$94)*inputPrYr!$E$95,0)</f>
        <v>9590</v>
      </c>
      <c r="E70" s="50">
        <f>ROUND(D70*inputPrYr!$E$100,0)+706</f>
        <v>10584</v>
      </c>
      <c r="F70" s="703">
        <f t="shared" si="1"/>
        <v>0.10364963503649635</v>
      </c>
    </row>
    <row r="71" spans="2:11">
      <c r="B71" s="691" t="s">
        <v>1024</v>
      </c>
      <c r="C71" s="224">
        <v>1619</v>
      </c>
      <c r="D71" s="224">
        <f>ROUND((784.66/inputPrYr!$E$94)*inputPrYr!$E$95,0)</f>
        <v>1883</v>
      </c>
      <c r="E71" s="50">
        <f>ROUND(D71*inputPrYr!$E$100,0)</f>
        <v>1939</v>
      </c>
      <c r="F71" s="703">
        <f t="shared" si="1"/>
        <v>2.9739776951672861E-2</v>
      </c>
    </row>
    <row r="72" spans="2:11">
      <c r="B72" s="691" t="s">
        <v>1025</v>
      </c>
      <c r="C72" s="224">
        <v>38</v>
      </c>
      <c r="D72" s="224">
        <f>C72*1.02</f>
        <v>38.76</v>
      </c>
      <c r="E72" s="50">
        <f>ROUND(D72*inputPrYr!$E$100,0)</f>
        <v>40</v>
      </c>
      <c r="F72" s="703">
        <f t="shared" si="1"/>
        <v>3.1991744066047524E-2</v>
      </c>
    </row>
    <row r="73" spans="2:11">
      <c r="B73" s="691" t="s">
        <v>1026</v>
      </c>
      <c r="C73" s="224">
        <v>340</v>
      </c>
      <c r="D73" s="224">
        <v>340</v>
      </c>
      <c r="E73" s="50">
        <f>ROUND(D73*inputPrYr!$E$100,0)</f>
        <v>350</v>
      </c>
      <c r="F73" s="703">
        <f t="shared" si="1"/>
        <v>2.9411764705882353E-2</v>
      </c>
    </row>
    <row r="74" spans="2:11">
      <c r="B74" s="691" t="s">
        <v>1027</v>
      </c>
      <c r="C74" s="224">
        <v>970</v>
      </c>
      <c r="D74" s="224">
        <f>ROUND((424.32/inputPrYr!$E$94)*inputPrYr!$E$95,0)</f>
        <v>1018</v>
      </c>
      <c r="E74" s="50">
        <f>ROUND(D74*inputPrYr!$E$100,0)</f>
        <v>1049</v>
      </c>
      <c r="F74" s="703">
        <f t="shared" si="1"/>
        <v>3.0451866404715127E-2</v>
      </c>
    </row>
    <row r="75" spans="2:11">
      <c r="B75" s="239" t="s">
        <v>1028</v>
      </c>
      <c r="C75" s="224">
        <v>0</v>
      </c>
      <c r="D75" s="224">
        <v>8000</v>
      </c>
      <c r="E75" s="50">
        <v>8000</v>
      </c>
      <c r="F75" s="703">
        <f t="shared" si="1"/>
        <v>0</v>
      </c>
    </row>
    <row r="76" spans="2:11" ht="15.75" customHeight="1">
      <c r="B76" s="240" t="s">
        <v>271</v>
      </c>
      <c r="C76" s="224">
        <v>0</v>
      </c>
      <c r="D76" s="224">
        <v>0</v>
      </c>
      <c r="E76" s="57" t="str">
        <f>nhood!E6</f>
        <v/>
      </c>
    </row>
    <row r="77" spans="2:11">
      <c r="B77" s="240" t="s">
        <v>270</v>
      </c>
      <c r="C77" s="224">
        <v>21053</v>
      </c>
      <c r="D77" s="224">
        <f>ROUND((14467.32/inputPrYr!$E$94)*inputPrYr!$E$95,0)</f>
        <v>34722</v>
      </c>
      <c r="E77" s="50">
        <v>17000</v>
      </c>
      <c r="F77" s="703">
        <f t="shared" si="1"/>
        <v>-0.51039686653994587</v>
      </c>
    </row>
    <row r="78" spans="2:11">
      <c r="B78" s="240" t="s">
        <v>792</v>
      </c>
      <c r="C78" s="348" t="str">
        <f>IF(C79*0.1&lt;C77,"Exceed 10% Rule","")</f>
        <v/>
      </c>
      <c r="D78" s="355" t="str">
        <f>IF(D79*0.1&lt;D77,"Exceed 10% Rule","")</f>
        <v/>
      </c>
      <c r="E78" s="254" t="str">
        <f>IF(E79*0.1&lt;E77,"Exceed 10% Rule","")</f>
        <v/>
      </c>
    </row>
    <row r="79" spans="2:11">
      <c r="B79" s="233" t="s">
        <v>38</v>
      </c>
      <c r="C79" s="361">
        <f>SUM(C56:C77)</f>
        <v>851358</v>
      </c>
      <c r="D79" s="361">
        <f>SUM(D56:D77)</f>
        <v>863924.94000000006</v>
      </c>
      <c r="E79" s="234">
        <f>SUM(E56:E77)</f>
        <v>930484.28249999997</v>
      </c>
    </row>
    <row r="80" spans="2:11">
      <c r="B80" s="131" t="s">
        <v>146</v>
      </c>
      <c r="C80" s="362">
        <f>C37-C79</f>
        <v>59126</v>
      </c>
      <c r="D80" s="362">
        <f>D37-D79</f>
        <v>144014.05999999994</v>
      </c>
      <c r="E80" s="253" t="s">
        <v>13</v>
      </c>
      <c r="K80" s="667"/>
    </row>
    <row r="81" spans="2:11">
      <c r="B81" s="119" t="str">
        <f>CONCATENATE("",$E$1-2,"/",$E$1-1," Budget Authority Amount:")</f>
        <v>2011/2012 Budget Authority Amount:</v>
      </c>
      <c r="C81" s="183">
        <f>inputOth!B61</f>
        <v>957430</v>
      </c>
      <c r="D81" s="242">
        <f>inputPrYr!D17</f>
        <v>1016257</v>
      </c>
      <c r="E81" s="253" t="s">
        <v>13</v>
      </c>
      <c r="F81" s="243"/>
    </row>
    <row r="82" spans="2:11">
      <c r="B82" s="119"/>
      <c r="C82" s="746" t="s">
        <v>629</v>
      </c>
      <c r="D82" s="747"/>
      <c r="E82" s="50"/>
      <c r="F82" s="382" t="str">
        <f>IF((E79/0.95)-E79&lt;E82,"Exceeds 5% ","")</f>
        <v/>
      </c>
    </row>
    <row r="83" spans="2:11">
      <c r="B83" s="366" t="str">
        <f>CONCATENATE(C111,"     ",D111)</f>
        <v xml:space="preserve">     </v>
      </c>
      <c r="C83" s="748" t="s">
        <v>630</v>
      </c>
      <c r="D83" s="749"/>
      <c r="E83" s="193">
        <f>E79+E82</f>
        <v>930484.28249999997</v>
      </c>
    </row>
    <row r="84" spans="2:11">
      <c r="B84" s="366" t="str">
        <f>CONCATENATE(C112,"     ",D112)</f>
        <v xml:space="preserve">     </v>
      </c>
      <c r="C84" s="244"/>
      <c r="D84" s="147" t="s">
        <v>39</v>
      </c>
      <c r="E84" s="57">
        <f>IF(E83-E37&gt;0,E83-E37,0)</f>
        <v>250751.22250000003</v>
      </c>
    </row>
    <row r="85" spans="2:11">
      <c r="B85" s="119"/>
      <c r="C85" s="357" t="s">
        <v>631</v>
      </c>
      <c r="D85" s="539">
        <f>inputOth!E47</f>
        <v>0.02</v>
      </c>
      <c r="E85" s="57">
        <f>ROUND(IF(D85&gt;0,(E84*D85),0),0)</f>
        <v>5015</v>
      </c>
    </row>
    <row r="86" spans="2:11" ht="16.5" thickBot="1">
      <c r="B86" s="22"/>
      <c r="C86" s="750" t="str">
        <f>CONCATENATE("Amount of  ",$E$1-1," Ad Valorem Tax")</f>
        <v>Amount of  2012 Ad Valorem Tax</v>
      </c>
      <c r="D86" s="751"/>
      <c r="E86" s="354">
        <f>E84+E85</f>
        <v>255766.22250000003</v>
      </c>
    </row>
    <row r="87" spans="2:11" ht="16.5" thickTop="1">
      <c r="B87" s="22"/>
      <c r="C87" s="750"/>
      <c r="D87" s="752"/>
      <c r="E87" s="606"/>
    </row>
    <row r="88" spans="2:11">
      <c r="B88" s="22"/>
      <c r="C88" s="22"/>
      <c r="D88" s="22"/>
      <c r="E88" s="22"/>
    </row>
    <row r="89" spans="2:11">
      <c r="B89" s="150"/>
      <c r="C89" s="119" t="s">
        <v>41</v>
      </c>
      <c r="D89" s="149" t="str">
        <f>CONCATENATE("",D39,"a")</f>
        <v>8a</v>
      </c>
      <c r="E89" s="150"/>
    </row>
    <row r="91" spans="2:11">
      <c r="B91" s="83"/>
    </row>
    <row r="92" spans="2:11">
      <c r="K92" s="532"/>
    </row>
    <row r="94" spans="2:11">
      <c r="B94" s="8"/>
      <c r="C94" s="8"/>
    </row>
    <row r="111" spans="3:4" hidden="1">
      <c r="C111" s="23" t="str">
        <f>IF(C79&gt;C81,"See Tab A","")</f>
        <v/>
      </c>
      <c r="D111" s="23" t="str">
        <f>IF(D79&gt;D81,"See Tab C","")</f>
        <v/>
      </c>
    </row>
    <row r="112" spans="3:4" hidden="1">
      <c r="C112" s="23" t="str">
        <f>IF(C80&lt;0,"See Tab B","")</f>
        <v/>
      </c>
      <c r="D112" s="23" t="str">
        <f>IF(D80&lt;0,"See Tab D","")</f>
        <v/>
      </c>
    </row>
  </sheetData>
  <mergeCells count="4">
    <mergeCell ref="C82:D82"/>
    <mergeCell ref="C83:D83"/>
    <mergeCell ref="C86:D86"/>
    <mergeCell ref="C87:D87"/>
  </mergeCells>
  <phoneticPr fontId="0" type="noConversion"/>
  <conditionalFormatting sqref="E82">
    <cfRule type="cellIs" dxfId="219" priority="2" stopIfTrue="1" operator="greaterThan">
      <formula>$E$79/0.95-$E$79</formula>
    </cfRule>
  </conditionalFormatting>
  <conditionalFormatting sqref="D79">
    <cfRule type="cellIs" dxfId="218" priority="4" stopIfTrue="1" operator="greaterThan">
      <formula>$D$81</formula>
    </cfRule>
  </conditionalFormatting>
  <conditionalFormatting sqref="C79">
    <cfRule type="cellIs" dxfId="217" priority="5" stopIfTrue="1" operator="greaterThan">
      <formula>$C$81</formula>
    </cfRule>
  </conditionalFormatting>
  <conditionalFormatting sqref="C80">
    <cfRule type="cellIs" dxfId="216" priority="6" stopIfTrue="1" operator="lessThan">
      <formula>0</formula>
    </cfRule>
  </conditionalFormatting>
  <conditionalFormatting sqref="C77">
    <cfRule type="cellIs" dxfId="215" priority="7" stopIfTrue="1" operator="greaterThan">
      <formula>$C$79*0.1</formula>
    </cfRule>
  </conditionalFormatting>
  <conditionalFormatting sqref="D34">
    <cfRule type="cellIs" dxfId="214" priority="9" stopIfTrue="1" operator="greaterThan">
      <formula>$D$36*0.1</formula>
    </cfRule>
  </conditionalFormatting>
  <conditionalFormatting sqref="C34">
    <cfRule type="cellIs" dxfId="213" priority="10" stopIfTrue="1" operator="greaterThan">
      <formula>$C$36*0.1</formula>
    </cfRule>
  </conditionalFormatting>
  <conditionalFormatting sqref="E34">
    <cfRule type="cellIs" dxfId="212" priority="11" stopIfTrue="1" operator="greaterThan">
      <formula>$E$36*0.1+E86</formula>
    </cfRule>
  </conditionalFormatting>
  <conditionalFormatting sqref="D80">
    <cfRule type="cellIs" dxfId="211" priority="1" stopIfTrue="1" operator="lessThan">
      <formula>0</formula>
    </cfRule>
  </conditionalFormatting>
  <pageMargins left="0.5" right="0.5" top="1" bottom="0.5" header="0.5" footer="0.25"/>
  <pageSetup scale="68" fitToHeight="2" orientation="portrait" blackAndWhite="1" r:id="rId1"/>
  <headerFooter alignWithMargins="0">
    <oddHeader xml:space="preserve">&amp;RState of Kansas
City
</oddHeader>
  </headerFooter>
  <rowBreaks count="1" manualBreakCount="1">
    <brk id="40" max="16383" man="1"/>
  </rowBreaks>
</worksheet>
</file>

<file path=xl/worksheets/sheet16.xml><?xml version="1.0" encoding="utf-8"?>
<worksheet xmlns="http://schemas.openxmlformats.org/spreadsheetml/2006/main" xmlns:r="http://schemas.openxmlformats.org/officeDocument/2006/relationships">
  <sheetPr>
    <pageSetUpPr fitToPage="1"/>
  </sheetPr>
  <dimension ref="A1:D44"/>
  <sheetViews>
    <sheetView topLeftCell="A4" workbookViewId="0">
      <selection activeCell="D20" sqref="D20"/>
    </sheetView>
  </sheetViews>
  <sheetFormatPr defaultRowHeight="15.75"/>
  <cols>
    <col min="1" max="1" width="28.33203125" style="8" customWidth="1"/>
    <col min="2" max="3" width="15.77734375" style="8" customWidth="1"/>
    <col min="4" max="4" width="16.109375" style="8" customWidth="1"/>
    <col min="5" max="16384" width="8.88671875" style="8"/>
  </cols>
  <sheetData>
    <row r="1" spans="1:4">
      <c r="A1" s="151" t="str">
        <f>inputPrYr!D2</f>
        <v>City of St.Francis</v>
      </c>
      <c r="B1" s="22"/>
      <c r="C1" s="149"/>
      <c r="D1" s="22">
        <f>inputPrYr!C5</f>
        <v>2013</v>
      </c>
    </row>
    <row r="2" spans="1:4">
      <c r="A2" s="22"/>
      <c r="B2" s="22"/>
      <c r="C2" s="22"/>
      <c r="D2" s="149"/>
    </row>
    <row r="3" spans="1:4">
      <c r="A3" s="41"/>
      <c r="B3" s="246"/>
      <c r="C3" s="246"/>
      <c r="D3" s="246"/>
    </row>
    <row r="4" spans="1:4">
      <c r="A4" s="149" t="s">
        <v>24</v>
      </c>
      <c r="B4" s="247" t="s">
        <v>808</v>
      </c>
      <c r="C4" s="125" t="s">
        <v>811</v>
      </c>
      <c r="D4" s="125" t="s">
        <v>812</v>
      </c>
    </row>
    <row r="5" spans="1:4">
      <c r="A5" s="488" t="s">
        <v>306</v>
      </c>
      <c r="B5" s="351" t="str">
        <f>CONCATENATE("Actual for ",D1-2,"")</f>
        <v>Actual for 2011</v>
      </c>
      <c r="C5" s="351" t="str">
        <f>CONCATENATE("Estimate for ",D1-1,"")</f>
        <v>Estimate for 2012</v>
      </c>
      <c r="D5" s="222" t="str">
        <f>CONCATENATE("Year for ",D1,"")</f>
        <v>Year for 2013</v>
      </c>
    </row>
    <row r="6" spans="1:4">
      <c r="A6" s="191" t="s">
        <v>34</v>
      </c>
      <c r="B6" s="68"/>
      <c r="C6" s="68"/>
      <c r="D6" s="68"/>
    </row>
    <row r="7" spans="1:4">
      <c r="A7" s="704" t="s">
        <v>993</v>
      </c>
      <c r="B7" s="68"/>
      <c r="C7" s="68"/>
      <c r="D7" s="68"/>
    </row>
    <row r="8" spans="1:4">
      <c r="A8" s="248" t="s">
        <v>42</v>
      </c>
      <c r="B8" s="230">
        <v>9337</v>
      </c>
      <c r="C8" s="230">
        <f>B8*1.15</f>
        <v>10737.55</v>
      </c>
      <c r="D8" s="230">
        <f>C8*inputPrYr!$E$100</f>
        <v>11059.6765</v>
      </c>
    </row>
    <row r="9" spans="1:4">
      <c r="A9" s="248" t="s">
        <v>35</v>
      </c>
      <c r="B9" s="230">
        <v>26204</v>
      </c>
      <c r="C9" s="230">
        <f>ROUND((7688.84/inputPrYr!$E$94)*inputPrYr!$E$95,0)</f>
        <v>18453</v>
      </c>
      <c r="D9" s="230">
        <f>C9*inputPrYr!$E$100</f>
        <v>19006.59</v>
      </c>
    </row>
    <row r="10" spans="1:4">
      <c r="A10" s="248" t="s">
        <v>36</v>
      </c>
      <c r="B10" s="230">
        <v>30654</v>
      </c>
      <c r="C10" s="230">
        <f>ROUND((22870.24/inputPrYr!$E$94)*inputPrYr!$E$95,0)-15000</f>
        <v>39889</v>
      </c>
      <c r="D10" s="230">
        <f>C10*inputPrYr!$E$100</f>
        <v>41085.67</v>
      </c>
    </row>
    <row r="11" spans="1:4">
      <c r="A11" s="191" t="s">
        <v>335</v>
      </c>
      <c r="B11" s="241">
        <f>SUM(B8:B10)</f>
        <v>66195</v>
      </c>
      <c r="C11" s="241">
        <f>SUM(C8:C10)</f>
        <v>69079.55</v>
      </c>
      <c r="D11" s="241">
        <f>SUM(D8:D10)</f>
        <v>71151.936499999996</v>
      </c>
    </row>
    <row r="12" spans="1:4">
      <c r="A12" s="705" t="s">
        <v>994</v>
      </c>
      <c r="B12" s="151"/>
      <c r="C12" s="151"/>
      <c r="D12" s="151"/>
    </row>
    <row r="13" spans="1:4">
      <c r="A13" s="248" t="s">
        <v>42</v>
      </c>
      <c r="B13" s="230">
        <v>129235</v>
      </c>
      <c r="C13" s="230">
        <f>B13*1.1</f>
        <v>142158.5</v>
      </c>
      <c r="D13" s="230">
        <f>C13*inputPrYr!$E$100-20499</f>
        <v>125924.255</v>
      </c>
    </row>
    <row r="14" spans="1:4">
      <c r="A14" s="248" t="s">
        <v>35</v>
      </c>
      <c r="B14" s="230">
        <v>1277</v>
      </c>
      <c r="C14" s="230">
        <f>ROUND((12701.05/inputPrYr!$E$94)*inputPrYr!$E$95,0)-15000</f>
        <v>15483</v>
      </c>
      <c r="D14" s="230">
        <f>C14*inputPrYr!$E$100</f>
        <v>15947.49</v>
      </c>
    </row>
    <row r="15" spans="1:4">
      <c r="A15" s="248" t="s">
        <v>36</v>
      </c>
      <c r="B15" s="230">
        <v>8598</v>
      </c>
      <c r="C15" s="230">
        <f>ROUND((2628.09/inputPrYr!$E$94)*inputPrYr!$E$95,0)</f>
        <v>6307</v>
      </c>
      <c r="D15" s="230">
        <f>C15*inputPrYr!$E$100</f>
        <v>6496.21</v>
      </c>
    </row>
    <row r="16" spans="1:4">
      <c r="A16" s="248" t="s">
        <v>37</v>
      </c>
      <c r="B16" s="230">
        <v>12032</v>
      </c>
      <c r="C16" s="230">
        <f>B16*1.1</f>
        <v>13235.2</v>
      </c>
      <c r="D16" s="230">
        <f>C16*inputPrYr!$E$100</f>
        <v>13632.256000000001</v>
      </c>
    </row>
    <row r="17" spans="1:4">
      <c r="A17" s="191" t="s">
        <v>335</v>
      </c>
      <c r="B17" s="241">
        <f>SUM(B13:B16)</f>
        <v>151142</v>
      </c>
      <c r="C17" s="241">
        <f>SUM(C13:C16)</f>
        <v>177183.7</v>
      </c>
      <c r="D17" s="241">
        <f>SUM(D13:D16)</f>
        <v>162000.21099999998</v>
      </c>
    </row>
    <row r="18" spans="1:4">
      <c r="A18" s="705" t="s">
        <v>995</v>
      </c>
      <c r="B18" s="151"/>
      <c r="C18" s="151"/>
      <c r="D18" s="151"/>
    </row>
    <row r="19" spans="1:4">
      <c r="A19" s="248" t="s">
        <v>42</v>
      </c>
      <c r="B19" s="230">
        <v>23345</v>
      </c>
      <c r="C19" s="230">
        <f>B19*1.15</f>
        <v>26846.749999999996</v>
      </c>
      <c r="D19" s="230">
        <f>C19*inputPrYr!$E$100+8223</f>
        <v>35875.152499999997</v>
      </c>
    </row>
    <row r="20" spans="1:4">
      <c r="A20" s="248" t="s">
        <v>36</v>
      </c>
      <c r="B20" s="230">
        <v>437</v>
      </c>
      <c r="C20" s="230">
        <f>B20*1.15</f>
        <v>502.54999999999995</v>
      </c>
      <c r="D20" s="230">
        <f>C20*inputPrYr!$E$100</f>
        <v>517.62649999999996</v>
      </c>
    </row>
    <row r="21" spans="1:4">
      <c r="A21" s="248" t="s">
        <v>37</v>
      </c>
      <c r="B21" s="230">
        <v>8538</v>
      </c>
      <c r="C21" s="230">
        <f>ROUND((4260.76/inputPrYr!$E$94)*inputPrYr!$E$95,0)</f>
        <v>10226</v>
      </c>
      <c r="D21" s="230">
        <f>C21*inputPrYr!$E$100</f>
        <v>10532.78</v>
      </c>
    </row>
    <row r="22" spans="1:4">
      <c r="A22" s="191" t="s">
        <v>335</v>
      </c>
      <c r="B22" s="241">
        <f>SUM(B19:B21)</f>
        <v>32320</v>
      </c>
      <c r="C22" s="241">
        <f>SUM(C19:C21)</f>
        <v>37575.299999999996</v>
      </c>
      <c r="D22" s="241">
        <f>SUM(D19:D21)</f>
        <v>46925.558999999994</v>
      </c>
    </row>
    <row r="23" spans="1:4">
      <c r="A23" s="705" t="s">
        <v>996</v>
      </c>
      <c r="B23" s="151"/>
      <c r="C23" s="151"/>
      <c r="D23" s="151"/>
    </row>
    <row r="24" spans="1:4">
      <c r="A24" s="248" t="s">
        <v>42</v>
      </c>
      <c r="B24" s="230">
        <v>3060</v>
      </c>
      <c r="C24" s="230">
        <f>B24*1.15</f>
        <v>3518.9999999999995</v>
      </c>
      <c r="D24" s="230">
        <f>C24*inputPrYr!$E$100</f>
        <v>3624.5699999999997</v>
      </c>
    </row>
    <row r="25" spans="1:4">
      <c r="A25" s="248" t="s">
        <v>36</v>
      </c>
      <c r="B25" s="230">
        <v>3412</v>
      </c>
      <c r="C25" s="230">
        <f>ROUND((2359.64/inputPrYr!$E$94)*inputPrYr!$E$95,0)</f>
        <v>5663</v>
      </c>
      <c r="D25" s="230">
        <f>C25*inputPrYr!$E$100</f>
        <v>5832.89</v>
      </c>
    </row>
    <row r="26" spans="1:4">
      <c r="A26" s="191" t="s">
        <v>335</v>
      </c>
      <c r="B26" s="241">
        <f>SUM(B24:B25)</f>
        <v>6472</v>
      </c>
      <c r="C26" s="241">
        <f>SUM(C24:C25)</f>
        <v>9182</v>
      </c>
      <c r="D26" s="241">
        <f>SUM(D24:D25)</f>
        <v>9457.4599999999991</v>
      </c>
    </row>
    <row r="27" spans="1:4">
      <c r="A27" s="705" t="s">
        <v>997</v>
      </c>
      <c r="B27" s="151"/>
      <c r="C27" s="151"/>
      <c r="D27" s="151"/>
    </row>
    <row r="28" spans="1:4">
      <c r="A28" s="248" t="s">
        <v>42</v>
      </c>
      <c r="B28" s="230">
        <v>17347</v>
      </c>
      <c r="C28" s="230">
        <v>0</v>
      </c>
      <c r="D28" s="230">
        <v>0</v>
      </c>
    </row>
    <row r="29" spans="1:4">
      <c r="A29" s="191" t="s">
        <v>335</v>
      </c>
      <c r="B29" s="241">
        <f>SUM(B28:B28)</f>
        <v>17347</v>
      </c>
      <c r="C29" s="241">
        <f>SUM(C28:C28)</f>
        <v>0</v>
      </c>
      <c r="D29" s="241">
        <f>SUM(D28:D28)</f>
        <v>0</v>
      </c>
    </row>
    <row r="30" spans="1:4">
      <c r="A30" s="705" t="s">
        <v>998</v>
      </c>
      <c r="B30" s="151"/>
      <c r="C30" s="151"/>
      <c r="D30" s="151"/>
    </row>
    <row r="31" spans="1:4">
      <c r="A31" s="248" t="s">
        <v>42</v>
      </c>
      <c r="B31" s="230">
        <v>11671</v>
      </c>
      <c r="C31" s="230">
        <f>B31*1.15</f>
        <v>13421.65</v>
      </c>
      <c r="D31" s="230">
        <v>22000</v>
      </c>
    </row>
    <row r="32" spans="1:4">
      <c r="A32" s="191" t="s">
        <v>335</v>
      </c>
      <c r="B32" s="241">
        <f>SUM(B31:B31)</f>
        <v>11671</v>
      </c>
      <c r="C32" s="241">
        <f>SUM(C31:C31)</f>
        <v>13421.65</v>
      </c>
      <c r="D32" s="241">
        <f>SUM(D31:D31)</f>
        <v>22000</v>
      </c>
    </row>
    <row r="33" spans="1:4">
      <c r="A33" s="705" t="s">
        <v>999</v>
      </c>
      <c r="B33" s="151"/>
      <c r="C33" s="151"/>
      <c r="D33" s="151"/>
    </row>
    <row r="34" spans="1:4">
      <c r="A34" s="248" t="s">
        <v>42</v>
      </c>
      <c r="B34" s="230">
        <v>76102</v>
      </c>
      <c r="C34" s="230">
        <f>B34*1.05</f>
        <v>79907.100000000006</v>
      </c>
      <c r="D34" s="230">
        <v>81810</v>
      </c>
    </row>
    <row r="35" spans="1:4">
      <c r="A35" s="248" t="s">
        <v>36</v>
      </c>
      <c r="B35" s="230">
        <v>30849</v>
      </c>
      <c r="C35" s="230">
        <f>ROUND((22437.29/inputPrYr!$E$94)*inputPrYr!$E$95,0)</f>
        <v>53849</v>
      </c>
      <c r="D35" s="230">
        <v>40600</v>
      </c>
    </row>
    <row r="36" spans="1:4">
      <c r="A36" s="191" t="s">
        <v>335</v>
      </c>
      <c r="B36" s="241">
        <f>SUM(B34:B35)</f>
        <v>106951</v>
      </c>
      <c r="C36" s="241">
        <f>SUM(C34:C35)</f>
        <v>133756.1</v>
      </c>
      <c r="D36" s="241">
        <f>SUM(D34:D35)</f>
        <v>122410</v>
      </c>
    </row>
    <row r="37" spans="1:4">
      <c r="A37" s="705" t="s">
        <v>1000</v>
      </c>
      <c r="B37" s="151"/>
      <c r="C37" s="151"/>
      <c r="D37" s="151"/>
    </row>
    <row r="38" spans="1:4">
      <c r="A38" s="248" t="s">
        <v>42</v>
      </c>
      <c r="B38" s="230">
        <v>21528</v>
      </c>
      <c r="C38" s="230">
        <f>B38*1.15</f>
        <v>24757.199999999997</v>
      </c>
      <c r="D38" s="230">
        <f>C38*inputPrYr!$E$100</f>
        <v>25499.915999999997</v>
      </c>
    </row>
    <row r="39" spans="1:4">
      <c r="A39" s="248" t="s">
        <v>36</v>
      </c>
      <c r="B39" s="230">
        <v>10255</v>
      </c>
      <c r="C39" s="230">
        <f>ROUND((3891.71/inputPrYr!$E$94)*inputPrYr!$E$95,0)</f>
        <v>9340</v>
      </c>
      <c r="D39" s="230">
        <f>C39*inputPrYr!$E$100</f>
        <v>9620.2000000000007</v>
      </c>
    </row>
    <row r="40" spans="1:4">
      <c r="A40" s="191" t="s">
        <v>335</v>
      </c>
      <c r="B40" s="241">
        <f>SUM(B38:B39)</f>
        <v>31783</v>
      </c>
      <c r="C40" s="241">
        <f>SUM(C38:C39)</f>
        <v>34097.199999999997</v>
      </c>
      <c r="D40" s="241">
        <f>SUM(D38:D39)</f>
        <v>35120.115999999995</v>
      </c>
    </row>
    <row r="41" spans="1:4">
      <c r="A41" s="22"/>
      <c r="B41" s="151"/>
      <c r="C41" s="151"/>
      <c r="D41" s="151"/>
    </row>
    <row r="42" spans="1:4" ht="16.5" thickBot="1">
      <c r="A42" s="191" t="s">
        <v>43</v>
      </c>
      <c r="B42" s="250">
        <f>B11+B17+B22+B26+B29+B32+B36+B40</f>
        <v>423881</v>
      </c>
      <c r="C42" s="250">
        <f>C11+C17+C22+C26+C29+C32+C36+C40</f>
        <v>474295.50000000006</v>
      </c>
      <c r="D42" s="250">
        <f>D11+D17+D22+D26+D29+D32+D36+D40</f>
        <v>469065.28249999997</v>
      </c>
    </row>
    <row r="43" spans="1:4" ht="16.5" thickTop="1">
      <c r="A43" s="251" t="s">
        <v>305</v>
      </c>
      <c r="B43" s="151"/>
      <c r="C43" s="151"/>
      <c r="D43" s="151"/>
    </row>
    <row r="44" spans="1:4">
      <c r="A44" s="119" t="s">
        <v>41</v>
      </c>
      <c r="B44" s="534" t="str">
        <f>CONCATENATE("",general!D39,"b")</f>
        <v>8b</v>
      </c>
      <c r="C44" s="151"/>
      <c r="D44" s="151"/>
    </row>
  </sheetData>
  <phoneticPr fontId="0" type="noConversion"/>
  <pageMargins left="0.5" right="0.5" top="1" bottom="0.5" header="0.5" footer="0.5"/>
  <pageSetup orientation="portrait" blackAndWhite="1" horizontalDpi="300" verticalDpi="300" r:id="rId1"/>
  <headerFooter alignWithMargins="0">
    <oddHeader xml:space="preserve">&amp;RState of Kansas
City
</oddHeader>
  </headerFooter>
</worksheet>
</file>

<file path=xl/worksheets/sheet17.xml><?xml version="1.0" encoding="utf-8"?>
<worksheet xmlns="http://schemas.openxmlformats.org/spreadsheetml/2006/main" xmlns:r="http://schemas.openxmlformats.org/officeDocument/2006/relationships">
  <dimension ref="B1:K48"/>
  <sheetViews>
    <sheetView zoomScaleNormal="100" workbookViewId="0">
      <selection activeCell="B8" sqref="B8"/>
    </sheetView>
  </sheetViews>
  <sheetFormatPr defaultRowHeight="15.75"/>
  <cols>
    <col min="1" max="1" width="2.44140625" style="23" customWidth="1"/>
    <col min="2" max="2" width="31.109375" style="23" customWidth="1"/>
    <col min="3" max="4" width="15.77734375" style="23" customWidth="1"/>
    <col min="5" max="5" width="16.21875" style="23" customWidth="1"/>
    <col min="6" max="6" width="8.109375" style="23" customWidth="1"/>
    <col min="7" max="7" width="10.21875" style="23" customWidth="1"/>
    <col min="8" max="8" width="8.88671875" style="23"/>
    <col min="9" max="9" width="5" style="23" customWidth="1"/>
    <col min="10" max="10" width="10" style="23" customWidth="1"/>
    <col min="11" max="16384" width="8.88671875" style="23"/>
  </cols>
  <sheetData>
    <row r="1" spans="2:10">
      <c r="B1" s="151" t="str">
        <f>(inputPrYr!D2)</f>
        <v>City of St.Francis</v>
      </c>
      <c r="C1" s="151"/>
      <c r="D1" s="22"/>
      <c r="E1" s="185">
        <f>inputPrYr!$C$5</f>
        <v>2013</v>
      </c>
    </row>
    <row r="2" spans="2:10">
      <c r="B2" s="29"/>
      <c r="C2" s="29"/>
      <c r="D2" s="359"/>
      <c r="E2" s="359"/>
    </row>
    <row r="3" spans="2:10">
      <c r="B3" s="29" t="s">
        <v>24</v>
      </c>
      <c r="C3" s="604" t="s">
        <v>808</v>
      </c>
      <c r="D3" s="605" t="s">
        <v>811</v>
      </c>
      <c r="E3" s="125" t="s">
        <v>812</v>
      </c>
    </row>
    <row r="4" spans="2:10">
      <c r="B4" s="364" t="str">
        <f>inputPrYr!B19</f>
        <v>Library</v>
      </c>
      <c r="C4" s="351" t="s">
        <v>1129</v>
      </c>
      <c r="D4" s="351" t="s">
        <v>1130</v>
      </c>
      <c r="E4" s="178" t="s">
        <v>1131</v>
      </c>
    </row>
    <row r="5" spans="2:10">
      <c r="B5" s="131" t="s">
        <v>145</v>
      </c>
      <c r="C5" s="360">
        <v>0</v>
      </c>
      <c r="D5" s="350">
        <f>C22</f>
        <v>0</v>
      </c>
      <c r="E5" s="193">
        <f>D22</f>
        <v>274</v>
      </c>
    </row>
    <row r="6" spans="2:10">
      <c r="B6" s="142" t="s">
        <v>147</v>
      </c>
      <c r="C6" s="131"/>
      <c r="D6" s="350"/>
      <c r="E6" s="193"/>
    </row>
    <row r="7" spans="2:10">
      <c r="B7" s="131" t="s">
        <v>25</v>
      </c>
      <c r="C7" s="360">
        <v>25139</v>
      </c>
      <c r="D7" s="350">
        <f>IF(inputPrYr!H16&gt;0,inputPrYr!G19,inputPrYr!E19)</f>
        <v>26602</v>
      </c>
      <c r="E7" s="253" t="s">
        <v>13</v>
      </c>
    </row>
    <row r="8" spans="2:10">
      <c r="B8" s="131" t="s">
        <v>26</v>
      </c>
      <c r="C8" s="360">
        <v>625</v>
      </c>
      <c r="D8" s="224">
        <v>0</v>
      </c>
      <c r="E8" s="50">
        <v>300</v>
      </c>
    </row>
    <row r="9" spans="2:10">
      <c r="B9" s="131" t="s">
        <v>27</v>
      </c>
      <c r="C9" s="360">
        <v>5015</v>
      </c>
      <c r="D9" s="224">
        <v>5616</v>
      </c>
      <c r="E9" s="193">
        <f>mvalloc!D9</f>
        <v>5774</v>
      </c>
    </row>
    <row r="10" spans="2:10">
      <c r="B10" s="131" t="s">
        <v>28</v>
      </c>
      <c r="C10" s="360">
        <v>185</v>
      </c>
      <c r="D10" s="224">
        <v>159</v>
      </c>
      <c r="E10" s="193">
        <f>mvalloc!E9</f>
        <v>132</v>
      </c>
    </row>
    <row r="11" spans="2:10">
      <c r="B11" s="240" t="s">
        <v>122</v>
      </c>
      <c r="C11" s="360">
        <v>128</v>
      </c>
      <c r="D11" s="224">
        <v>178</v>
      </c>
      <c r="E11" s="193">
        <f>mvalloc!F9</f>
        <v>143</v>
      </c>
    </row>
    <row r="12" spans="2:10">
      <c r="B12" s="131" t="s">
        <v>270</v>
      </c>
      <c r="C12" s="360">
        <v>0</v>
      </c>
      <c r="D12" s="224">
        <v>0</v>
      </c>
      <c r="E12" s="50">
        <v>0</v>
      </c>
    </row>
    <row r="13" spans="2:10">
      <c r="B13" s="131" t="s">
        <v>791</v>
      </c>
      <c r="C13" s="352" t="str">
        <f>IF(C14*0.1&lt;C12,"Exceed 10% Rule","")</f>
        <v/>
      </c>
      <c r="D13" s="365" t="str">
        <f>IF(D14*0.1&lt;D12,"Exceed 10% Rule","")</f>
        <v/>
      </c>
      <c r="E13" s="254" t="str">
        <f>IF(E15*0.01+E28&lt;E12,"Exceed 10% Rule","")</f>
        <v/>
      </c>
    </row>
    <row r="14" spans="2:10">
      <c r="B14" s="233" t="s">
        <v>31</v>
      </c>
      <c r="C14" s="361">
        <f>SUM(C7:C12)</f>
        <v>31092</v>
      </c>
      <c r="D14" s="361">
        <f>SUM(D7:D12)</f>
        <v>32555</v>
      </c>
      <c r="E14" s="234">
        <f>SUM(E7:E12)</f>
        <v>6349</v>
      </c>
      <c r="G14" s="756" t="str">
        <f>CONCATENATE("Desired Carryover Into ",E1+1,"")</f>
        <v>Desired Carryover Into 2014</v>
      </c>
      <c r="H14" s="759"/>
      <c r="I14" s="759"/>
      <c r="J14" s="760"/>
    </row>
    <row r="15" spans="2:10">
      <c r="B15" s="233" t="s">
        <v>32</v>
      </c>
      <c r="C15" s="361">
        <f>C5+C14</f>
        <v>31092</v>
      </c>
      <c r="D15" s="361">
        <f>D5+D14</f>
        <v>32555</v>
      </c>
      <c r="E15" s="234">
        <f>E5+E14</f>
        <v>6623</v>
      </c>
      <c r="G15" s="545"/>
      <c r="H15" s="541"/>
      <c r="I15" s="543"/>
      <c r="J15" s="546"/>
    </row>
    <row r="16" spans="2:10">
      <c r="B16" s="131" t="s">
        <v>34</v>
      </c>
      <c r="C16" s="131"/>
      <c r="D16" s="350"/>
      <c r="E16" s="193"/>
      <c r="G16" s="544" t="s">
        <v>636</v>
      </c>
      <c r="H16" s="543"/>
      <c r="I16" s="543"/>
      <c r="J16" s="542">
        <v>0</v>
      </c>
    </row>
    <row r="17" spans="2:11">
      <c r="B17" s="231" t="s">
        <v>1031</v>
      </c>
      <c r="C17" s="360">
        <v>31092</v>
      </c>
      <c r="D17" s="224">
        <v>32281</v>
      </c>
      <c r="E17" s="50">
        <v>32486</v>
      </c>
      <c r="G17" s="545" t="s">
        <v>637</v>
      </c>
      <c r="H17" s="541"/>
      <c r="I17" s="541"/>
      <c r="J17" s="553" t="str">
        <f>IF(J16=0,"",ROUND((J16+E28-G29)/inputOth!E7*1000,3)-G34)</f>
        <v/>
      </c>
    </row>
    <row r="18" spans="2:11">
      <c r="B18" s="240" t="s">
        <v>271</v>
      </c>
      <c r="C18" s="360"/>
      <c r="D18" s="224"/>
      <c r="E18" s="193" t="str">
        <f>nhood!E8</f>
        <v/>
      </c>
      <c r="G18" s="550" t="str">
        <f>CONCATENATE("",E1," Tot Exp/Non-Appr Must Be:")</f>
        <v>2013 Tot Exp/Non-Appr Must Be:</v>
      </c>
      <c r="H18" s="548"/>
      <c r="I18" s="549"/>
      <c r="J18" s="547">
        <f>IF(J16&gt;0,IF(E25&lt;E15,IF(J16=G29,E25,((J16-G29)*(1-D27))+E15),E25+(J16-G29)),0)</f>
        <v>0</v>
      </c>
    </row>
    <row r="19" spans="2:11">
      <c r="B19" s="240" t="s">
        <v>270</v>
      </c>
      <c r="C19" s="360"/>
      <c r="D19" s="224"/>
      <c r="E19" s="50"/>
      <c r="G19" s="552" t="s">
        <v>813</v>
      </c>
      <c r="H19" s="554"/>
      <c r="I19" s="554"/>
      <c r="J19" s="551">
        <f>IF(J16&gt;0,J18-E25,0)</f>
        <v>0</v>
      </c>
    </row>
    <row r="20" spans="2:11">
      <c r="B20" s="240" t="s">
        <v>632</v>
      </c>
      <c r="C20" s="352" t="str">
        <f>IF(C21*0.1&lt;C19,"Exceed 10% Rule","")</f>
        <v/>
      </c>
      <c r="D20" s="365" t="str">
        <f>IF(D21*0.1&lt;D19,"Exceed 10% Rule","")</f>
        <v/>
      </c>
      <c r="E20" s="254" t="str">
        <f>IF(E21*0.1&lt;E19,"Exceed 10% Rule","")</f>
        <v/>
      </c>
    </row>
    <row r="21" spans="2:11">
      <c r="B21" s="233" t="s">
        <v>38</v>
      </c>
      <c r="C21" s="361">
        <f>SUM(C17:C19)</f>
        <v>31092</v>
      </c>
      <c r="D21" s="361">
        <f>SUM(D17:D19)</f>
        <v>32281</v>
      </c>
      <c r="E21" s="234">
        <f>SUM(E17:E19)</f>
        <v>32486</v>
      </c>
      <c r="G21" s="756" t="str">
        <f>CONCATENATE("Projected Carryover Into ",E1+1,"")</f>
        <v>Projected Carryover Into 2014</v>
      </c>
      <c r="H21" s="757"/>
      <c r="I21" s="757"/>
      <c r="J21" s="758"/>
    </row>
    <row r="22" spans="2:11">
      <c r="B22" s="131" t="s">
        <v>146</v>
      </c>
      <c r="C22" s="362">
        <f>C15-C21</f>
        <v>0</v>
      </c>
      <c r="D22" s="362">
        <f>D15-D21</f>
        <v>274</v>
      </c>
      <c r="E22" s="253" t="s">
        <v>13</v>
      </c>
      <c r="G22" s="556"/>
      <c r="H22" s="555"/>
      <c r="I22" s="555"/>
      <c r="J22" s="662"/>
    </row>
    <row r="23" spans="2:11">
      <c r="B23" s="119" t="str">
        <f>CONCATENATE("",E1-2,"/",E1-1," Budget Authority Amount:")</f>
        <v>2011/2012 Budget Authority Amount:</v>
      </c>
      <c r="C23" s="183">
        <f>inputOth!B63</f>
        <v>31245</v>
      </c>
      <c r="D23" s="183">
        <f>inputPrYr!D19</f>
        <v>32281</v>
      </c>
      <c r="E23" s="253" t="s">
        <v>13</v>
      </c>
      <c r="G23" s="558">
        <f>D22</f>
        <v>274</v>
      </c>
      <c r="H23" s="559" t="str">
        <f>CONCATENATE("",E1-1," Ending Cash Balance (est.)")</f>
        <v>2012 Ending Cash Balance (est.)</v>
      </c>
      <c r="I23" s="560"/>
      <c r="J23" s="662"/>
    </row>
    <row r="24" spans="2:11">
      <c r="B24" s="119"/>
      <c r="C24" s="746" t="s">
        <v>629</v>
      </c>
      <c r="D24" s="747"/>
      <c r="E24" s="50"/>
      <c r="G24" s="558">
        <f>E14</f>
        <v>6349</v>
      </c>
      <c r="H24" s="561" t="str">
        <f>CONCATENATE("",E1," Non-AV Receipts (est.)")</f>
        <v>2013 Non-AV Receipts (est.)</v>
      </c>
      <c r="I24" s="560"/>
      <c r="J24" s="662"/>
    </row>
    <row r="25" spans="2:11">
      <c r="B25" s="366" t="str">
        <f>CONCATENATE(C41,"     ",D41)</f>
        <v xml:space="preserve">     </v>
      </c>
      <c r="C25" s="748" t="s">
        <v>630</v>
      </c>
      <c r="D25" s="749"/>
      <c r="E25" s="193">
        <f>E21+E24</f>
        <v>32486</v>
      </c>
      <c r="G25" s="562">
        <f>IF(E27&gt;0,E26,E28)</f>
        <v>25863</v>
      </c>
      <c r="H25" s="561" t="str">
        <f>CONCATENATE("",E1," Ad Valorem Tax (est.)")</f>
        <v>2013 Ad Valorem Tax (est.)</v>
      </c>
      <c r="I25" s="560"/>
      <c r="J25" s="662"/>
    </row>
    <row r="26" spans="2:11">
      <c r="B26" s="366" t="str">
        <f>CONCATENATE(C42,"     ",D42)</f>
        <v xml:space="preserve">     </v>
      </c>
      <c r="C26" s="244"/>
      <c r="D26" s="147" t="s">
        <v>39</v>
      </c>
      <c r="E26" s="57">
        <f>IF(E25-E15&gt;0,E25-E15,0)</f>
        <v>25863</v>
      </c>
      <c r="G26" s="564">
        <f>SUM(G23:G25)</f>
        <v>32486</v>
      </c>
      <c r="H26" s="561" t="str">
        <f>CONCATENATE("Total ",E1," Resources Available")</f>
        <v>Total 2013 Resources Available</v>
      </c>
      <c r="I26" s="557"/>
      <c r="J26" s="662"/>
    </row>
    <row r="27" spans="2:11">
      <c r="B27" s="147"/>
      <c r="C27" s="357" t="s">
        <v>631</v>
      </c>
      <c r="D27" s="539">
        <f>inputOth!E47</f>
        <v>0.02</v>
      </c>
      <c r="E27" s="193">
        <f>ROUND(IF(D27&gt;0,(E26*D27),0),0)</f>
        <v>517</v>
      </c>
      <c r="G27" s="567"/>
      <c r="H27" s="565"/>
      <c r="I27" s="555"/>
      <c r="J27" s="662"/>
    </row>
    <row r="28" spans="2:11" ht="16.5" thickBot="1">
      <c r="B28" s="22"/>
      <c r="C28" s="761" t="str">
        <f>CONCATENATE("Amount of  ",E1-1," Ad Valorem Tax")</f>
        <v>Amount of  2012 Ad Valorem Tax</v>
      </c>
      <c r="D28" s="762"/>
      <c r="E28" s="259">
        <f>E26+E27</f>
        <v>26380</v>
      </c>
      <c r="G28" s="566">
        <f>ROUND(C21*0.05+C21,0)</f>
        <v>32647</v>
      </c>
      <c r="H28" s="565" t="str">
        <f>CONCATENATE("Less ",E1-2," Expenditures + 5%")</f>
        <v>Less 2011 Expenditures + 5%</v>
      </c>
      <c r="I28" s="557"/>
      <c r="J28" s="662"/>
    </row>
    <row r="29" spans="2:11" ht="16.5" thickTop="1">
      <c r="B29" s="22"/>
      <c r="C29" s="761"/>
      <c r="D29" s="761"/>
      <c r="E29" s="22"/>
      <c r="F29" s="243"/>
      <c r="G29" s="568">
        <f>G26-G28</f>
        <v>-161</v>
      </c>
      <c r="H29" s="569" t="str">
        <f>CONCATENATE("Projected ",E1+1," carryover (est.)")</f>
        <v>Projected 2014 carryover (est.)</v>
      </c>
      <c r="I29" s="563"/>
      <c r="J29" s="533"/>
      <c r="K29" s="540" t="str">
        <f>IF(G25=E28,"","Note: Does not include Delinquent Taxes")</f>
        <v>Note: Does not include Delinquent Taxes</v>
      </c>
    </row>
    <row r="30" spans="2:11">
      <c r="B30" s="22"/>
      <c r="C30" s="358"/>
      <c r="D30" s="147"/>
      <c r="E30" s="147"/>
      <c r="F30" s="686" t="str">
        <f>IF(E21/0.95-E21&lt;E24,"Exceeds 5%","")</f>
        <v/>
      </c>
    </row>
    <row r="31" spans="2:11">
      <c r="B31" s="119" t="s">
        <v>41</v>
      </c>
      <c r="C31" s="252">
        <v>9</v>
      </c>
      <c r="D31" s="78"/>
      <c r="E31" s="22"/>
      <c r="G31" s="753" t="s">
        <v>869</v>
      </c>
      <c r="H31" s="754"/>
      <c r="I31" s="754"/>
      <c r="J31" s="755"/>
    </row>
    <row r="32" spans="2:11">
      <c r="B32" s="356"/>
      <c r="G32" s="668"/>
      <c r="H32" s="627"/>
      <c r="I32" s="656"/>
      <c r="J32" s="657"/>
    </row>
    <row r="33" spans="2:10">
      <c r="C33" s="83"/>
      <c r="G33" s="670">
        <f>summ!H17</f>
        <v>3.9990000000000001</v>
      </c>
      <c r="H33" s="627" t="str">
        <f>CONCATENATE("",E1," Fund Mill Rate")</f>
        <v>2013 Fund Mill Rate</v>
      </c>
      <c r="I33" s="656"/>
      <c r="J33" s="657"/>
    </row>
    <row r="34" spans="2:10">
      <c r="B34" s="83"/>
      <c r="F34" s="535" t="str">
        <f>IF('Library Grant '!F33="","",IF('Library Grant '!F33="Qualify","Qualifies for State Library Grant","See 'Library Grant' tab"))</f>
        <v>Qualifies for State Library Grant</v>
      </c>
      <c r="G34" s="669">
        <f>summ!E17</f>
        <v>3.9569999999999999</v>
      </c>
      <c r="H34" s="627" t="str">
        <f>CONCATENATE("",E1-1," Fund Mill Rate")</f>
        <v>2012 Fund Mill Rate</v>
      </c>
      <c r="I34" s="656"/>
      <c r="J34" s="657"/>
    </row>
    <row r="35" spans="2:10">
      <c r="G35" s="671">
        <f>summ!H28</f>
        <v>42.775000000000006</v>
      </c>
      <c r="H35" s="627" t="str">
        <f>CONCATENATE("Total ",E1," Mill Rate")</f>
        <v>Total 2013 Mill Rate</v>
      </c>
      <c r="I35" s="656"/>
      <c r="J35" s="657"/>
    </row>
    <row r="36" spans="2:10">
      <c r="G36" s="669">
        <f>summ!E28</f>
        <v>41.686999999999998</v>
      </c>
      <c r="H36" s="652" t="str">
        <f>CONCATENATE("Total ",E1-1," Mill Rate")</f>
        <v>Total 2012 Mill Rate</v>
      </c>
      <c r="I36" s="653"/>
      <c r="J36" s="654"/>
    </row>
    <row r="38" spans="2:10">
      <c r="C38" s="23" t="e">
        <f>IF(#REF!&gt;#REF!,"See Tab A","")</f>
        <v>#REF!</v>
      </c>
      <c r="D38" s="23" t="e">
        <f>IF(#REF!&gt;#REF!,"See Tab C","")</f>
        <v>#REF!</v>
      </c>
    </row>
    <row r="39" spans="2:10">
      <c r="C39" s="23" t="e">
        <f>IF(#REF!&lt;0,"See Tab B","")</f>
        <v>#REF!</v>
      </c>
      <c r="D39" s="23" t="e">
        <f>IF(#REF!&lt;0,"See Tab D","")</f>
        <v>#REF!</v>
      </c>
    </row>
    <row r="41" spans="2:10">
      <c r="C41" s="23" t="str">
        <f>IF(C21&gt;C23,"See Tab A","")</f>
        <v/>
      </c>
      <c r="D41" s="23" t="str">
        <f>IF(D21&gt;D23,"See Tab C","")</f>
        <v/>
      </c>
    </row>
    <row r="42" spans="2:10">
      <c r="C42" s="23" t="str">
        <f>IF(C22&lt;0,"See Tab B","")</f>
        <v/>
      </c>
      <c r="D42" s="23" t="str">
        <f>IF(D22&lt;0,"See Tab D","")</f>
        <v/>
      </c>
    </row>
    <row r="44" spans="2:10" ht="15.75" hidden="1" customHeight="1"/>
    <row r="45" spans="2:10" ht="15.75" hidden="1" customHeight="1"/>
    <row r="46" spans="2:10" ht="15.75" hidden="1" customHeight="1"/>
    <row r="47" spans="2:10" ht="15.75" hidden="1" customHeight="1"/>
    <row r="48" spans="2:10" ht="15.75" hidden="1" customHeight="1"/>
  </sheetData>
  <mergeCells count="7">
    <mergeCell ref="G31:J31"/>
    <mergeCell ref="G21:J21"/>
    <mergeCell ref="G14:J14"/>
    <mergeCell ref="C29:D29"/>
    <mergeCell ref="C28:D28"/>
    <mergeCell ref="C24:D24"/>
    <mergeCell ref="C25:D25"/>
  </mergeCells>
  <phoneticPr fontId="11" type="noConversion"/>
  <conditionalFormatting sqref="E19">
    <cfRule type="cellIs" dxfId="210" priority="20" stopIfTrue="1" operator="greaterThan">
      <formula>$E$21*0.1</formula>
    </cfRule>
  </conditionalFormatting>
  <conditionalFormatting sqref="E24">
    <cfRule type="cellIs" dxfId="209" priority="19" stopIfTrue="1" operator="greaterThan">
      <formula>$E$21/0.95-$E$21</formula>
    </cfRule>
  </conditionalFormatting>
  <conditionalFormatting sqref="C21">
    <cfRule type="cellIs" dxfId="208" priority="16" stopIfTrue="1" operator="greaterThan">
      <formula>$C$23</formula>
    </cfRule>
  </conditionalFormatting>
  <conditionalFormatting sqref="C22">
    <cfRule type="cellIs" dxfId="207" priority="15" stopIfTrue="1" operator="lessThan">
      <formula>0</formula>
    </cfRule>
  </conditionalFormatting>
  <conditionalFormatting sqref="D21">
    <cfRule type="cellIs" dxfId="206" priority="14" stopIfTrue="1" operator="greaterThan">
      <formula>$D$23</formula>
    </cfRule>
  </conditionalFormatting>
  <conditionalFormatting sqref="C19">
    <cfRule type="cellIs" dxfId="205" priority="9" stopIfTrue="1" operator="greaterThan">
      <formula>$C$21*0.1</formula>
    </cfRule>
  </conditionalFormatting>
  <conditionalFormatting sqref="D19">
    <cfRule type="cellIs" dxfId="204" priority="8" stopIfTrue="1" operator="greaterThan">
      <formula>$D$21*0.1</formula>
    </cfRule>
  </conditionalFormatting>
  <conditionalFormatting sqref="C12">
    <cfRule type="cellIs" dxfId="203" priority="4" stopIfTrue="1" operator="greaterThan">
      <formula>$C$14*0.1</formula>
    </cfRule>
  </conditionalFormatting>
  <conditionalFormatting sqref="D12">
    <cfRule type="cellIs" dxfId="202" priority="3" stopIfTrue="1" operator="greaterThan">
      <formula>$D$14*0.1</formula>
    </cfRule>
  </conditionalFormatting>
  <conditionalFormatting sqref="E12">
    <cfRule type="cellIs" dxfId="201" priority="2" stopIfTrue="1" operator="greaterThan">
      <formula>$E$14*0.1+E28</formula>
    </cfRule>
  </conditionalFormatting>
  <conditionalFormatting sqref="D22">
    <cfRule type="cellIs" dxfId="200" priority="1" stopIfTrue="1" operator="lessThan">
      <formula>0</formula>
    </cfRule>
  </conditionalFormatting>
  <pageMargins left="0.75" right="0.75" top="1" bottom="1" header="0.5" footer="0.5"/>
  <pageSetup scale="94" orientation="portrait" blackAndWhite="1"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8"/>
  <sheetViews>
    <sheetView topLeftCell="A65" zoomScaleNormal="100" workbookViewId="0">
      <selection activeCell="D52" sqref="D52"/>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t="s">
        <v>90</v>
      </c>
      <c r="C3" s="169"/>
      <c r="D3" s="169"/>
      <c r="E3" s="256"/>
    </row>
    <row r="4" spans="2:5">
      <c r="B4" s="29" t="s">
        <v>24</v>
      </c>
      <c r="C4" s="604" t="s">
        <v>808</v>
      </c>
      <c r="D4" s="605" t="s">
        <v>811</v>
      </c>
      <c r="E4" s="125" t="s">
        <v>812</v>
      </c>
    </row>
    <row r="5" spans="2:5">
      <c r="B5" s="364">
        <f>inputPrYr!B21</f>
        <v>0</v>
      </c>
      <c r="C5" s="351" t="str">
        <f>CONCATENATE("Actual for ",E1-2,"")</f>
        <v>Actual for 2011</v>
      </c>
      <c r="D5" s="351" t="str">
        <f>CONCATENATE("Estimate for ",E1-1,"")</f>
        <v>Estimate for 2012</v>
      </c>
      <c r="E5" s="222" t="str">
        <f>CONCATENATE("Year for ",E1,"")</f>
        <v>Year for 2013</v>
      </c>
    </row>
    <row r="6" spans="2:5">
      <c r="B6" s="223" t="s">
        <v>145</v>
      </c>
      <c r="C6" s="224"/>
      <c r="D6" s="350">
        <f>C34</f>
        <v>0</v>
      </c>
      <c r="E6" s="193">
        <f>D34</f>
        <v>0</v>
      </c>
    </row>
    <row r="7" spans="2:5">
      <c r="B7" s="226" t="s">
        <v>147</v>
      </c>
      <c r="C7" s="139"/>
      <c r="D7" s="139"/>
      <c r="E7" s="68"/>
    </row>
    <row r="8" spans="2:5">
      <c r="B8" s="131" t="s">
        <v>25</v>
      </c>
      <c r="C8" s="224"/>
      <c r="D8" s="350">
        <f>IF(inputPrYr!H16&gt;0,inputPrYr!G21,inputPrYr!E21)</f>
        <v>0</v>
      </c>
      <c r="E8" s="253" t="s">
        <v>13</v>
      </c>
    </row>
    <row r="9" spans="2:5">
      <c r="B9" s="131" t="s">
        <v>26</v>
      </c>
      <c r="C9" s="224"/>
      <c r="D9" s="224"/>
      <c r="E9" s="50"/>
    </row>
    <row r="10" spans="2:5">
      <c r="B10" s="131" t="s">
        <v>27</v>
      </c>
      <c r="C10" s="224"/>
      <c r="D10" s="224"/>
      <c r="E10" s="193" t="str">
        <f>mvalloc!D10</f>
        <v xml:space="preserve">  </v>
      </c>
    </row>
    <row r="11" spans="2:5">
      <c r="B11" s="131" t="s">
        <v>28</v>
      </c>
      <c r="C11" s="224"/>
      <c r="D11" s="224"/>
      <c r="E11" s="193" t="str">
        <f>mvalloc!E10</f>
        <v xml:space="preserve"> </v>
      </c>
    </row>
    <row r="12" spans="2:5">
      <c r="B12" s="139" t="s">
        <v>122</v>
      </c>
      <c r="C12" s="224"/>
      <c r="D12" s="224"/>
      <c r="E12" s="193" t="str">
        <f>mvalloc!F10</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30</v>
      </c>
      <c r="C17" s="224"/>
      <c r="D17" s="224"/>
      <c r="E17" s="50"/>
    </row>
    <row r="18" spans="2:10">
      <c r="B18" s="139" t="s">
        <v>270</v>
      </c>
      <c r="C18" s="224"/>
      <c r="D18" s="224"/>
      <c r="E18" s="50"/>
    </row>
    <row r="19" spans="2:10">
      <c r="B19" s="223" t="s">
        <v>791</v>
      </c>
      <c r="C19" s="348" t="str">
        <f>IF(C20*0.1&lt;C18,"Exceed 10% Rule","")</f>
        <v/>
      </c>
      <c r="D19" s="348" t="str">
        <f>IF(D20*0.1&lt;D18,"Exceed 10% Rule","")</f>
        <v/>
      </c>
      <c r="E19" s="355" t="str">
        <f>IF(E20*0.1+E40&lt;E18,"Exceed 10% Rule","")</f>
        <v/>
      </c>
    </row>
    <row r="20" spans="2:10">
      <c r="B20" s="233" t="s">
        <v>31</v>
      </c>
      <c r="C20" s="353">
        <f>SUM(C8:C18)</f>
        <v>0</v>
      </c>
      <c r="D20" s="353">
        <f>SUM(D8:D18)</f>
        <v>0</v>
      </c>
      <c r="E20" s="258">
        <f>SUM(E8:E18)</f>
        <v>0</v>
      </c>
    </row>
    <row r="21" spans="2:10">
      <c r="B21" s="233" t="s">
        <v>32</v>
      </c>
      <c r="C21" s="350">
        <f>C6+C20</f>
        <v>0</v>
      </c>
      <c r="D21" s="350">
        <f>D6+D20</f>
        <v>0</v>
      </c>
      <c r="E21" s="193">
        <f>E6+E20</f>
        <v>0</v>
      </c>
    </row>
    <row r="22" spans="2:10">
      <c r="B22" s="131" t="s">
        <v>34</v>
      </c>
      <c r="C22" s="240"/>
      <c r="D22" s="240"/>
      <c r="E22" s="48"/>
    </row>
    <row r="23" spans="2:10">
      <c r="B23" s="239"/>
      <c r="C23" s="224"/>
      <c r="D23" s="224"/>
      <c r="E23" s="50"/>
    </row>
    <row r="24" spans="2:10">
      <c r="B24" s="239"/>
      <c r="C24" s="224"/>
      <c r="D24" s="224"/>
      <c r="E24" s="50"/>
      <c r="G24" s="765" t="str">
        <f>CONCATENATE("Desired Carryover Into ",E1+1,"")</f>
        <v>Desired Carryover Into 2014</v>
      </c>
      <c r="H24" s="766"/>
      <c r="I24" s="766"/>
      <c r="J24" s="758"/>
    </row>
    <row r="25" spans="2:10">
      <c r="B25" s="239"/>
      <c r="C25" s="224"/>
      <c r="D25" s="224"/>
      <c r="E25" s="50"/>
      <c r="G25" s="635"/>
      <c r="H25" s="622"/>
      <c r="I25" s="629"/>
      <c r="J25" s="636"/>
    </row>
    <row r="26" spans="2:10">
      <c r="B26" s="239"/>
      <c r="C26" s="224"/>
      <c r="D26" s="224"/>
      <c r="E26" s="50"/>
      <c r="G26" s="634" t="s">
        <v>636</v>
      </c>
      <c r="H26" s="629"/>
      <c r="I26" s="629"/>
      <c r="J26" s="623">
        <v>0</v>
      </c>
    </row>
    <row r="27" spans="2:10">
      <c r="B27" s="239"/>
      <c r="C27" s="224"/>
      <c r="D27" s="224"/>
      <c r="E27" s="50"/>
      <c r="G27" s="635" t="s">
        <v>637</v>
      </c>
      <c r="H27" s="622"/>
      <c r="I27" s="622"/>
      <c r="J27" s="663" t="str">
        <f>IF(J26=0,"",ROUND((J26+E40-G39)/inputOth!E7*1000,3)-G44)</f>
        <v/>
      </c>
    </row>
    <row r="28" spans="2:10">
      <c r="B28" s="239"/>
      <c r="C28" s="224"/>
      <c r="D28" s="224"/>
      <c r="E28" s="50"/>
      <c r="G28" s="660" t="str">
        <f>CONCATENATE("",E1," Tot Exp/Non-Appr Must Be:")</f>
        <v>2013 Tot Exp/Non-Appr Must Be:</v>
      </c>
      <c r="H28" s="658"/>
      <c r="I28" s="659"/>
      <c r="J28" s="655">
        <f>IF(J26&gt;0,IF(E37&lt;E21,IF(J26=G39,E37,((J26-G39)*(1-D39))+E21),E37+(J26-G39)),0)</f>
        <v>0</v>
      </c>
    </row>
    <row r="29" spans="2:10">
      <c r="B29" s="239"/>
      <c r="C29" s="224"/>
      <c r="D29" s="224"/>
      <c r="E29" s="50"/>
      <c r="G29" s="538" t="s">
        <v>813</v>
      </c>
      <c r="H29" s="666"/>
      <c r="I29" s="666"/>
      <c r="J29" s="661">
        <f>IF(J26&gt;0,J28-E37,0)</f>
        <v>0</v>
      </c>
    </row>
    <row r="30" spans="2:10">
      <c r="B30" s="240" t="s">
        <v>271</v>
      </c>
      <c r="C30" s="224"/>
      <c r="D30" s="224"/>
      <c r="E30" s="57" t="str">
        <f>nhood!E9</f>
        <v/>
      </c>
      <c r="J30" s="612"/>
    </row>
    <row r="31" spans="2:10">
      <c r="B31" s="240" t="s">
        <v>270</v>
      </c>
      <c r="C31" s="224"/>
      <c r="D31" s="224"/>
      <c r="E31" s="50"/>
      <c r="G31" s="765" t="str">
        <f>CONCATENATE("Projected Carryover Into ",E1+1,"")</f>
        <v>Projected Carryover Into 2014</v>
      </c>
      <c r="H31" s="767"/>
      <c r="I31" s="767"/>
      <c r="J31" s="768"/>
    </row>
    <row r="32" spans="2:10">
      <c r="B32" s="240" t="s">
        <v>792</v>
      </c>
      <c r="C32" s="348" t="str">
        <f>IF(C33*0.1&lt;C31,"Exceed 10% Rule","")</f>
        <v/>
      </c>
      <c r="D32" s="348" t="str">
        <f>IF(D33*0.1&lt;D31,"Exceed 10% Rule","")</f>
        <v/>
      </c>
      <c r="E32" s="355" t="str">
        <f>IF(E33*0.1&lt;E31,"Exceed 10% Rule","")</f>
        <v/>
      </c>
      <c r="G32" s="635"/>
      <c r="H32" s="629"/>
      <c r="I32" s="629"/>
      <c r="J32" s="672"/>
    </row>
    <row r="33" spans="2:11">
      <c r="B33" s="233" t="s">
        <v>38</v>
      </c>
      <c r="C33" s="353">
        <f>SUM(C23:C31)</f>
        <v>0</v>
      </c>
      <c r="D33" s="353">
        <f>SUM(D23:D31)</f>
        <v>0</v>
      </c>
      <c r="E33" s="258">
        <f>SUM(E23:E31)</f>
        <v>0</v>
      </c>
      <c r="G33" s="626">
        <f>D34</f>
        <v>0</v>
      </c>
      <c r="H33" s="627" t="str">
        <f>CONCATENATE("",E1-1," Ending Cash Balance (est.)")</f>
        <v>2012 Ending Cash Balance (est.)</v>
      </c>
      <c r="I33" s="628"/>
      <c r="J33" s="672"/>
    </row>
    <row r="34" spans="2:11">
      <c r="B34" s="131" t="s">
        <v>146</v>
      </c>
      <c r="C34" s="350">
        <f>C21-C33</f>
        <v>0</v>
      </c>
      <c r="D34" s="350">
        <f>D21-D33</f>
        <v>0</v>
      </c>
      <c r="E34" s="253" t="s">
        <v>13</v>
      </c>
      <c r="G34" s="626">
        <f>E20</f>
        <v>0</v>
      </c>
      <c r="H34" s="629" t="str">
        <f>CONCATENATE("",E1," Non-AV Receipts (est.)")</f>
        <v>2013 Non-AV Receipts (est.)</v>
      </c>
      <c r="I34" s="628"/>
      <c r="J34" s="672"/>
    </row>
    <row r="35" spans="2:11">
      <c r="B35" s="119" t="str">
        <f>CONCATENATE("",$E$1-2,"/",$E$1-1," Budget Authority Amount:")</f>
        <v>2011/2012 Budget Authority Amount:</v>
      </c>
      <c r="C35" s="183">
        <f>inputOth!B64</f>
        <v>0</v>
      </c>
      <c r="D35" s="242">
        <f>inputPrYr!D21</f>
        <v>0</v>
      </c>
      <c r="E35" s="253" t="s">
        <v>13</v>
      </c>
      <c r="F35" s="243"/>
      <c r="G35" s="630">
        <f>IF(E39&gt;0,E38,E40)</f>
        <v>0</v>
      </c>
      <c r="H35" s="629" t="str">
        <f>CONCATENATE("",E1," Ad Valorem Tax (est.)")</f>
        <v>2013 Ad Valorem Tax (est.)</v>
      </c>
      <c r="I35" s="628"/>
      <c r="J35" s="674"/>
      <c r="K35" s="540" t="str">
        <f>IF(G35=E40,"","Note: Does not include Delinquent Taxes")</f>
        <v/>
      </c>
    </row>
    <row r="36" spans="2:11">
      <c r="B36" s="119"/>
      <c r="C36" s="746" t="s">
        <v>629</v>
      </c>
      <c r="D36" s="747"/>
      <c r="E36" s="50"/>
      <c r="F36" s="686" t="str">
        <f>IF(E33/0.95-E33&lt;E36,"Exceeds 5%","")</f>
        <v/>
      </c>
      <c r="G36" s="626">
        <f>SUM(G33:G35)</f>
        <v>0</v>
      </c>
      <c r="H36" s="629" t="str">
        <f>CONCATENATE("Total ",E1," Resources Available")</f>
        <v>Total 2013 Resources Available</v>
      </c>
      <c r="I36" s="628"/>
      <c r="J36" s="672"/>
    </row>
    <row r="37" spans="2:11">
      <c r="B37" s="366" t="str">
        <f>CONCATENATE(C95,"     ",D95)</f>
        <v xml:space="preserve">     </v>
      </c>
      <c r="C37" s="748" t="s">
        <v>630</v>
      </c>
      <c r="D37" s="749"/>
      <c r="E37" s="193">
        <f>SUM(E33+E36)</f>
        <v>0</v>
      </c>
      <c r="G37" s="631"/>
      <c r="H37" s="629"/>
      <c r="I37" s="629"/>
      <c r="J37" s="672"/>
    </row>
    <row r="38" spans="2:11">
      <c r="B38" s="366" t="str">
        <f>CONCATENATE(C96,"     ",D96)</f>
        <v xml:space="preserve">     </v>
      </c>
      <c r="C38" s="357"/>
      <c r="D38" s="147" t="s">
        <v>39</v>
      </c>
      <c r="E38" s="193">
        <f>IF(E37-E21&gt;0,E37-E21,0)</f>
        <v>0</v>
      </c>
      <c r="G38" s="630">
        <f>ROUND(C33*0.05+C33,0)</f>
        <v>0</v>
      </c>
      <c r="H38" s="629" t="str">
        <f>CONCATENATE("Less ",E1-2," Expenditures + 5%")</f>
        <v>Less 2011 Expenditures + 5%</v>
      </c>
      <c r="I38" s="628"/>
      <c r="J38" s="672"/>
    </row>
    <row r="39" spans="2:11">
      <c r="B39" s="366"/>
      <c r="C39" s="357" t="s">
        <v>631</v>
      </c>
      <c r="D39" s="539">
        <f>inputOth!$E$47</f>
        <v>0.02</v>
      </c>
      <c r="E39" s="193">
        <f>ROUND(IF(D39&gt;0,(E38*D39),0),0)</f>
        <v>0</v>
      </c>
      <c r="G39" s="664">
        <f>G36-G38</f>
        <v>0</v>
      </c>
      <c r="H39" s="665" t="str">
        <f>CONCATENATE("Projected ",E1+1," carryover (est.)")</f>
        <v>Projected 2014 carryover (est.)</v>
      </c>
      <c r="I39" s="632"/>
      <c r="J39" s="673"/>
    </row>
    <row r="40" spans="2:11" ht="16.5" thickBot="1">
      <c r="B40" s="22"/>
      <c r="C40" s="750" t="str">
        <f>CONCATENATE("Amount of  ",$E$1-1," Ad Valorem Tax")</f>
        <v>Amount of  2012 Ad Valorem Tax</v>
      </c>
      <c r="D40" s="751"/>
      <c r="E40" s="259">
        <f>SUM(E38:E39)</f>
        <v>0</v>
      </c>
      <c r="G40" s="612"/>
      <c r="H40" s="612"/>
      <c r="I40" s="612"/>
      <c r="J40" s="612"/>
    </row>
    <row r="41" spans="2:11" ht="16.5" thickTop="1">
      <c r="B41" s="22"/>
      <c r="C41" s="761"/>
      <c r="D41" s="761"/>
      <c r="E41" s="22"/>
      <c r="G41" s="753" t="s">
        <v>869</v>
      </c>
      <c r="H41" s="763"/>
      <c r="I41" s="763"/>
      <c r="J41" s="764"/>
    </row>
    <row r="42" spans="2:11">
      <c r="B42" s="22"/>
      <c r="C42" s="22"/>
      <c r="D42" s="22"/>
      <c r="E42" s="22"/>
      <c r="G42" s="668"/>
      <c r="H42" s="627"/>
      <c r="I42" s="656"/>
      <c r="J42" s="657"/>
    </row>
    <row r="43" spans="2:11">
      <c r="B43" s="29"/>
      <c r="C43" s="257"/>
      <c r="D43" s="257"/>
      <c r="E43" s="257"/>
      <c r="G43" s="670" t="e">
        <f>summ!#REF!</f>
        <v>#REF!</v>
      </c>
      <c r="H43" s="627" t="str">
        <f>CONCATENATE("",E1," Fund Mill Rate")</f>
        <v>2013 Fund Mill Rate</v>
      </c>
      <c r="I43" s="656"/>
      <c r="J43" s="657"/>
    </row>
    <row r="44" spans="2:11">
      <c r="B44" s="29" t="s">
        <v>24</v>
      </c>
      <c r="C44" s="604" t="str">
        <f t="shared" ref="C44:E45" si="0">C4</f>
        <v xml:space="preserve">Prior Year </v>
      </c>
      <c r="D44" s="605" t="str">
        <f t="shared" si="0"/>
        <v xml:space="preserve">Current Year </v>
      </c>
      <c r="E44" s="125" t="str">
        <f t="shared" si="0"/>
        <v xml:space="preserve">Proposed Budget </v>
      </c>
      <c r="G44" s="669" t="e">
        <f>summ!#REF!</f>
        <v>#REF!</v>
      </c>
      <c r="H44" s="627" t="str">
        <f>CONCATENATE("",E1-1," Fund Mill Rate")</f>
        <v>2012 Fund Mill Rate</v>
      </c>
      <c r="I44" s="656"/>
      <c r="J44" s="657"/>
    </row>
    <row r="45" spans="2:11">
      <c r="B45" s="363">
        <f>(inputPrYr!B22)</f>
        <v>0</v>
      </c>
      <c r="C45" s="351" t="str">
        <f t="shared" si="0"/>
        <v>Actual for 2011</v>
      </c>
      <c r="D45" s="351" t="str">
        <f t="shared" si="0"/>
        <v>Estimate for 2012</v>
      </c>
      <c r="E45" s="178" t="str">
        <f t="shared" si="0"/>
        <v>Year for 2013</v>
      </c>
      <c r="G45" s="671">
        <f>summ!H28</f>
        <v>42.775000000000006</v>
      </c>
      <c r="H45" s="627" t="str">
        <f>CONCATENATE("Total ",E1," Mill Rate")</f>
        <v>Total 2013 Mill Rate</v>
      </c>
      <c r="I45" s="656"/>
      <c r="J45" s="657"/>
    </row>
    <row r="46" spans="2:11">
      <c r="B46" s="223" t="s">
        <v>145</v>
      </c>
      <c r="C46" s="224"/>
      <c r="D46" s="350">
        <f>C74</f>
        <v>0</v>
      </c>
      <c r="E46" s="193">
        <f>D74</f>
        <v>0</v>
      </c>
      <c r="G46" s="669">
        <f>summ!E28</f>
        <v>41.686999999999998</v>
      </c>
      <c r="H46" s="652" t="str">
        <f>CONCATENATE("Total ",E1-1," Mill Rate")</f>
        <v>Total 2012 Mill Rate</v>
      </c>
      <c r="I46" s="653"/>
      <c r="J46" s="654"/>
    </row>
    <row r="47" spans="2:11">
      <c r="B47" s="223" t="s">
        <v>147</v>
      </c>
      <c r="C47" s="139"/>
      <c r="D47" s="139"/>
      <c r="E47" s="68"/>
    </row>
    <row r="48" spans="2:11">
      <c r="B48" s="131" t="s">
        <v>25</v>
      </c>
      <c r="C48" s="224"/>
      <c r="D48" s="350">
        <f>IF(inputPrYr!H16&gt;0,inputPrYr!G22,inputPrYr!E22)</f>
        <v>0</v>
      </c>
      <c r="E48" s="253" t="s">
        <v>13</v>
      </c>
    </row>
    <row r="49" spans="2:10">
      <c r="B49" s="131" t="s">
        <v>26</v>
      </c>
      <c r="C49" s="224"/>
      <c r="D49" s="224"/>
      <c r="E49" s="50"/>
    </row>
    <row r="50" spans="2:10">
      <c r="B50" s="131" t="s">
        <v>27</v>
      </c>
      <c r="C50" s="224"/>
      <c r="D50" s="224"/>
      <c r="E50" s="193" t="str">
        <f>mvalloc!D11</f>
        <v xml:space="preserve">  </v>
      </c>
    </row>
    <row r="51" spans="2:10">
      <c r="B51" s="131" t="s">
        <v>28</v>
      </c>
      <c r="C51" s="224"/>
      <c r="D51" s="224"/>
      <c r="E51" s="193" t="str">
        <f>mvalloc!E11</f>
        <v xml:space="preserve"> </v>
      </c>
    </row>
    <row r="52" spans="2:10">
      <c r="B52" s="139" t="s">
        <v>122</v>
      </c>
      <c r="C52" s="224"/>
      <c r="D52" s="224"/>
      <c r="E52" s="193" t="str">
        <f>mvalloc!F11</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30</v>
      </c>
      <c r="C57" s="224"/>
      <c r="D57" s="224"/>
      <c r="E57" s="50"/>
    </row>
    <row r="58" spans="2:10">
      <c r="B58" s="139" t="s">
        <v>270</v>
      </c>
      <c r="C58" s="224"/>
      <c r="D58" s="224"/>
      <c r="E58" s="50"/>
    </row>
    <row r="59" spans="2:10">
      <c r="B59" s="223" t="s">
        <v>791</v>
      </c>
      <c r="C59" s="348" t="str">
        <f>IF(C60*0.1&lt;C58,"Exceed 10% Rule","")</f>
        <v/>
      </c>
      <c r="D59" s="348" t="str">
        <f>IF(D60*0.1&lt;D58,"Exceed 10% Rule","")</f>
        <v/>
      </c>
      <c r="E59" s="355" t="str">
        <f>IF(E60*0.1+E80&lt;E58,"Exceed 10% Rule","")</f>
        <v/>
      </c>
    </row>
    <row r="60" spans="2:10">
      <c r="B60" s="233" t="s">
        <v>31</v>
      </c>
      <c r="C60" s="353">
        <f>SUM(C48:C58)</f>
        <v>0</v>
      </c>
      <c r="D60" s="353">
        <f>SUM(D48:D58)</f>
        <v>0</v>
      </c>
      <c r="E60" s="258">
        <f>SUM(E48:E58)</f>
        <v>0</v>
      </c>
    </row>
    <row r="61" spans="2:10">
      <c r="B61" s="233" t="s">
        <v>32</v>
      </c>
      <c r="C61" s="353">
        <f>C46+C60</f>
        <v>0</v>
      </c>
      <c r="D61" s="353">
        <f>D46+D60</f>
        <v>0</v>
      </c>
      <c r="E61" s="258">
        <f>E46+E60</f>
        <v>0</v>
      </c>
    </row>
    <row r="62" spans="2:10">
      <c r="B62" s="131" t="s">
        <v>34</v>
      </c>
      <c r="C62" s="240"/>
      <c r="D62" s="240"/>
      <c r="E62" s="48"/>
    </row>
    <row r="63" spans="2:10">
      <c r="B63" s="239"/>
      <c r="C63" s="224"/>
      <c r="D63" s="224"/>
      <c r="E63" s="50"/>
    </row>
    <row r="64" spans="2:10">
      <c r="B64" s="239"/>
      <c r="C64" s="224"/>
      <c r="D64" s="224"/>
      <c r="E64" s="50"/>
      <c r="G64" s="765" t="str">
        <f>CONCATENATE("Desired Carryover Into ",E1+1,"")</f>
        <v>Desired Carryover Into 2014</v>
      </c>
      <c r="H64" s="766"/>
      <c r="I64" s="766"/>
      <c r="J64" s="758"/>
    </row>
    <row r="65" spans="2:11">
      <c r="B65" s="239"/>
      <c r="C65" s="224"/>
      <c r="D65" s="224"/>
      <c r="E65" s="50"/>
      <c r="G65" s="635"/>
      <c r="H65" s="622"/>
      <c r="I65" s="629"/>
      <c r="J65" s="636"/>
    </row>
    <row r="66" spans="2:11">
      <c r="B66" s="239"/>
      <c r="C66" s="224"/>
      <c r="D66" s="224"/>
      <c r="E66" s="50"/>
      <c r="G66" s="634" t="s">
        <v>636</v>
      </c>
      <c r="H66" s="629"/>
      <c r="I66" s="629"/>
      <c r="J66" s="623">
        <v>0</v>
      </c>
    </row>
    <row r="67" spans="2:11">
      <c r="B67" s="239"/>
      <c r="C67" s="224"/>
      <c r="D67" s="224"/>
      <c r="E67" s="50"/>
      <c r="G67" s="635" t="s">
        <v>637</v>
      </c>
      <c r="H67" s="622"/>
      <c r="I67" s="622"/>
      <c r="J67" s="663" t="str">
        <f>IF(J66=0,"",ROUND((J66+E80-G79)/inputOth!E7*1000,3)-G84)</f>
        <v/>
      </c>
    </row>
    <row r="68" spans="2:11">
      <c r="B68" s="239"/>
      <c r="C68" s="224"/>
      <c r="D68" s="224"/>
      <c r="E68" s="50"/>
      <c r="G68" s="660" t="str">
        <f>CONCATENATE("",E1," Tot Exp/Non-Appr Must Be:")</f>
        <v>2013 Tot Exp/Non-Appr Must Be:</v>
      </c>
      <c r="H68" s="658"/>
      <c r="I68" s="659"/>
      <c r="J68" s="655">
        <f>IF(J66&gt;0,IF(E77&lt;E61,IF(J66=G79,E77,((J66-G79)*(1-D79))+E61),E77+(J66-G79)),0)</f>
        <v>0</v>
      </c>
    </row>
    <row r="69" spans="2:11">
      <c r="B69" s="239"/>
      <c r="C69" s="224"/>
      <c r="D69" s="224"/>
      <c r="E69" s="50"/>
      <c r="G69" s="538" t="s">
        <v>813</v>
      </c>
      <c r="H69" s="666"/>
      <c r="I69" s="666"/>
      <c r="J69" s="661">
        <f>IF(J66&gt;0,J68-E77,0)</f>
        <v>0</v>
      </c>
    </row>
    <row r="70" spans="2:11">
      <c r="B70" s="240" t="s">
        <v>271</v>
      </c>
      <c r="C70" s="224"/>
      <c r="D70" s="224"/>
      <c r="E70" s="57" t="str">
        <f>nhood!E10</f>
        <v/>
      </c>
      <c r="J70" s="612"/>
    </row>
    <row r="71" spans="2:11">
      <c r="B71" s="240" t="s">
        <v>270</v>
      </c>
      <c r="C71" s="224"/>
      <c r="D71" s="224"/>
      <c r="E71" s="50"/>
      <c r="G71" s="765" t="str">
        <f>CONCATENATE("Projected Carryover Into ",E1+1,"")</f>
        <v>Projected Carryover Into 2014</v>
      </c>
      <c r="H71" s="769"/>
      <c r="I71" s="769"/>
      <c r="J71" s="768"/>
    </row>
    <row r="72" spans="2:11">
      <c r="B72" s="240" t="s">
        <v>792</v>
      </c>
      <c r="C72" s="348" t="str">
        <f>IF(C73*0.1&lt;C71,"Exceed 10% Rule","")</f>
        <v/>
      </c>
      <c r="D72" s="348" t="str">
        <f>IF(D73*0.1&lt;D71,"Exceed 10% Rule","")</f>
        <v/>
      </c>
      <c r="E72" s="355" t="str">
        <f>IF(E73*0.1&lt;E71,"Exceed 10% Rule","")</f>
        <v/>
      </c>
      <c r="G72" s="624"/>
      <c r="H72" s="622"/>
      <c r="I72" s="622"/>
      <c r="J72" s="615"/>
    </row>
    <row r="73" spans="2:11">
      <c r="B73" s="233" t="s">
        <v>38</v>
      </c>
      <c r="C73" s="353">
        <f>SUM(C63:C71)</f>
        <v>0</v>
      </c>
      <c r="D73" s="353">
        <f>SUM(D63:D71)</f>
        <v>0</v>
      </c>
      <c r="E73" s="258">
        <f>SUM(E63:E71)</f>
        <v>0</v>
      </c>
      <c r="G73" s="626">
        <f>D74</f>
        <v>0</v>
      </c>
      <c r="H73" s="627" t="str">
        <f>CONCATENATE("",E1-1," Ending Cash Balance (est.)")</f>
        <v>2012 Ending Cash Balance (est.)</v>
      </c>
      <c r="I73" s="628"/>
      <c r="J73" s="615"/>
    </row>
    <row r="74" spans="2:11">
      <c r="B74" s="131" t="s">
        <v>146</v>
      </c>
      <c r="C74" s="350">
        <f>C61-C73</f>
        <v>0</v>
      </c>
      <c r="D74" s="350">
        <f>D61-D73</f>
        <v>0</v>
      </c>
      <c r="E74" s="253" t="s">
        <v>13</v>
      </c>
      <c r="G74" s="626">
        <f>E60</f>
        <v>0</v>
      </c>
      <c r="H74" s="629" t="str">
        <f>CONCATENATE("",E1," Non-AV Receipts (est.)")</f>
        <v>2013 Non-AV Receipts (est.)</v>
      </c>
      <c r="I74" s="628"/>
      <c r="J74" s="615"/>
    </row>
    <row r="75" spans="2:11">
      <c r="B75" s="119" t="str">
        <f>CONCATENATE("",$E$1-2,"/",$E$1-1," Budget Authority Amount:")</f>
        <v>2011/2012 Budget Authority Amount:</v>
      </c>
      <c r="C75" s="183">
        <f>inputOth!B65</f>
        <v>0</v>
      </c>
      <c r="D75" s="242">
        <f>inputPrYr!D22</f>
        <v>0</v>
      </c>
      <c r="E75" s="253" t="s">
        <v>13</v>
      </c>
      <c r="F75" s="243"/>
      <c r="G75" s="630">
        <f>IF(D79&gt;0,E78,E80)</f>
        <v>0</v>
      </c>
      <c r="H75" s="629" t="str">
        <f>CONCATENATE("",E1," Ad Valorem Tax (est.)")</f>
        <v>2013 Ad Valorem Tax (est.)</v>
      </c>
      <c r="I75" s="628"/>
      <c r="J75" s="615"/>
      <c r="K75" s="540" t="str">
        <f>IF(G75=E80,"","Note: Does not include Delinquent Taxes")</f>
        <v/>
      </c>
    </row>
    <row r="76" spans="2:11">
      <c r="B76" s="119"/>
      <c r="C76" s="746" t="s">
        <v>629</v>
      </c>
      <c r="D76" s="747"/>
      <c r="E76" s="50"/>
      <c r="F76" s="686" t="str">
        <f>IF(E73/0.95-E73&lt;E76,"Exceeds 5%","")</f>
        <v/>
      </c>
      <c r="G76" s="637">
        <f>SUM(G73:G75)</f>
        <v>0</v>
      </c>
      <c r="H76" s="629" t="str">
        <f>CONCATENATE("Total ",E1," Resources Available")</f>
        <v>Total 2013 Resources Available</v>
      </c>
      <c r="I76" s="625"/>
      <c r="J76" s="615"/>
    </row>
    <row r="77" spans="2:11">
      <c r="B77" s="366" t="str">
        <f>CONCATENATE(C97,"     ",D97)</f>
        <v xml:space="preserve">     </v>
      </c>
      <c r="C77" s="748" t="s">
        <v>630</v>
      </c>
      <c r="D77" s="749"/>
      <c r="E77" s="193">
        <f>E73+E76</f>
        <v>0</v>
      </c>
      <c r="G77" s="640"/>
      <c r="H77" s="638"/>
      <c r="I77" s="622"/>
      <c r="J77" s="615"/>
    </row>
    <row r="78" spans="2:11">
      <c r="B78" s="366" t="str">
        <f>CONCATENATE(C98,"     ",D98)</f>
        <v xml:space="preserve">     </v>
      </c>
      <c r="C78" s="244"/>
      <c r="D78" s="147" t="s">
        <v>39</v>
      </c>
      <c r="E78" s="193">
        <f>IF(E77-E61&gt;0,E77-E61,0)</f>
        <v>0</v>
      </c>
      <c r="G78" s="639">
        <f>ROUND(C73*0.05+C73,0)</f>
        <v>0</v>
      </c>
      <c r="H78" s="638" t="str">
        <f>CONCATENATE("Less ",E1-2," Expenditures + 5%")</f>
        <v>Less 2011 Expenditures + 5%</v>
      </c>
      <c r="I78" s="625"/>
      <c r="J78" s="615"/>
    </row>
    <row r="79" spans="2:11">
      <c r="B79" s="119"/>
      <c r="C79" s="357" t="s">
        <v>631</v>
      </c>
      <c r="D79" s="539">
        <f>inputOth!E47</f>
        <v>0.02</v>
      </c>
      <c r="E79" s="193">
        <f>ROUND(IF(D79&gt;0,(E78*D79),0),0)</f>
        <v>0</v>
      </c>
      <c r="G79" s="641">
        <f>G76-G78</f>
        <v>0</v>
      </c>
      <c r="H79" s="642" t="str">
        <f>CONCATENATE("Projected ",E1+1," carryover (est.)")</f>
        <v>Projected 2014 carryover (est.)</v>
      </c>
      <c r="I79" s="633"/>
      <c r="J79" s="673"/>
    </row>
    <row r="80" spans="2:11" ht="16.5" thickBot="1">
      <c r="B80" s="147"/>
      <c r="C80" s="750" t="str">
        <f>CONCATENATE("Amount of  ",$E$1-1," Ad Valorem Tax")</f>
        <v>Amount of  2012 Ad Valorem Tax</v>
      </c>
      <c r="D80" s="751"/>
      <c r="E80" s="259">
        <f>E78+E79</f>
        <v>0</v>
      </c>
      <c r="G80" s="612"/>
      <c r="H80" s="612"/>
      <c r="I80" s="612"/>
    </row>
    <row r="81" spans="2:10" ht="16.5" thickTop="1">
      <c r="B81" s="147"/>
      <c r="C81" s="761"/>
      <c r="D81" s="761"/>
      <c r="E81" s="147"/>
      <c r="G81" s="753" t="s">
        <v>869</v>
      </c>
      <c r="H81" s="763"/>
      <c r="I81" s="763"/>
      <c r="J81" s="764"/>
    </row>
    <row r="82" spans="2:10">
      <c r="B82" s="147"/>
      <c r="C82" s="480"/>
      <c r="D82" s="147"/>
      <c r="E82" s="147"/>
      <c r="G82" s="668"/>
      <c r="H82" s="627"/>
      <c r="I82" s="656"/>
      <c r="J82" s="657"/>
    </row>
    <row r="83" spans="2:10">
      <c r="B83" s="119" t="s">
        <v>41</v>
      </c>
      <c r="C83" s="249"/>
      <c r="D83" s="22"/>
      <c r="E83" s="22"/>
      <c r="G83" s="670" t="e">
        <f>summ!#REF!</f>
        <v>#REF!</v>
      </c>
      <c r="H83" s="627" t="str">
        <f>CONCATENATE("",E1," Fund Mill Rate")</f>
        <v>2013 Fund Mill Rate</v>
      </c>
      <c r="I83" s="656"/>
      <c r="J83" s="657"/>
    </row>
    <row r="84" spans="2:10">
      <c r="B84" s="356"/>
      <c r="G84" s="669" t="e">
        <f>summ!#REF!</f>
        <v>#REF!</v>
      </c>
      <c r="H84" s="627" t="str">
        <f>CONCATENATE("",E1-1," Fund Mill Rate")</f>
        <v>2012 Fund Mill Rate</v>
      </c>
      <c r="I84" s="656"/>
      <c r="J84" s="657"/>
    </row>
    <row r="85" spans="2:10">
      <c r="B85" s="8"/>
      <c r="G85" s="671">
        <f>summ!H28</f>
        <v>42.775000000000006</v>
      </c>
      <c r="H85" s="627" t="str">
        <f>CONCATENATE("Total ",E1," Mill Rate")</f>
        <v>Total 2013 Mill Rate</v>
      </c>
      <c r="I85" s="656"/>
      <c r="J85" s="657"/>
    </row>
    <row r="86" spans="2:10">
      <c r="G86" s="669">
        <f>summ!E28</f>
        <v>41.686999999999998</v>
      </c>
      <c r="H86" s="652" t="str">
        <f>CONCATENATE("Total ",E1-1," Mill Rate")</f>
        <v>Total 2012 Mill Rate</v>
      </c>
      <c r="I86" s="653"/>
      <c r="J86" s="654"/>
    </row>
    <row r="95" spans="2:10" hidden="1">
      <c r="C95" s="367" t="str">
        <f>IF(C33&gt;C35,"See Tab A","")</f>
        <v/>
      </c>
      <c r="D95" s="367" t="str">
        <f>IF(D33&gt;D35,"See Tab C","")</f>
        <v/>
      </c>
    </row>
    <row r="96" spans="2:10" hidden="1">
      <c r="C96" s="367" t="str">
        <f>IF(C34&lt;0,"See Tab B","")</f>
        <v/>
      </c>
      <c r="D96" s="367" t="str">
        <f>IF(D34&lt;0,"See Tab D","")</f>
        <v/>
      </c>
    </row>
    <row r="97" spans="3:4" hidden="1">
      <c r="C97" s="367" t="str">
        <f>IF(C73&gt;C75,"See Tab A","")</f>
        <v/>
      </c>
      <c r="D97" s="367" t="str">
        <f>IF(D73&gt;D75,"See Tab C","")</f>
        <v/>
      </c>
    </row>
    <row r="98" spans="3:4" hidden="1">
      <c r="C98" s="367" t="str">
        <f>IF(C74&lt;0,"See Tab B","")</f>
        <v/>
      </c>
      <c r="D98" s="367" t="str">
        <f>IF(D74&lt;0,"See Tab D","")</f>
        <v/>
      </c>
    </row>
  </sheetData>
  <mergeCells count="14">
    <mergeCell ref="G24:J24"/>
    <mergeCell ref="G31:J31"/>
    <mergeCell ref="G41:J41"/>
    <mergeCell ref="G64:J64"/>
    <mergeCell ref="G71:J71"/>
    <mergeCell ref="C36:D36"/>
    <mergeCell ref="C37:D37"/>
    <mergeCell ref="C80:D80"/>
    <mergeCell ref="C40:D40"/>
    <mergeCell ref="G81:J81"/>
    <mergeCell ref="C81:D81"/>
    <mergeCell ref="C41:D41"/>
    <mergeCell ref="C76:D76"/>
    <mergeCell ref="C77:D77"/>
  </mergeCells>
  <phoneticPr fontId="0" type="noConversion"/>
  <conditionalFormatting sqref="E71">
    <cfRule type="cellIs" dxfId="199" priority="4" stopIfTrue="1" operator="greaterThan">
      <formula>$E$73*0.1</formula>
    </cfRule>
  </conditionalFormatting>
  <conditionalFormatting sqref="E76">
    <cfRule type="cellIs" dxfId="198" priority="5" stopIfTrue="1" operator="greaterThan">
      <formula>$E$73/0.95-$E$73</formula>
    </cfRule>
  </conditionalFormatting>
  <conditionalFormatting sqref="E31">
    <cfRule type="cellIs" dxfId="197" priority="6" stopIfTrue="1" operator="greaterThan">
      <formula>$E$33*0.1</formula>
    </cfRule>
  </conditionalFormatting>
  <conditionalFormatting sqref="D33">
    <cfRule type="cellIs" dxfId="196" priority="8" stopIfTrue="1" operator="greaterThan">
      <formula>$D$35</formula>
    </cfRule>
  </conditionalFormatting>
  <conditionalFormatting sqref="C33">
    <cfRule type="cellIs" dxfId="195" priority="9" stopIfTrue="1" operator="greaterThan">
      <formula>$C$35</formula>
    </cfRule>
  </conditionalFormatting>
  <conditionalFormatting sqref="C34 C74">
    <cfRule type="cellIs" dxfId="194" priority="10" stopIfTrue="1" operator="lessThan">
      <formula>0</formula>
    </cfRule>
  </conditionalFormatting>
  <conditionalFormatting sqref="D73">
    <cfRule type="cellIs" dxfId="193" priority="11" stopIfTrue="1" operator="greaterThan">
      <formula>$D$75</formula>
    </cfRule>
  </conditionalFormatting>
  <conditionalFormatting sqref="C73">
    <cfRule type="cellIs" dxfId="192" priority="12" stopIfTrue="1" operator="greaterThan">
      <formula>$C$75</formula>
    </cfRule>
  </conditionalFormatting>
  <conditionalFormatting sqref="C31">
    <cfRule type="cellIs" dxfId="191" priority="13" stopIfTrue="1" operator="greaterThan">
      <formula>$C$33*0.1</formula>
    </cfRule>
  </conditionalFormatting>
  <conditionalFormatting sqref="D31">
    <cfRule type="cellIs" dxfId="190" priority="14" stopIfTrue="1" operator="greaterThan">
      <formula>$D$33*0.1</formula>
    </cfRule>
  </conditionalFormatting>
  <conditionalFormatting sqref="C71">
    <cfRule type="cellIs" dxfId="189" priority="15" stopIfTrue="1" operator="greaterThan">
      <formula>$C$73*0.1</formula>
    </cfRule>
  </conditionalFormatting>
  <conditionalFormatting sqref="D71">
    <cfRule type="cellIs" dxfId="188" priority="16" stopIfTrue="1" operator="greaterThan">
      <formula>$D$73*0.1</formula>
    </cfRule>
  </conditionalFormatting>
  <conditionalFormatting sqref="D18">
    <cfRule type="cellIs" dxfId="187" priority="17" stopIfTrue="1" operator="greaterThan">
      <formula>$D$20*0.1</formula>
    </cfRule>
  </conditionalFormatting>
  <conditionalFormatting sqref="C18">
    <cfRule type="cellIs" dxfId="186" priority="18" stopIfTrue="1" operator="greaterThan">
      <formula>$C$20*0.1</formula>
    </cfRule>
  </conditionalFormatting>
  <conditionalFormatting sqref="D58">
    <cfRule type="cellIs" dxfId="185" priority="19" stopIfTrue="1" operator="greaterThan">
      <formula>$D$60*0.1</formula>
    </cfRule>
  </conditionalFormatting>
  <conditionalFormatting sqref="C58">
    <cfRule type="cellIs" dxfId="184" priority="20" stopIfTrue="1" operator="greaterThan">
      <formula>$C$60*0.1</formula>
    </cfRule>
  </conditionalFormatting>
  <conditionalFormatting sqref="E58">
    <cfRule type="cellIs" dxfId="183" priority="21" stopIfTrue="1" operator="greaterThan">
      <formula>$E$60*0.1+E80</formula>
    </cfRule>
  </conditionalFormatting>
  <conditionalFormatting sqref="E18">
    <cfRule type="cellIs" dxfId="182" priority="22" stopIfTrue="1" operator="greaterThan">
      <formula>$E$20*0.1+E40</formula>
    </cfRule>
  </conditionalFormatting>
  <conditionalFormatting sqref="D74 D34">
    <cfRule type="cellIs" dxfId="181" priority="3" stopIfTrue="1" operator="lessThan">
      <formula>0</formula>
    </cfRule>
  </conditionalFormatting>
  <conditionalFormatting sqref="E36">
    <cfRule type="cellIs" dxfId="180" priority="1" stopIfTrue="1" operator="greaterThan">
      <formula>$E$33/0.95-$E$33</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6"/>
  <sheetViews>
    <sheetView topLeftCell="A32"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t="s">
        <v>90</v>
      </c>
      <c r="C3" s="169"/>
      <c r="D3" s="169"/>
      <c r="E3" s="256"/>
    </row>
    <row r="4" spans="2:5">
      <c r="B4" s="29" t="s">
        <v>24</v>
      </c>
      <c r="C4" s="604" t="s">
        <v>808</v>
      </c>
      <c r="D4" s="605" t="s">
        <v>811</v>
      </c>
      <c r="E4" s="125" t="s">
        <v>812</v>
      </c>
    </row>
    <row r="5" spans="2:5">
      <c r="B5" s="364">
        <f>inputPrYr!B23</f>
        <v>0</v>
      </c>
      <c r="C5" s="351" t="str">
        <f>CONCATENATE("Actual for ",E1-2,"")</f>
        <v>Actual for 2011</v>
      </c>
      <c r="D5" s="351" t="str">
        <f>CONCATENATE("Estimate for ",E1-1,"")</f>
        <v>Estimate for 2012</v>
      </c>
      <c r="E5" s="222" t="str">
        <f>CONCATENATE("Year for ",E1,"")</f>
        <v>Year for 2013</v>
      </c>
    </row>
    <row r="6" spans="2:5">
      <c r="B6" s="223" t="s">
        <v>145</v>
      </c>
      <c r="C6" s="224"/>
      <c r="D6" s="350">
        <f>C34</f>
        <v>0</v>
      </c>
      <c r="E6" s="193">
        <f>D34</f>
        <v>0</v>
      </c>
    </row>
    <row r="7" spans="2:5">
      <c r="B7" s="226" t="s">
        <v>147</v>
      </c>
      <c r="C7" s="350"/>
      <c r="D7" s="350"/>
      <c r="E7" s="193"/>
    </row>
    <row r="8" spans="2:5">
      <c r="B8" s="131" t="s">
        <v>25</v>
      </c>
      <c r="C8" s="227"/>
      <c r="D8" s="350">
        <f>IF(inputPrYr!H16&gt;0,inputPrYr!G23,inputPrYr!E23)</f>
        <v>0</v>
      </c>
      <c r="E8" s="253" t="s">
        <v>13</v>
      </c>
    </row>
    <row r="9" spans="2:5">
      <c r="B9" s="131" t="s">
        <v>26</v>
      </c>
      <c r="C9" s="227"/>
      <c r="D9" s="227"/>
      <c r="E9" s="50"/>
    </row>
    <row r="10" spans="2:5">
      <c r="B10" s="131" t="s">
        <v>27</v>
      </c>
      <c r="C10" s="227"/>
      <c r="D10" s="227"/>
      <c r="E10" s="193" t="str">
        <f>mvalloc!D12</f>
        <v xml:space="preserve">  </v>
      </c>
    </row>
    <row r="11" spans="2:5">
      <c r="B11" s="131" t="s">
        <v>28</v>
      </c>
      <c r="C11" s="227"/>
      <c r="D11" s="227"/>
      <c r="E11" s="193" t="str">
        <f>mvalloc!E12</f>
        <v xml:space="preserve"> </v>
      </c>
    </row>
    <row r="12" spans="2:5">
      <c r="B12" s="139" t="s">
        <v>122</v>
      </c>
      <c r="C12" s="227"/>
      <c r="D12" s="227"/>
      <c r="E12" s="193" t="str">
        <f>mvalloc!F12</f>
        <v xml:space="preserve"> </v>
      </c>
    </row>
    <row r="13" spans="2:5">
      <c r="B13" s="50"/>
      <c r="C13" s="227"/>
      <c r="D13" s="227"/>
      <c r="E13" s="50"/>
    </row>
    <row r="14" spans="2:5">
      <c r="B14" s="239"/>
      <c r="C14" s="227"/>
      <c r="D14" s="227"/>
      <c r="E14" s="50"/>
    </row>
    <row r="15" spans="2:5">
      <c r="B15" s="239"/>
      <c r="C15" s="227"/>
      <c r="D15" s="227"/>
      <c r="E15" s="50"/>
    </row>
    <row r="16" spans="2:5">
      <c r="B16" s="239"/>
      <c r="C16" s="227"/>
      <c r="D16" s="227"/>
      <c r="E16" s="50"/>
    </row>
    <row r="17" spans="2:10">
      <c r="B17" s="231" t="s">
        <v>30</v>
      </c>
      <c r="C17" s="227"/>
      <c r="D17" s="227"/>
      <c r="E17" s="50"/>
    </row>
    <row r="18" spans="2:10">
      <c r="B18" s="139" t="s">
        <v>270</v>
      </c>
      <c r="C18" s="227"/>
      <c r="D18" s="227"/>
      <c r="E18" s="50"/>
    </row>
    <row r="19" spans="2:10">
      <c r="B19" s="223" t="s">
        <v>791</v>
      </c>
      <c r="C19" s="352" t="str">
        <f>IF(C20*0.1&lt;C18,"Exceed 10% Rule","")</f>
        <v/>
      </c>
      <c r="D19" s="352" t="str">
        <f>IF(D20*0.1&lt;D18,"Exceed 10% Rule","")</f>
        <v/>
      </c>
      <c r="E19" s="365" t="str">
        <f>IF(E20*0.1+E40&lt;E18,"Exceed 10% Rule","")</f>
        <v/>
      </c>
    </row>
    <row r="20" spans="2:10">
      <c r="B20" s="233" t="s">
        <v>31</v>
      </c>
      <c r="C20" s="353">
        <f>SUM(C8:C18)</f>
        <v>0</v>
      </c>
      <c r="D20" s="353">
        <f>SUM(D8:D18)</f>
        <v>0</v>
      </c>
      <c r="E20" s="258">
        <f>SUM(E8:E18)</f>
        <v>0</v>
      </c>
    </row>
    <row r="21" spans="2:10">
      <c r="B21" s="233" t="s">
        <v>32</v>
      </c>
      <c r="C21" s="353">
        <f>C6+C20</f>
        <v>0</v>
      </c>
      <c r="D21" s="353">
        <f>D6+D20</f>
        <v>0</v>
      </c>
      <c r="E21" s="258">
        <f>E6+E20</f>
        <v>0</v>
      </c>
    </row>
    <row r="22" spans="2:10">
      <c r="B22" s="131" t="s">
        <v>34</v>
      </c>
      <c r="C22" s="240"/>
      <c r="D22" s="240"/>
      <c r="E22" s="48"/>
      <c r="F22" s="260"/>
    </row>
    <row r="23" spans="2:10">
      <c r="B23" s="261"/>
      <c r="C23" s="227"/>
      <c r="D23" s="227"/>
      <c r="E23" s="49"/>
    </row>
    <row r="24" spans="2:10">
      <c r="B24" s="239"/>
      <c r="C24" s="227"/>
      <c r="D24" s="227"/>
      <c r="E24" s="50"/>
      <c r="G24" s="765" t="str">
        <f>CONCATENATE("Desired Carryover Into ",E1+1,"")</f>
        <v>Desired Carryover Into 2014</v>
      </c>
      <c r="H24" s="766"/>
      <c r="I24" s="766"/>
      <c r="J24" s="758"/>
    </row>
    <row r="25" spans="2:10">
      <c r="B25" s="239"/>
      <c r="C25" s="227"/>
      <c r="D25" s="227"/>
      <c r="E25" s="50"/>
      <c r="G25" s="635"/>
      <c r="H25" s="622"/>
      <c r="I25" s="629"/>
      <c r="J25" s="636"/>
    </row>
    <row r="26" spans="2:10">
      <c r="B26" s="239"/>
      <c r="C26" s="227"/>
      <c r="D26" s="227"/>
      <c r="E26" s="50"/>
      <c r="G26" s="634" t="s">
        <v>636</v>
      </c>
      <c r="H26" s="629"/>
      <c r="I26" s="629"/>
      <c r="J26" s="623">
        <v>0</v>
      </c>
    </row>
    <row r="27" spans="2:10">
      <c r="B27" s="239"/>
      <c r="C27" s="227"/>
      <c r="D27" s="227"/>
      <c r="E27" s="50"/>
      <c r="G27" s="635" t="s">
        <v>637</v>
      </c>
      <c r="H27" s="622"/>
      <c r="I27" s="622"/>
      <c r="J27" s="663" t="str">
        <f>IF(J26=0,"",ROUND((J26+E40-G39)/inputOth!E7*1000,3)-G44)</f>
        <v/>
      </c>
    </row>
    <row r="28" spans="2:10">
      <c r="B28" s="239"/>
      <c r="C28" s="227"/>
      <c r="D28" s="227"/>
      <c r="E28" s="50"/>
      <c r="G28" s="660" t="str">
        <f>CONCATENATE("",E1," Tot Exp/Non-Appr Must Be:")</f>
        <v>2013 Tot Exp/Non-Appr Must Be:</v>
      </c>
      <c r="H28" s="658"/>
      <c r="I28" s="659"/>
      <c r="J28" s="655">
        <f>IF(J26&gt;0,IF(E37&lt;E21,IF(J26=G39,E37,((J26-G39)*(1-D39))+E21),E37+(J26-G39)),0)</f>
        <v>0</v>
      </c>
    </row>
    <row r="29" spans="2:10">
      <c r="B29" s="239"/>
      <c r="C29" s="227"/>
      <c r="D29" s="227"/>
      <c r="E29" s="50"/>
      <c r="G29" s="538" t="s">
        <v>813</v>
      </c>
      <c r="H29" s="666"/>
      <c r="I29" s="666"/>
      <c r="J29" s="661">
        <f>IF(J26&gt;0,J28-E37,0)</f>
        <v>0</v>
      </c>
    </row>
    <row r="30" spans="2:10">
      <c r="B30" s="240" t="s">
        <v>271</v>
      </c>
      <c r="C30" s="227"/>
      <c r="D30" s="227"/>
      <c r="E30" s="57" t="str">
        <f>nhood!E11</f>
        <v/>
      </c>
      <c r="J30" s="612"/>
    </row>
    <row r="31" spans="2:10">
      <c r="B31" s="240" t="s">
        <v>270</v>
      </c>
      <c r="C31" s="227"/>
      <c r="D31" s="227"/>
      <c r="E31" s="50"/>
      <c r="G31" s="765" t="str">
        <f>CONCATENATE("Projected Carryover Into ",E1+1,"")</f>
        <v>Projected Carryover Into 2014</v>
      </c>
      <c r="H31" s="767"/>
      <c r="I31" s="767"/>
      <c r="J31" s="768"/>
    </row>
    <row r="32" spans="2:10">
      <c r="B32" s="240" t="s">
        <v>792</v>
      </c>
      <c r="C32" s="352" t="str">
        <f>IF(C33*0.1&lt;C31,"Exceed 10% Rule","")</f>
        <v/>
      </c>
      <c r="D32" s="352" t="str">
        <f>IF(D33*0.1&lt;D31,"Exceed 10% Rule","")</f>
        <v/>
      </c>
      <c r="E32" s="365" t="str">
        <f>IF(E33*0.1&lt;E31,"Exceed 10% Rule","")</f>
        <v/>
      </c>
      <c r="G32" s="635"/>
      <c r="H32" s="629"/>
      <c r="I32" s="629"/>
      <c r="J32" s="675"/>
    </row>
    <row r="33" spans="2:10">
      <c r="B33" s="233" t="s">
        <v>38</v>
      </c>
      <c r="C33" s="353">
        <f>SUM(C23:C31)</f>
        <v>0</v>
      </c>
      <c r="D33" s="353">
        <f>SUM(D23:D31)</f>
        <v>0</v>
      </c>
      <c r="E33" s="258">
        <f>SUM(E23:E31)</f>
        <v>0</v>
      </c>
      <c r="G33" s="626">
        <f>D34</f>
        <v>0</v>
      </c>
      <c r="H33" s="627" t="str">
        <f>CONCATENATE("",E1-1," Ending Cash Balance (est.)")</f>
        <v>2012 Ending Cash Balance (est.)</v>
      </c>
      <c r="I33" s="628"/>
      <c r="J33" s="675"/>
    </row>
    <row r="34" spans="2:10">
      <c r="B34" s="131" t="s">
        <v>146</v>
      </c>
      <c r="C34" s="350">
        <f>C21-C33</f>
        <v>0</v>
      </c>
      <c r="D34" s="350">
        <f>D21-D33</f>
        <v>0</v>
      </c>
      <c r="E34" s="253" t="s">
        <v>13</v>
      </c>
      <c r="G34" s="626">
        <f>E20</f>
        <v>0</v>
      </c>
      <c r="H34" s="629" t="str">
        <f>CONCATENATE("",E1," Non-AV Receipts (est.)")</f>
        <v>2013 Non-AV Receipts (est.)</v>
      </c>
      <c r="I34" s="628"/>
      <c r="J34" s="675"/>
    </row>
    <row r="35" spans="2:10">
      <c r="B35" s="119" t="str">
        <f>CONCATENATE("",$E$1-2,"/",$E$1-1," Budget Authority Amount:")</f>
        <v>2011/2012 Budget Authority Amount:</v>
      </c>
      <c r="C35" s="183">
        <f>inputOth!B66</f>
        <v>0</v>
      </c>
      <c r="D35" s="242">
        <f>inputPrYr!D23</f>
        <v>0</v>
      </c>
      <c r="E35" s="253" t="s">
        <v>13</v>
      </c>
      <c r="F35" s="243"/>
      <c r="G35" s="630">
        <f>IF(E39&gt;0,E38,E40)</f>
        <v>0</v>
      </c>
      <c r="H35" s="629" t="str">
        <f>CONCATENATE("",E1," Ad Valorem Tax (est.)")</f>
        <v>2013 Ad Valorem Tax (est.)</v>
      </c>
      <c r="I35" s="628"/>
      <c r="J35" s="675"/>
    </row>
    <row r="36" spans="2:10">
      <c r="B36" s="119"/>
      <c r="C36" s="746" t="s">
        <v>629</v>
      </c>
      <c r="D36" s="747"/>
      <c r="E36" s="50"/>
      <c r="F36" s="686" t="str">
        <f>IF(E33/0.95-E33&lt;E36,"Exceeds 5%","")</f>
        <v/>
      </c>
      <c r="G36" s="626">
        <f>SUM(G33:G35)</f>
        <v>0</v>
      </c>
      <c r="H36" s="629" t="str">
        <f>CONCATENATE("Total ",E1," Resources Available")</f>
        <v>Total 2013 Resources Available</v>
      </c>
      <c r="I36" s="628"/>
      <c r="J36" s="675"/>
    </row>
    <row r="37" spans="2:10">
      <c r="B37" s="366" t="str">
        <f>CONCATENATE(C93,"     ",D93)</f>
        <v xml:space="preserve">     </v>
      </c>
      <c r="C37" s="748" t="s">
        <v>630</v>
      </c>
      <c r="D37" s="749"/>
      <c r="E37" s="193">
        <f>E33+E36</f>
        <v>0</v>
      </c>
      <c r="G37" s="631"/>
      <c r="H37" s="629"/>
      <c r="I37" s="629"/>
      <c r="J37" s="675"/>
    </row>
    <row r="38" spans="2:10">
      <c r="B38" s="366" t="str">
        <f>CONCATENATE(C94,"     ",D94)</f>
        <v xml:space="preserve">     </v>
      </c>
      <c r="C38" s="244"/>
      <c r="D38" s="147" t="s">
        <v>39</v>
      </c>
      <c r="E38" s="193">
        <f>IF(E37-E21&gt;0,E37-E21,0)</f>
        <v>0</v>
      </c>
      <c r="G38" s="630">
        <f>ROUND(C33*0.05+C33,0)</f>
        <v>0</v>
      </c>
      <c r="H38" s="629" t="str">
        <f>CONCATENATE("Less ",E1-2," Expenditures + 5%")</f>
        <v>Less 2011 Expenditures + 5%</v>
      </c>
      <c r="I38" s="628"/>
      <c r="J38" s="675"/>
    </row>
    <row r="39" spans="2:10">
      <c r="B39" s="147"/>
      <c r="C39" s="357" t="s">
        <v>631</v>
      </c>
      <c r="D39" s="539">
        <f>inputOth!$E$47</f>
        <v>0.02</v>
      </c>
      <c r="E39" s="193">
        <f>ROUND(IF(D39&gt;0,(E38*D39),0),0)</f>
        <v>0</v>
      </c>
      <c r="G39" s="664">
        <f>G36-G38</f>
        <v>0</v>
      </c>
      <c r="H39" s="665" t="str">
        <f>CONCATENATE("Projected ",E1+1," carryover (est.)")</f>
        <v>Projected 2014 carryover (est.)</v>
      </c>
      <c r="I39" s="632"/>
      <c r="J39" s="673"/>
    </row>
    <row r="40" spans="2:10" ht="16.5" thickBot="1">
      <c r="B40" s="22"/>
      <c r="C40" s="750" t="str">
        <f>CONCATENATE("Amount of  ",$E$1-1," Ad Valorem Tax")</f>
        <v>Amount of  2012 Ad Valorem Tax</v>
      </c>
      <c r="D40" s="751"/>
      <c r="E40" s="259">
        <f>E38+E39</f>
        <v>0</v>
      </c>
      <c r="G40" s="612"/>
      <c r="H40" s="612"/>
      <c r="I40" s="612"/>
      <c r="J40" s="612"/>
    </row>
    <row r="41" spans="2:10" ht="16.5" thickTop="1">
      <c r="B41" s="22"/>
      <c r="C41" s="761"/>
      <c r="D41" s="761"/>
      <c r="E41" s="22"/>
      <c r="G41" s="753" t="s">
        <v>869</v>
      </c>
      <c r="H41" s="763"/>
      <c r="I41" s="763"/>
      <c r="J41" s="764"/>
    </row>
    <row r="42" spans="2:10">
      <c r="B42" s="22"/>
      <c r="C42" s="22"/>
      <c r="D42" s="22"/>
      <c r="E42" s="22"/>
      <c r="G42" s="668"/>
      <c r="H42" s="627"/>
      <c r="I42" s="656"/>
      <c r="J42" s="657"/>
    </row>
    <row r="43" spans="2:10">
      <c r="B43" s="29"/>
      <c r="C43" s="257"/>
      <c r="D43" s="257"/>
      <c r="E43" s="257"/>
      <c r="G43" s="670" t="e">
        <f>summ!#REF!</f>
        <v>#REF!</v>
      </c>
      <c r="H43" s="627" t="str">
        <f>CONCATENATE("",E1," Fund Mill Rate")</f>
        <v>2013 Fund Mill Rate</v>
      </c>
      <c r="I43" s="656"/>
      <c r="J43" s="657"/>
    </row>
    <row r="44" spans="2:10">
      <c r="B44" s="29" t="s">
        <v>24</v>
      </c>
      <c r="C44" s="604" t="str">
        <f t="shared" ref="C44:E45" si="0">C4</f>
        <v xml:space="preserve">Prior Year </v>
      </c>
      <c r="D44" s="605" t="str">
        <f t="shared" si="0"/>
        <v xml:space="preserve">Current Year </v>
      </c>
      <c r="E44" s="125" t="str">
        <f t="shared" si="0"/>
        <v xml:space="preserve">Proposed Budget </v>
      </c>
      <c r="G44" s="669" t="e">
        <f>summ!#REF!</f>
        <v>#REF!</v>
      </c>
      <c r="H44" s="627" t="str">
        <f>CONCATENATE("",E1-1," Fund Mill Rate")</f>
        <v>2012 Fund Mill Rate</v>
      </c>
      <c r="I44" s="656"/>
      <c r="J44" s="657"/>
    </row>
    <row r="45" spans="2:10">
      <c r="B45" s="363">
        <f>inputPrYr!B24</f>
        <v>0</v>
      </c>
      <c r="C45" s="351" t="str">
        <f t="shared" si="0"/>
        <v>Actual for 2011</v>
      </c>
      <c r="D45" s="351" t="str">
        <f t="shared" si="0"/>
        <v>Estimate for 2012</v>
      </c>
      <c r="E45" s="178" t="str">
        <f t="shared" si="0"/>
        <v>Year for 2013</v>
      </c>
      <c r="G45" s="671">
        <f>summ!H28</f>
        <v>42.775000000000006</v>
      </c>
      <c r="H45" s="627" t="str">
        <f>CONCATENATE("Total ",E1," Mill Rate")</f>
        <v>Total 2013 Mill Rate</v>
      </c>
      <c r="I45" s="656"/>
      <c r="J45" s="657"/>
    </row>
    <row r="46" spans="2:10">
      <c r="B46" s="223" t="s">
        <v>145</v>
      </c>
      <c r="C46" s="224"/>
      <c r="D46" s="350">
        <f>C74</f>
        <v>0</v>
      </c>
      <c r="E46" s="193">
        <f>D74</f>
        <v>0</v>
      </c>
      <c r="G46" s="669">
        <f>summ!E28</f>
        <v>41.686999999999998</v>
      </c>
      <c r="H46" s="652" t="str">
        <f>CONCATENATE("Total ",E1-1," Mill Rate")</f>
        <v>Total 2012 Mill Rate</v>
      </c>
      <c r="I46" s="653"/>
      <c r="J46" s="654"/>
    </row>
    <row r="47" spans="2:10">
      <c r="B47" s="223" t="s">
        <v>147</v>
      </c>
      <c r="C47" s="139"/>
      <c r="D47" s="139"/>
      <c r="E47" s="68"/>
    </row>
    <row r="48" spans="2:10">
      <c r="B48" s="131" t="s">
        <v>25</v>
      </c>
      <c r="C48" s="224"/>
      <c r="D48" s="350">
        <f>IF(inputPrYr!H16&gt;0,inputPrYr!G24,inputPrYr!E24)</f>
        <v>0</v>
      </c>
      <c r="E48" s="253" t="s">
        <v>13</v>
      </c>
    </row>
    <row r="49" spans="2:10">
      <c r="B49" s="131" t="s">
        <v>26</v>
      </c>
      <c r="C49" s="224"/>
      <c r="D49" s="224"/>
      <c r="E49" s="50"/>
    </row>
    <row r="50" spans="2:10">
      <c r="B50" s="131" t="s">
        <v>27</v>
      </c>
      <c r="C50" s="224"/>
      <c r="D50" s="224"/>
      <c r="E50" s="193" t="str">
        <f>mvalloc!D13</f>
        <v xml:space="preserve">  </v>
      </c>
    </row>
    <row r="51" spans="2:10">
      <c r="B51" s="131" t="s">
        <v>28</v>
      </c>
      <c r="C51" s="224"/>
      <c r="D51" s="224"/>
      <c r="E51" s="193" t="str">
        <f>mvalloc!E13</f>
        <v xml:space="preserve"> </v>
      </c>
    </row>
    <row r="52" spans="2:10">
      <c r="B52" s="139" t="s">
        <v>122</v>
      </c>
      <c r="C52" s="224"/>
      <c r="D52" s="224"/>
      <c r="E52" s="193" t="str">
        <f>mvalloc!F13</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30</v>
      </c>
      <c r="C57" s="224"/>
      <c r="D57" s="224"/>
      <c r="E57" s="50"/>
    </row>
    <row r="58" spans="2:10">
      <c r="B58" s="139" t="s">
        <v>270</v>
      </c>
      <c r="C58" s="224"/>
      <c r="D58" s="224"/>
      <c r="E58" s="50"/>
    </row>
    <row r="59" spans="2:10">
      <c r="B59" s="223" t="s">
        <v>791</v>
      </c>
      <c r="C59" s="352" t="str">
        <f>IF(C60*0.1&lt;C58,"Exceed 10% Rule","")</f>
        <v/>
      </c>
      <c r="D59" s="352" t="str">
        <f>IF(D60*0.1&lt;D58,"Exceed 10% Rule","")</f>
        <v/>
      </c>
      <c r="E59" s="365" t="str">
        <f>IF(E60*0.1+E80&lt;E58,"Exceed 10% Rule","")</f>
        <v/>
      </c>
    </row>
    <row r="60" spans="2:10">
      <c r="B60" s="233" t="s">
        <v>31</v>
      </c>
      <c r="C60" s="353">
        <f>SUM(C48:C58)</f>
        <v>0</v>
      </c>
      <c r="D60" s="353">
        <f>SUM(D48:D58)</f>
        <v>0</v>
      </c>
      <c r="E60" s="258">
        <f>SUM(E49:E58)</f>
        <v>0</v>
      </c>
    </row>
    <row r="61" spans="2:10">
      <c r="B61" s="233" t="s">
        <v>32</v>
      </c>
      <c r="C61" s="353">
        <f>C46+C60</f>
        <v>0</v>
      </c>
      <c r="D61" s="353">
        <f>D46+D60</f>
        <v>0</v>
      </c>
      <c r="E61" s="258">
        <f>E46+E60</f>
        <v>0</v>
      </c>
    </row>
    <row r="62" spans="2:10">
      <c r="B62" s="131" t="s">
        <v>34</v>
      </c>
      <c r="C62" s="240"/>
      <c r="D62" s="240"/>
      <c r="E62" s="48"/>
    </row>
    <row r="63" spans="2:10">
      <c r="B63" s="239"/>
      <c r="C63" s="224"/>
      <c r="D63" s="224"/>
      <c r="E63" s="50"/>
    </row>
    <row r="64" spans="2:10">
      <c r="B64" s="239"/>
      <c r="C64" s="224"/>
      <c r="D64" s="224"/>
      <c r="E64" s="50"/>
      <c r="G64" s="765" t="str">
        <f>CONCATENATE("Desired Carryover Into ",E1+1,"")</f>
        <v>Desired Carryover Into 2014</v>
      </c>
      <c r="H64" s="766"/>
      <c r="I64" s="766"/>
      <c r="J64" s="758"/>
    </row>
    <row r="65" spans="2:11">
      <c r="B65" s="239"/>
      <c r="C65" s="224"/>
      <c r="D65" s="224"/>
      <c r="E65" s="50"/>
      <c r="G65" s="635"/>
      <c r="H65" s="622"/>
      <c r="I65" s="629"/>
      <c r="J65" s="636"/>
    </row>
    <row r="66" spans="2:11">
      <c r="B66" s="239"/>
      <c r="C66" s="224"/>
      <c r="D66" s="224"/>
      <c r="E66" s="50"/>
      <c r="G66" s="634" t="s">
        <v>636</v>
      </c>
      <c r="H66" s="629"/>
      <c r="I66" s="629"/>
      <c r="J66" s="623">
        <v>0</v>
      </c>
    </row>
    <row r="67" spans="2:11">
      <c r="B67" s="239"/>
      <c r="C67" s="224"/>
      <c r="D67" s="224"/>
      <c r="E67" s="50"/>
      <c r="G67" s="635" t="s">
        <v>637</v>
      </c>
      <c r="H67" s="622"/>
      <c r="I67" s="622"/>
      <c r="J67" s="663" t="str">
        <f>IF(J66=0,"",ROUND((J66+E80-G79)/inputOth!E7*1000,3)-G84)</f>
        <v/>
      </c>
    </row>
    <row r="68" spans="2:11">
      <c r="B68" s="239"/>
      <c r="C68" s="224"/>
      <c r="D68" s="224"/>
      <c r="E68" s="50"/>
      <c r="G68" s="660" t="str">
        <f>CONCATENATE("",E1," Tot Exp/Non-Appr Must Be:")</f>
        <v>2013 Tot Exp/Non-Appr Must Be:</v>
      </c>
      <c r="H68" s="658"/>
      <c r="I68" s="659"/>
      <c r="J68" s="655">
        <f>IF(J66&gt;0,IF(E77&lt;E61,IF(J66=G79,E77,((J66-G79)*(1-D79))+E61),E77+(J66-G79)),0)</f>
        <v>0</v>
      </c>
    </row>
    <row r="69" spans="2:11">
      <c r="B69" s="239"/>
      <c r="C69" s="224"/>
      <c r="D69" s="224"/>
      <c r="E69" s="50"/>
      <c r="G69" s="538" t="s">
        <v>813</v>
      </c>
      <c r="H69" s="666"/>
      <c r="I69" s="666"/>
      <c r="J69" s="661">
        <f>IF(J66&gt;0,J68-E77,0)</f>
        <v>0</v>
      </c>
    </row>
    <row r="70" spans="2:11">
      <c r="B70" s="240" t="s">
        <v>271</v>
      </c>
      <c r="C70" s="224"/>
      <c r="D70" s="224"/>
      <c r="E70" s="57" t="str">
        <f>nhood!E12</f>
        <v/>
      </c>
      <c r="J70" s="612"/>
    </row>
    <row r="71" spans="2:11">
      <c r="B71" s="240" t="s">
        <v>270</v>
      </c>
      <c r="C71" s="224"/>
      <c r="D71" s="224"/>
      <c r="E71" s="50"/>
      <c r="G71" s="765" t="str">
        <f>CONCATENATE("Projected Carryover Into ",E1+1,"")</f>
        <v>Projected Carryover Into 2014</v>
      </c>
      <c r="H71" s="769"/>
      <c r="I71" s="769"/>
      <c r="J71" s="768"/>
    </row>
    <row r="72" spans="2:11">
      <c r="B72" s="240" t="s">
        <v>792</v>
      </c>
      <c r="C72" s="352" t="str">
        <f>IF(C73*0.1&lt;C71,"Exceed 10% Rule","")</f>
        <v/>
      </c>
      <c r="D72" s="352" t="str">
        <f>IF(D73*0.1&lt;D71,"Exceed 10% Rule","")</f>
        <v/>
      </c>
      <c r="E72" s="365" t="str">
        <f>IF(E73*0.1&lt;E71,"Exceed 10% Rule","")</f>
        <v/>
      </c>
      <c r="G72" s="624"/>
      <c r="H72" s="622"/>
      <c r="I72" s="622"/>
      <c r="J72" s="675"/>
    </row>
    <row r="73" spans="2:11">
      <c r="B73" s="233" t="s">
        <v>38</v>
      </c>
      <c r="C73" s="353">
        <f>SUM(C63:C71)</f>
        <v>0</v>
      </c>
      <c r="D73" s="353">
        <f>SUM(D63:D71)</f>
        <v>0</v>
      </c>
      <c r="E73" s="258">
        <f>SUM(E63:E71)</f>
        <v>0</v>
      </c>
      <c r="G73" s="626">
        <f>D74</f>
        <v>0</v>
      </c>
      <c r="H73" s="627" t="str">
        <f>CONCATENATE("",E1-1," Ending Cash Balance (est.)")</f>
        <v>2012 Ending Cash Balance (est.)</v>
      </c>
      <c r="I73" s="628"/>
      <c r="J73" s="675"/>
    </row>
    <row r="74" spans="2:11">
      <c r="B74" s="131" t="s">
        <v>146</v>
      </c>
      <c r="C74" s="350">
        <f>C61-C73</f>
        <v>0</v>
      </c>
      <c r="D74" s="350">
        <f>D61-D73</f>
        <v>0</v>
      </c>
      <c r="E74" s="253" t="s">
        <v>13</v>
      </c>
      <c r="G74" s="626">
        <f>E60</f>
        <v>0</v>
      </c>
      <c r="H74" s="629" t="str">
        <f>CONCATENATE("",E1," Non-AV Receipts (est.)")</f>
        <v>2013 Non-AV Receipts (est.)</v>
      </c>
      <c r="I74" s="628"/>
      <c r="J74" s="675"/>
    </row>
    <row r="75" spans="2:11">
      <c r="B75" s="119" t="str">
        <f>CONCATENATE("",$E$1-2,"/",$E$1-1," Budget Authority Amount:")</f>
        <v>2011/2012 Budget Authority Amount:</v>
      </c>
      <c r="C75" s="183">
        <f>inputOth!B67</f>
        <v>0</v>
      </c>
      <c r="D75" s="242">
        <f>inputPrYr!D24</f>
        <v>0</v>
      </c>
      <c r="E75" s="253" t="s">
        <v>13</v>
      </c>
      <c r="F75" s="243"/>
      <c r="G75" s="630">
        <f>IF(D79&gt;0,E78,E80)</f>
        <v>0</v>
      </c>
      <c r="H75" s="629" t="str">
        <f>CONCATENATE("",E1," Ad Valorem Tax (est.)")</f>
        <v>2013 Ad Valorem Tax (est.)</v>
      </c>
      <c r="I75" s="628"/>
      <c r="J75" s="675"/>
      <c r="K75" s="540" t="str">
        <f>IF(G75=E80,"","Note: Does not include Delinquent Taxes")</f>
        <v/>
      </c>
    </row>
    <row r="76" spans="2:11">
      <c r="B76" s="119"/>
      <c r="C76" s="746" t="s">
        <v>629</v>
      </c>
      <c r="D76" s="747"/>
      <c r="E76" s="50"/>
      <c r="F76" s="686" t="str">
        <f>IF(E73/0.95-E73&lt;E76,"Exceeds 5%","")</f>
        <v/>
      </c>
      <c r="G76" s="637">
        <f>SUM(G73:G75)</f>
        <v>0</v>
      </c>
      <c r="H76" s="629" t="str">
        <f>CONCATENATE("Total ",E1," Resources Available")</f>
        <v>Total 2013 Resources Available</v>
      </c>
      <c r="I76" s="625"/>
      <c r="J76" s="675"/>
    </row>
    <row r="77" spans="2:11">
      <c r="B77" s="366" t="str">
        <f>CONCATENATE(C95,"     ",D95)</f>
        <v xml:space="preserve">     </v>
      </c>
      <c r="C77" s="748" t="s">
        <v>630</v>
      </c>
      <c r="D77" s="749"/>
      <c r="E77" s="193">
        <f>E73+E76</f>
        <v>0</v>
      </c>
      <c r="G77" s="640"/>
      <c r="H77" s="638"/>
      <c r="I77" s="622"/>
      <c r="J77" s="675"/>
    </row>
    <row r="78" spans="2:11">
      <c r="B78" s="366" t="str">
        <f>CONCATENATE(C96,"     ",D96)</f>
        <v xml:space="preserve">     </v>
      </c>
      <c r="C78" s="244"/>
      <c r="D78" s="147" t="s">
        <v>39</v>
      </c>
      <c r="E78" s="193">
        <f>IF(E77-E61&gt;0,E77-E61,0)</f>
        <v>0</v>
      </c>
      <c r="G78" s="639">
        <f>ROUND(C73*0.05+C73,0)</f>
        <v>0</v>
      </c>
      <c r="H78" s="638" t="str">
        <f>CONCATENATE("Less ",E1-2," Expenditures + 5%")</f>
        <v>Less 2011 Expenditures + 5%</v>
      </c>
      <c r="I78" s="625"/>
      <c r="J78" s="675"/>
    </row>
    <row r="79" spans="2:11">
      <c r="B79" s="147"/>
      <c r="C79" s="357" t="s">
        <v>631</v>
      </c>
      <c r="D79" s="539">
        <f>inputOth!$E$47</f>
        <v>0.02</v>
      </c>
      <c r="E79" s="193">
        <f>ROUND(IF(D79&gt;0,(E78*D79),0),0)</f>
        <v>0</v>
      </c>
      <c r="G79" s="641">
        <f>G76-G78</f>
        <v>0</v>
      </c>
      <c r="H79" s="642" t="str">
        <f>CONCATENATE("Projected ",E1+1," carryover (est.)")</f>
        <v>Projected 2014 carryover (est.)</v>
      </c>
      <c r="I79" s="633"/>
      <c r="J79" s="673"/>
    </row>
    <row r="80" spans="2:11" ht="16.5" thickBot="1">
      <c r="B80" s="22"/>
      <c r="C80" s="750" t="str">
        <f>CONCATENATE("Amount of  ",$E$1-1," Ad Valorem Tax")</f>
        <v>Amount of  2012 Ad Valorem Tax</v>
      </c>
      <c r="D80" s="751"/>
      <c r="E80" s="259">
        <f>E78+E79</f>
        <v>0</v>
      </c>
      <c r="G80" s="612"/>
      <c r="H80" s="612"/>
      <c r="I80" s="612"/>
    </row>
    <row r="81" spans="2:10" ht="16.5" thickTop="1">
      <c r="B81" s="22"/>
      <c r="C81" s="761"/>
      <c r="D81" s="761"/>
      <c r="E81" s="22"/>
      <c r="G81" s="753" t="s">
        <v>869</v>
      </c>
      <c r="H81" s="763"/>
      <c r="I81" s="763"/>
      <c r="J81" s="764"/>
    </row>
    <row r="82" spans="2:10">
      <c r="B82" s="22"/>
      <c r="C82" s="22"/>
      <c r="D82" s="22"/>
      <c r="E82" s="22"/>
      <c r="G82" s="668"/>
      <c r="H82" s="627"/>
      <c r="I82" s="656"/>
      <c r="J82" s="657"/>
    </row>
    <row r="83" spans="2:10">
      <c r="B83" s="119" t="s">
        <v>41</v>
      </c>
      <c r="C83" s="249"/>
      <c r="D83" s="22"/>
      <c r="E83" s="22"/>
      <c r="G83" s="670" t="e">
        <f>summ!#REF!</f>
        <v>#REF!</v>
      </c>
      <c r="H83" s="627" t="str">
        <f>CONCATENATE("",E1," Fund Mill Rate")</f>
        <v>2013 Fund Mill Rate</v>
      </c>
      <c r="I83" s="656"/>
      <c r="J83" s="657"/>
    </row>
    <row r="84" spans="2:10">
      <c r="G84" s="669" t="e">
        <f>summ!#REF!</f>
        <v>#REF!</v>
      </c>
      <c r="H84" s="627" t="str">
        <f>CONCATENATE("",E1-1," Fund Mill Rate")</f>
        <v>2012 Fund Mill Rate</v>
      </c>
      <c r="I84" s="656"/>
      <c r="J84" s="657"/>
    </row>
    <row r="85" spans="2:10">
      <c r="G85" s="671">
        <f>summ!H28</f>
        <v>42.775000000000006</v>
      </c>
      <c r="H85" s="627" t="str">
        <f>CONCATENATE("Total ",E1," Mill Rate")</f>
        <v>Total 2013 Mill Rate</v>
      </c>
      <c r="I85" s="656"/>
      <c r="J85" s="657"/>
    </row>
    <row r="86" spans="2:10">
      <c r="G86" s="669">
        <f>summ!E28</f>
        <v>41.686999999999998</v>
      </c>
      <c r="H86" s="652" t="str">
        <f>CONCATENATE("Total ",E1-1," Mill Rate")</f>
        <v>Total 2012 Mill Rate</v>
      </c>
      <c r="I86" s="653"/>
      <c r="J86" s="654"/>
    </row>
    <row r="93" spans="2:10" hidden="1">
      <c r="C93" s="367" t="str">
        <f>IF(C33&gt;C35,"See Tab A","")</f>
        <v/>
      </c>
      <c r="D93" s="367" t="str">
        <f>IF(D33&gt;D35,"See Tab C","")</f>
        <v/>
      </c>
    </row>
    <row r="94" spans="2:10" hidden="1">
      <c r="C94" s="367" t="str">
        <f>IF(C34&lt;0,"See Tab B","")</f>
        <v/>
      </c>
      <c r="D94" s="367" t="str">
        <f>IF(D34&lt;0,"See Tab D","")</f>
        <v/>
      </c>
    </row>
    <row r="95" spans="2:10" hidden="1">
      <c r="C95" s="367" t="str">
        <f>IF(C73&gt;C75,"See Tab A","")</f>
        <v/>
      </c>
      <c r="D95" s="367" t="str">
        <f>IF(D73&gt;D75,"See Tab C","")</f>
        <v/>
      </c>
    </row>
    <row r="96" spans="2:10" hidden="1">
      <c r="C96" s="367" t="str">
        <f>IF(C74&lt;0,"See Tab B","")</f>
        <v/>
      </c>
      <c r="D96" s="367" t="str">
        <f>IF(D74&lt;0,"See Tab D","")</f>
        <v/>
      </c>
    </row>
  </sheetData>
  <mergeCells count="14">
    <mergeCell ref="G24:J24"/>
    <mergeCell ref="G31:J31"/>
    <mergeCell ref="G41:J41"/>
    <mergeCell ref="G64:J64"/>
    <mergeCell ref="G71:J71"/>
    <mergeCell ref="C36:D36"/>
    <mergeCell ref="C37:D37"/>
    <mergeCell ref="C80:D80"/>
    <mergeCell ref="C40:D40"/>
    <mergeCell ref="G81:J81"/>
    <mergeCell ref="C81:D81"/>
    <mergeCell ref="C41:D41"/>
    <mergeCell ref="C76:D76"/>
    <mergeCell ref="C77:D77"/>
  </mergeCells>
  <phoneticPr fontId="0" type="noConversion"/>
  <conditionalFormatting sqref="E31">
    <cfRule type="cellIs" dxfId="179" priority="3" stopIfTrue="1" operator="greaterThan">
      <formula>$E$33*0.1</formula>
    </cfRule>
  </conditionalFormatting>
  <conditionalFormatting sqref="E36">
    <cfRule type="cellIs" dxfId="178" priority="4" stopIfTrue="1" operator="greaterThan">
      <formula>$E$33/0.95-$E$33</formula>
    </cfRule>
  </conditionalFormatting>
  <conditionalFormatting sqref="E71">
    <cfRule type="cellIs" dxfId="177" priority="5" stopIfTrue="1" operator="greaterThan">
      <formula>$E$73*0.1</formula>
    </cfRule>
  </conditionalFormatting>
  <conditionalFormatting sqref="E76">
    <cfRule type="cellIs" dxfId="176" priority="6" stopIfTrue="1" operator="greaterThan">
      <formula>$E$73/0.95-$E$73</formula>
    </cfRule>
  </conditionalFormatting>
  <conditionalFormatting sqref="D33">
    <cfRule type="cellIs" dxfId="175" priority="7" stopIfTrue="1" operator="greaterThan">
      <formula>$D$35</formula>
    </cfRule>
  </conditionalFormatting>
  <conditionalFormatting sqref="C33">
    <cfRule type="cellIs" dxfId="174" priority="8" stopIfTrue="1" operator="greaterThan">
      <formula>$C$35</formula>
    </cfRule>
  </conditionalFormatting>
  <conditionalFormatting sqref="C34 C74">
    <cfRule type="cellIs" dxfId="173" priority="9" stopIfTrue="1" operator="lessThan">
      <formula>0</formula>
    </cfRule>
  </conditionalFormatting>
  <conditionalFormatting sqref="D73">
    <cfRule type="cellIs" dxfId="172" priority="10" stopIfTrue="1" operator="greaterThan">
      <formula>$D$75</formula>
    </cfRule>
  </conditionalFormatting>
  <conditionalFormatting sqref="C73">
    <cfRule type="cellIs" dxfId="171" priority="11" stopIfTrue="1" operator="greaterThan">
      <formula>$C$75</formula>
    </cfRule>
  </conditionalFormatting>
  <conditionalFormatting sqref="C31">
    <cfRule type="cellIs" dxfId="170" priority="12" stopIfTrue="1" operator="greaterThan">
      <formula>$C$33*0.1</formula>
    </cfRule>
  </conditionalFormatting>
  <conditionalFormatting sqref="D31">
    <cfRule type="cellIs" dxfId="169" priority="13" stopIfTrue="1" operator="greaterThan">
      <formula>$D$33*0.1</formula>
    </cfRule>
  </conditionalFormatting>
  <conditionalFormatting sqref="C71">
    <cfRule type="cellIs" dxfId="168" priority="14" stopIfTrue="1" operator="greaterThan">
      <formula>$C$73*0.1</formula>
    </cfRule>
  </conditionalFormatting>
  <conditionalFormatting sqref="D71">
    <cfRule type="cellIs" dxfId="167" priority="15" stopIfTrue="1" operator="greaterThan">
      <formula>$D$73*0.1</formula>
    </cfRule>
  </conditionalFormatting>
  <conditionalFormatting sqref="D58">
    <cfRule type="cellIs" dxfId="166" priority="16" stopIfTrue="1" operator="greaterThan">
      <formula>$D$60*0.1</formula>
    </cfRule>
  </conditionalFormatting>
  <conditionalFormatting sqref="C58">
    <cfRule type="cellIs" dxfId="165" priority="17" stopIfTrue="1" operator="greaterThan">
      <formula>$C$60*0.1</formula>
    </cfRule>
  </conditionalFormatting>
  <conditionalFormatting sqref="D18">
    <cfRule type="cellIs" dxfId="164" priority="18" stopIfTrue="1" operator="greaterThan">
      <formula>$D$20*0.1</formula>
    </cfRule>
  </conditionalFormatting>
  <conditionalFormatting sqref="C18">
    <cfRule type="cellIs" dxfId="163" priority="19" stopIfTrue="1" operator="greaterThan">
      <formula>$C$20*0.1</formula>
    </cfRule>
  </conditionalFormatting>
  <conditionalFormatting sqref="E58">
    <cfRule type="cellIs" dxfId="162" priority="20" stopIfTrue="1" operator="greaterThan">
      <formula>$E$60*0.1+E80</formula>
    </cfRule>
  </conditionalFormatting>
  <conditionalFormatting sqref="E18">
    <cfRule type="cellIs" dxfId="161" priority="21" stopIfTrue="1" operator="greaterThan">
      <formula>$E$20*0.1+E40</formula>
    </cfRule>
  </conditionalFormatting>
  <conditionalFormatting sqref="D74 D34">
    <cfRule type="cellIs" dxfId="160"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104"/>
  <sheetViews>
    <sheetView topLeftCell="A79" zoomScale="90" zoomScaleNormal="90" workbookViewId="0">
      <selection activeCell="E95" sqref="E95"/>
    </sheetView>
  </sheetViews>
  <sheetFormatPr defaultRowHeight="15.75"/>
  <cols>
    <col min="1" max="1" width="15.77734375" style="23" customWidth="1"/>
    <col min="2" max="2" width="20.77734375" style="23" customWidth="1"/>
    <col min="3" max="3" width="9.77734375" style="23" customWidth="1"/>
    <col min="4" max="4" width="15.109375" style="23" customWidth="1"/>
    <col min="5" max="5" width="15.77734375" style="23" customWidth="1"/>
    <col min="6" max="6" width="1.88671875" style="23" customWidth="1"/>
    <col min="7" max="7" width="18.6640625" style="23" customWidth="1"/>
    <col min="8" max="16384" width="8.88671875" style="23"/>
  </cols>
  <sheetData>
    <row r="1" spans="1:8">
      <c r="A1" s="21" t="s">
        <v>212</v>
      </c>
      <c r="B1" s="22"/>
      <c r="C1" s="22"/>
      <c r="D1" s="22"/>
      <c r="E1" s="22"/>
    </row>
    <row r="2" spans="1:8">
      <c r="A2" s="24" t="s">
        <v>250</v>
      </c>
      <c r="B2" s="22"/>
      <c r="C2" s="22"/>
      <c r="D2" s="25" t="s">
        <v>975</v>
      </c>
      <c r="E2" s="26"/>
    </row>
    <row r="3" spans="1:8">
      <c r="A3" s="24" t="s">
        <v>251</v>
      </c>
      <c r="B3" s="22"/>
      <c r="C3" s="22"/>
      <c r="D3" s="27" t="s">
        <v>976</v>
      </c>
      <c r="E3" s="28"/>
    </row>
    <row r="4" spans="1:8">
      <c r="A4" s="29"/>
      <c r="B4" s="22"/>
      <c r="C4" s="22"/>
      <c r="D4" s="30"/>
      <c r="E4" s="22"/>
    </row>
    <row r="5" spans="1:8">
      <c r="A5" s="24" t="s">
        <v>172</v>
      </c>
      <c r="B5" s="22"/>
      <c r="C5" s="31">
        <v>2013</v>
      </c>
      <c r="D5" s="30"/>
      <c r="E5" s="22"/>
    </row>
    <row r="6" spans="1:8">
      <c r="A6" s="22"/>
      <c r="B6" s="22"/>
      <c r="C6" s="22"/>
      <c r="D6" s="22"/>
      <c r="E6" s="22"/>
    </row>
    <row r="7" spans="1:8">
      <c r="A7" s="32" t="s">
        <v>348</v>
      </c>
      <c r="B7" s="33"/>
      <c r="C7" s="33"/>
      <c r="D7" s="33"/>
      <c r="E7" s="33"/>
    </row>
    <row r="8" spans="1:8" ht="15.75" customHeight="1">
      <c r="A8" s="32" t="s">
        <v>347</v>
      </c>
      <c r="B8" s="33"/>
      <c r="C8" s="33"/>
      <c r="D8" s="33"/>
      <c r="E8" s="33"/>
      <c r="F8" s="517"/>
      <c r="G8" s="708" t="s">
        <v>884</v>
      </c>
      <c r="H8" s="709"/>
    </row>
    <row r="9" spans="1:8">
      <c r="A9" s="34"/>
      <c r="B9" s="33"/>
      <c r="C9" s="33"/>
      <c r="D9" s="33"/>
      <c r="E9" s="33"/>
      <c r="F9" s="517"/>
      <c r="G9" s="710"/>
      <c r="H9" s="709"/>
    </row>
    <row r="10" spans="1:8">
      <c r="A10" s="706" t="s">
        <v>244</v>
      </c>
      <c r="B10" s="707"/>
      <c r="C10" s="707"/>
      <c r="D10" s="707"/>
      <c r="E10" s="707"/>
      <c r="F10" s="517"/>
      <c r="G10" s="710"/>
      <c r="H10" s="709"/>
    </row>
    <row r="11" spans="1:8">
      <c r="A11" s="35"/>
      <c r="B11" s="35"/>
      <c r="C11" s="35"/>
      <c r="D11" s="35"/>
      <c r="E11" s="35"/>
      <c r="F11" s="517"/>
      <c r="G11" s="710"/>
      <c r="H11" s="709"/>
    </row>
    <row r="12" spans="1:8">
      <c r="A12" s="36" t="s">
        <v>245</v>
      </c>
      <c r="B12" s="37"/>
      <c r="C12" s="22"/>
      <c r="D12" s="22"/>
      <c r="E12" s="22"/>
      <c r="F12" s="517"/>
      <c r="G12" s="710"/>
      <c r="H12" s="709"/>
    </row>
    <row r="13" spans="1:8">
      <c r="A13" s="38" t="str">
        <f>CONCATENATE("the ",C5-1," Budget, Certificate Page:")</f>
        <v>the 2012 Budget, Certificate Page:</v>
      </c>
      <c r="B13" s="39"/>
      <c r="C13" s="40"/>
      <c r="D13" s="22"/>
      <c r="E13" s="22"/>
      <c r="F13" s="517"/>
      <c r="G13" s="710"/>
      <c r="H13" s="709"/>
    </row>
    <row r="14" spans="1:8">
      <c r="A14" s="38" t="s">
        <v>350</v>
      </c>
      <c r="B14" s="39"/>
      <c r="C14" s="40"/>
      <c r="D14" s="22"/>
      <c r="E14" s="22"/>
      <c r="F14" s="517"/>
      <c r="G14" s="517"/>
      <c r="H14" s="22"/>
    </row>
    <row r="15" spans="1:8">
      <c r="A15" s="41"/>
      <c r="B15" s="22"/>
      <c r="C15" s="22"/>
      <c r="D15" s="42">
        <f>C5-1</f>
        <v>2012</v>
      </c>
      <c r="E15" s="43">
        <f>$C$5-2</f>
        <v>2011</v>
      </c>
      <c r="G15" s="530" t="s">
        <v>804</v>
      </c>
      <c r="H15" s="137" t="s">
        <v>40</v>
      </c>
    </row>
    <row r="16" spans="1:8">
      <c r="A16" s="29" t="s">
        <v>332</v>
      </c>
      <c r="B16" s="22"/>
      <c r="C16" s="44" t="s">
        <v>333</v>
      </c>
      <c r="D16" s="45" t="s">
        <v>349</v>
      </c>
      <c r="E16" s="46" t="s">
        <v>329</v>
      </c>
      <c r="G16" s="531" t="str">
        <f>CONCATENATE("",E15," Ad Valorem Tax")</f>
        <v>2011 Ad Valorem Tax</v>
      </c>
      <c r="H16" s="685">
        <v>0</v>
      </c>
    </row>
    <row r="17" spans="1:7">
      <c r="A17" s="22"/>
      <c r="B17" s="47" t="s">
        <v>334</v>
      </c>
      <c r="C17" s="137" t="s">
        <v>148</v>
      </c>
      <c r="D17" s="49">
        <v>1016257</v>
      </c>
      <c r="E17" s="50">
        <v>253766</v>
      </c>
      <c r="G17" s="529">
        <f>IF(H16&gt;0,ROUND(E17-(E17*H$16),0),0)</f>
        <v>0</v>
      </c>
    </row>
    <row r="18" spans="1:7">
      <c r="A18" s="22"/>
      <c r="B18" s="47" t="s">
        <v>303</v>
      </c>
      <c r="C18" s="137" t="s">
        <v>173</v>
      </c>
      <c r="D18" s="49"/>
      <c r="E18" s="50"/>
      <c r="G18" s="529">
        <f>IF(H16&gt;0,ROUND(E18-(E18*H16),0),0)</f>
        <v>0</v>
      </c>
    </row>
    <row r="19" spans="1:7">
      <c r="A19" s="22"/>
      <c r="B19" s="47" t="s">
        <v>803</v>
      </c>
      <c r="C19" s="137" t="s">
        <v>802</v>
      </c>
      <c r="D19" s="49">
        <v>32281</v>
      </c>
      <c r="E19" s="50">
        <v>26602</v>
      </c>
      <c r="G19" s="529">
        <f>IF(H$16&gt;0,ROUND(E19-(E19*H$16),0),0)</f>
        <v>0</v>
      </c>
    </row>
    <row r="20" spans="1:7">
      <c r="A20" s="29" t="s">
        <v>243</v>
      </c>
      <c r="B20" s="22"/>
      <c r="C20" s="22"/>
      <c r="D20" s="51"/>
      <c r="E20" s="52"/>
    </row>
    <row r="21" spans="1:7">
      <c r="A21" s="22"/>
      <c r="B21" s="613"/>
      <c r="C21" s="380"/>
      <c r="D21" s="50"/>
      <c r="E21" s="50"/>
      <c r="G21" s="529">
        <f t="shared" ref="G21:G30" si="0">IF(H$16&gt;0,ROUND(E21-(E21*H$16),0),0)</f>
        <v>0</v>
      </c>
    </row>
    <row r="22" spans="1:7">
      <c r="A22" s="22"/>
      <c r="B22" s="53"/>
      <c r="C22" s="381"/>
      <c r="D22" s="50"/>
      <c r="E22" s="50"/>
      <c r="G22" s="529">
        <f t="shared" si="0"/>
        <v>0</v>
      </c>
    </row>
    <row r="23" spans="1:7">
      <c r="A23" s="22"/>
      <c r="B23" s="53"/>
      <c r="C23" s="381"/>
      <c r="D23" s="50"/>
      <c r="E23" s="50"/>
      <c r="G23" s="529">
        <f t="shared" si="0"/>
        <v>0</v>
      </c>
    </row>
    <row r="24" spans="1:7">
      <c r="A24" s="22"/>
      <c r="B24" s="53"/>
      <c r="C24" s="381"/>
      <c r="D24" s="50"/>
      <c r="E24" s="50"/>
      <c r="G24" s="529">
        <f t="shared" si="0"/>
        <v>0</v>
      </c>
    </row>
    <row r="25" spans="1:7">
      <c r="A25" s="22"/>
      <c r="B25" s="53"/>
      <c r="C25" s="381"/>
      <c r="D25" s="50"/>
      <c r="E25" s="50"/>
      <c r="G25" s="529">
        <f t="shared" si="0"/>
        <v>0</v>
      </c>
    </row>
    <row r="26" spans="1:7">
      <c r="A26" s="22"/>
      <c r="B26" s="53"/>
      <c r="C26" s="381"/>
      <c r="D26" s="50"/>
      <c r="E26" s="50"/>
      <c r="G26" s="529">
        <f t="shared" si="0"/>
        <v>0</v>
      </c>
    </row>
    <row r="27" spans="1:7">
      <c r="A27" s="22"/>
      <c r="B27" s="53"/>
      <c r="C27" s="381"/>
      <c r="D27" s="50"/>
      <c r="E27" s="50"/>
      <c r="G27" s="529">
        <f t="shared" si="0"/>
        <v>0</v>
      </c>
    </row>
    <row r="28" spans="1:7">
      <c r="A28" s="22"/>
      <c r="B28" s="53"/>
      <c r="C28" s="381"/>
      <c r="D28" s="50"/>
      <c r="E28" s="50"/>
      <c r="G28" s="529">
        <f t="shared" si="0"/>
        <v>0</v>
      </c>
    </row>
    <row r="29" spans="1:7">
      <c r="A29" s="22"/>
      <c r="B29" s="53"/>
      <c r="C29" s="381"/>
      <c r="D29" s="50"/>
      <c r="E29" s="50"/>
      <c r="G29" s="529">
        <f t="shared" si="0"/>
        <v>0</v>
      </c>
    </row>
    <row r="30" spans="1:7">
      <c r="A30" s="22"/>
      <c r="B30" s="53"/>
      <c r="C30" s="381"/>
      <c r="D30" s="50"/>
      <c r="E30" s="50"/>
      <c r="G30" s="529">
        <f t="shared" si="0"/>
        <v>0</v>
      </c>
    </row>
    <row r="31" spans="1:7">
      <c r="A31" s="54" t="str">
        <f>CONCATENATE("Total Tax Levy Funds for ",C5-1," Budgeted Year")</f>
        <v>Total Tax Levy Funds for 2012 Budgeted Year</v>
      </c>
      <c r="B31" s="55"/>
      <c r="C31" s="55"/>
      <c r="D31" s="56"/>
      <c r="E31" s="57">
        <f>SUM(E17:E30)</f>
        <v>280368</v>
      </c>
    </row>
    <row r="32" spans="1:7">
      <c r="A32" s="29"/>
      <c r="B32" s="22"/>
      <c r="C32" s="22"/>
      <c r="D32" s="58"/>
      <c r="E32" s="52"/>
    </row>
    <row r="33" spans="1:5">
      <c r="A33" s="29" t="s">
        <v>174</v>
      </c>
      <c r="B33" s="22"/>
      <c r="C33" s="22"/>
      <c r="D33" s="22"/>
      <c r="E33" s="22"/>
    </row>
    <row r="34" spans="1:5">
      <c r="A34" s="22"/>
      <c r="B34" s="59" t="s">
        <v>124</v>
      </c>
      <c r="C34" s="60"/>
      <c r="D34" s="49">
        <v>42981</v>
      </c>
      <c r="E34" s="60"/>
    </row>
    <row r="35" spans="1:5">
      <c r="A35" s="22"/>
      <c r="B35" s="614" t="s">
        <v>977</v>
      </c>
      <c r="C35" s="60"/>
      <c r="D35" s="49">
        <v>1762</v>
      </c>
      <c r="E35" s="60"/>
    </row>
    <row r="36" spans="1:5">
      <c r="A36" s="22"/>
      <c r="B36" s="614" t="s">
        <v>978</v>
      </c>
      <c r="C36" s="60"/>
      <c r="D36" s="49">
        <v>1868221</v>
      </c>
      <c r="E36" s="60"/>
    </row>
    <row r="37" spans="1:5">
      <c r="A37" s="22"/>
      <c r="B37" s="614"/>
      <c r="C37" s="60"/>
      <c r="D37" s="49"/>
      <c r="E37" s="60"/>
    </row>
    <row r="38" spans="1:5">
      <c r="A38" s="22"/>
      <c r="B38" s="614" t="s">
        <v>979</v>
      </c>
      <c r="C38" s="60"/>
      <c r="D38" s="49">
        <v>164916</v>
      </c>
      <c r="E38" s="60"/>
    </row>
    <row r="39" spans="1:5">
      <c r="A39" s="22"/>
      <c r="B39" s="614" t="s">
        <v>980</v>
      </c>
      <c r="C39" s="60"/>
      <c r="D39" s="49">
        <v>187549</v>
      </c>
      <c r="E39" s="60"/>
    </row>
    <row r="40" spans="1:5">
      <c r="A40" s="61"/>
      <c r="B40" s="614" t="s">
        <v>981</v>
      </c>
      <c r="C40" s="62"/>
      <c r="D40" s="49">
        <v>60139</v>
      </c>
      <c r="E40" s="63"/>
    </row>
    <row r="41" spans="1:5">
      <c r="A41" s="61"/>
      <c r="B41" s="613" t="s">
        <v>982</v>
      </c>
      <c r="C41" s="60"/>
      <c r="D41" s="49">
        <v>12645</v>
      </c>
      <c r="E41" s="63"/>
    </row>
    <row r="42" spans="1:5">
      <c r="A42" s="61"/>
      <c r="B42" s="63"/>
      <c r="C42" s="60"/>
      <c r="D42" s="63"/>
      <c r="E42" s="63"/>
    </row>
    <row r="43" spans="1:5">
      <c r="A43" s="61" t="s">
        <v>218</v>
      </c>
      <c r="B43" s="60"/>
      <c r="C43" s="60"/>
      <c r="D43" s="60"/>
      <c r="E43" s="63"/>
    </row>
    <row r="44" spans="1:5">
      <c r="A44" s="64">
        <v>1</v>
      </c>
      <c r="B44" s="613" t="s">
        <v>983</v>
      </c>
      <c r="C44" s="60"/>
      <c r="D44" s="49">
        <v>22941</v>
      </c>
      <c r="E44" s="63"/>
    </row>
    <row r="45" spans="1:5">
      <c r="A45" s="64">
        <v>2</v>
      </c>
      <c r="B45" s="613"/>
      <c r="C45" s="60"/>
      <c r="D45" s="49"/>
      <c r="E45" s="63"/>
    </row>
    <row r="46" spans="1:5">
      <c r="A46" s="64">
        <v>3</v>
      </c>
      <c r="B46" s="613"/>
      <c r="C46" s="60"/>
      <c r="D46" s="49"/>
      <c r="E46" s="63"/>
    </row>
    <row r="47" spans="1:5">
      <c r="A47" s="64">
        <v>4</v>
      </c>
      <c r="B47" s="613"/>
      <c r="C47" s="60"/>
      <c r="D47" s="49"/>
      <c r="E47" s="63"/>
    </row>
    <row r="48" spans="1:5">
      <c r="A48" s="54" t="str">
        <f>CONCATENATE("Total Expenditures for ",C5-1," Budgeted Year")</f>
        <v>Total Expenditures for 2012 Budgeted Year</v>
      </c>
      <c r="B48" s="55"/>
      <c r="C48" s="55"/>
      <c r="D48" s="57">
        <f>SUM(D17:D19,D21:D30,D34:D41,D44:D47)</f>
        <v>3409692</v>
      </c>
      <c r="E48" s="22"/>
    </row>
    <row r="49" spans="1:5">
      <c r="A49" s="61"/>
      <c r="B49" s="60"/>
      <c r="C49" s="60"/>
      <c r="D49" s="22"/>
      <c r="E49" s="22"/>
    </row>
    <row r="50" spans="1:5">
      <c r="A50" s="61" t="s">
        <v>219</v>
      </c>
      <c r="B50" s="60"/>
      <c r="C50" s="60"/>
      <c r="D50" s="60"/>
      <c r="E50" s="22"/>
    </row>
    <row r="51" spans="1:5">
      <c r="A51" s="64">
        <v>1</v>
      </c>
      <c r="B51" s="613" t="s">
        <v>984</v>
      </c>
      <c r="C51" s="60"/>
      <c r="D51" s="60"/>
      <c r="E51" s="22"/>
    </row>
    <row r="52" spans="1:5">
      <c r="A52" s="64">
        <v>2</v>
      </c>
      <c r="B52" s="613" t="s">
        <v>985</v>
      </c>
      <c r="C52" s="60"/>
      <c r="D52" s="60"/>
      <c r="E52" s="22"/>
    </row>
    <row r="53" spans="1:5">
      <c r="A53" s="64">
        <v>3</v>
      </c>
      <c r="B53" s="613" t="s">
        <v>986</v>
      </c>
      <c r="C53" s="60"/>
      <c r="D53" s="60"/>
      <c r="E53" s="22"/>
    </row>
    <row r="54" spans="1:5">
      <c r="A54" s="64">
        <v>4</v>
      </c>
      <c r="B54" s="613" t="s">
        <v>1090</v>
      </c>
      <c r="C54" s="60"/>
      <c r="D54" s="60"/>
      <c r="E54" s="22"/>
    </row>
    <row r="55" spans="1:5">
      <c r="A55" s="64">
        <v>5</v>
      </c>
      <c r="B55" s="613"/>
      <c r="C55" s="60"/>
      <c r="D55" s="60"/>
      <c r="E55" s="22"/>
    </row>
    <row r="56" spans="1:5">
      <c r="A56" s="61" t="s">
        <v>191</v>
      </c>
      <c r="B56" s="60"/>
      <c r="C56" s="60"/>
      <c r="D56" s="60"/>
      <c r="E56" s="22"/>
    </row>
    <row r="57" spans="1:5">
      <c r="A57" s="64">
        <v>1</v>
      </c>
      <c r="B57" s="613"/>
      <c r="C57" s="60"/>
      <c r="D57" s="60"/>
      <c r="E57" s="22"/>
    </row>
    <row r="58" spans="1:5">
      <c r="A58" s="64">
        <v>2</v>
      </c>
      <c r="B58" s="613"/>
      <c r="C58" s="60"/>
      <c r="D58" s="60"/>
      <c r="E58" s="22"/>
    </row>
    <row r="59" spans="1:5">
      <c r="A59" s="64">
        <v>3</v>
      </c>
      <c r="B59" s="613"/>
      <c r="C59" s="60"/>
      <c r="D59" s="60"/>
      <c r="E59" s="22"/>
    </row>
    <row r="60" spans="1:5">
      <c r="A60" s="64">
        <v>4</v>
      </c>
      <c r="B60" s="613"/>
      <c r="C60" s="60"/>
      <c r="D60" s="60"/>
      <c r="E60" s="22"/>
    </row>
    <row r="61" spans="1:5" ht="18" customHeight="1">
      <c r="A61" s="64">
        <v>5</v>
      </c>
      <c r="B61" s="613"/>
      <c r="C61" s="22"/>
      <c r="D61" s="22"/>
      <c r="E61" s="22"/>
    </row>
    <row r="62" spans="1:5">
      <c r="A62" s="22"/>
      <c r="B62" s="22"/>
      <c r="C62" s="22"/>
      <c r="D62" s="65" t="str">
        <f>CONCATENATE("",C5-3," Tax Rate")</f>
        <v>2010 Tax Rate</v>
      </c>
      <c r="E62" s="22"/>
    </row>
    <row r="63" spans="1:5">
      <c r="A63" s="66" t="str">
        <f>CONCATENATE("From the ",C5-1," Budget, Budget Summary Page")</f>
        <v>From the 2012 Budget, Budget Summary Page</v>
      </c>
      <c r="B63" s="37"/>
      <c r="C63" s="22"/>
      <c r="D63" s="67" t="str">
        <f>CONCATENATE("(",C5-2," Column)")</f>
        <v>(2011 Column)</v>
      </c>
      <c r="E63" s="22"/>
    </row>
    <row r="64" spans="1:5">
      <c r="A64" s="22"/>
      <c r="B64" s="68" t="str">
        <f>B17</f>
        <v>General</v>
      </c>
      <c r="C64" s="69"/>
      <c r="D64" s="70">
        <v>37.758000000000003</v>
      </c>
      <c r="E64" s="22"/>
    </row>
    <row r="65" spans="1:5">
      <c r="A65" s="22"/>
      <c r="B65" s="68" t="str">
        <f>B18</f>
        <v>Debt Service</v>
      </c>
      <c r="C65" s="69"/>
      <c r="D65" s="70">
        <v>0</v>
      </c>
      <c r="E65" s="22"/>
    </row>
    <row r="66" spans="1:5">
      <c r="A66" s="22"/>
      <c r="B66" s="68" t="str">
        <f>B19</f>
        <v>Library</v>
      </c>
      <c r="C66" s="48"/>
      <c r="D66" s="70">
        <v>3.9929999999999999</v>
      </c>
      <c r="E66" s="22"/>
    </row>
    <row r="67" spans="1:5">
      <c r="A67" s="22"/>
      <c r="B67" s="68">
        <f t="shared" ref="B67:B76" si="1">B21</f>
        <v>0</v>
      </c>
      <c r="C67" s="48"/>
      <c r="D67" s="70"/>
      <c r="E67" s="22"/>
    </row>
    <row r="68" spans="1:5">
      <c r="A68" s="22"/>
      <c r="B68" s="68">
        <f t="shared" si="1"/>
        <v>0</v>
      </c>
      <c r="C68" s="48"/>
      <c r="D68" s="70"/>
      <c r="E68" s="22"/>
    </row>
    <row r="69" spans="1:5">
      <c r="A69" s="22"/>
      <c r="B69" s="68">
        <f t="shared" si="1"/>
        <v>0</v>
      </c>
      <c r="C69" s="48"/>
      <c r="D69" s="70"/>
      <c r="E69" s="22"/>
    </row>
    <row r="70" spans="1:5">
      <c r="A70" s="22"/>
      <c r="B70" s="68">
        <f t="shared" si="1"/>
        <v>0</v>
      </c>
      <c r="C70" s="48"/>
      <c r="D70" s="70"/>
      <c r="E70" s="22"/>
    </row>
    <row r="71" spans="1:5">
      <c r="A71" s="22"/>
      <c r="B71" s="68">
        <f t="shared" si="1"/>
        <v>0</v>
      </c>
      <c r="C71" s="48"/>
      <c r="D71" s="70"/>
      <c r="E71" s="22"/>
    </row>
    <row r="72" spans="1:5">
      <c r="A72" s="22"/>
      <c r="B72" s="68">
        <f t="shared" si="1"/>
        <v>0</v>
      </c>
      <c r="C72" s="48"/>
      <c r="D72" s="70"/>
      <c r="E72" s="22"/>
    </row>
    <row r="73" spans="1:5">
      <c r="A73" s="22"/>
      <c r="B73" s="68">
        <f t="shared" si="1"/>
        <v>0</v>
      </c>
      <c r="C73" s="48"/>
      <c r="D73" s="70"/>
      <c r="E73" s="22"/>
    </row>
    <row r="74" spans="1:5">
      <c r="A74" s="22"/>
      <c r="B74" s="68">
        <f t="shared" si="1"/>
        <v>0</v>
      </c>
      <c r="C74" s="48"/>
      <c r="D74" s="70"/>
      <c r="E74" s="22"/>
    </row>
    <row r="75" spans="1:5">
      <c r="A75" s="22"/>
      <c r="B75" s="68">
        <f t="shared" si="1"/>
        <v>0</v>
      </c>
      <c r="C75" s="48"/>
      <c r="D75" s="70"/>
      <c r="E75" s="22"/>
    </row>
    <row r="76" spans="1:5">
      <c r="A76" s="22"/>
      <c r="B76" s="68">
        <f t="shared" si="1"/>
        <v>0</v>
      </c>
      <c r="C76" s="48"/>
      <c r="D76" s="70"/>
      <c r="E76" s="22"/>
    </row>
    <row r="77" spans="1:5">
      <c r="A77" s="29" t="s">
        <v>335</v>
      </c>
      <c r="B77" s="22"/>
      <c r="C77" s="22"/>
      <c r="D77" s="71">
        <f>SUM(D64:D76)</f>
        <v>41.751000000000005</v>
      </c>
      <c r="E77" s="22"/>
    </row>
    <row r="78" spans="1:5">
      <c r="A78" s="22"/>
      <c r="B78" s="22"/>
      <c r="C78" s="22"/>
      <c r="D78" s="22"/>
      <c r="E78" s="22"/>
    </row>
    <row r="79" spans="1:5">
      <c r="A79" s="72" t="str">
        <f>CONCATENATE("Total Tax Levied (",C5-2," budget column)")</f>
        <v>Total Tax Levied (2011 budget column)</v>
      </c>
      <c r="B79" s="73"/>
      <c r="C79" s="55"/>
      <c r="D79" s="74"/>
      <c r="E79" s="50">
        <v>275391</v>
      </c>
    </row>
    <row r="80" spans="1:5">
      <c r="A80" s="72" t="str">
        <f>CONCATENATE("Assessed Valuation  (",C5-2," budget column)")</f>
        <v>Assessed Valuation  (2011 budget column)</v>
      </c>
      <c r="B80" s="75"/>
      <c r="C80" s="76"/>
      <c r="D80" s="77"/>
      <c r="E80" s="50">
        <v>6482270</v>
      </c>
    </row>
    <row r="81" spans="1:5">
      <c r="A81" s="22"/>
      <c r="B81" s="22"/>
      <c r="C81" s="22"/>
      <c r="D81" s="40"/>
      <c r="E81" s="51"/>
    </row>
    <row r="82" spans="1:5">
      <c r="A82" s="37" t="s">
        <v>261</v>
      </c>
      <c r="B82" s="37"/>
      <c r="C82" s="78"/>
      <c r="D82" s="79">
        <f>C5-3</f>
        <v>2010</v>
      </c>
      <c r="E82" s="80">
        <f>C5-2</f>
        <v>2011</v>
      </c>
    </row>
    <row r="83" spans="1:5">
      <c r="A83" s="73" t="s">
        <v>175</v>
      </c>
      <c r="B83" s="73"/>
      <c r="C83" s="81"/>
      <c r="D83" s="49"/>
      <c r="E83" s="49"/>
    </row>
    <row r="84" spans="1:5">
      <c r="A84" s="75" t="s">
        <v>176</v>
      </c>
      <c r="B84" s="75"/>
      <c r="C84" s="82"/>
      <c r="D84" s="49"/>
      <c r="E84" s="49"/>
    </row>
    <row r="85" spans="1:5">
      <c r="A85" s="75" t="s">
        <v>177</v>
      </c>
      <c r="B85" s="75"/>
      <c r="C85" s="82"/>
      <c r="D85" s="49">
        <v>377990</v>
      </c>
      <c r="E85" s="49">
        <v>357564</v>
      </c>
    </row>
    <row r="86" spans="1:5">
      <c r="A86" s="75" t="s">
        <v>178</v>
      </c>
      <c r="B86" s="75"/>
      <c r="C86" s="82"/>
      <c r="D86" s="49"/>
      <c r="E86" s="49"/>
    </row>
    <row r="89" spans="1:5">
      <c r="A89" s="698" t="s">
        <v>1108</v>
      </c>
      <c r="B89" s="699"/>
      <c r="C89" s="699"/>
      <c r="D89" s="699"/>
      <c r="E89" s="699"/>
    </row>
    <row r="90" spans="1:5">
      <c r="A90" s="699" t="s">
        <v>1113</v>
      </c>
      <c r="B90" s="699"/>
      <c r="C90" s="699"/>
      <c r="D90" s="699"/>
      <c r="E90" s="699">
        <v>0.06</v>
      </c>
    </row>
    <row r="91" spans="1:5">
      <c r="A91" s="699"/>
      <c r="B91" s="699"/>
      <c r="C91" s="699"/>
      <c r="D91" s="699"/>
      <c r="E91" s="699">
        <v>1.06</v>
      </c>
    </row>
    <row r="92" spans="1:5">
      <c r="A92" s="571"/>
      <c r="B92" s="571"/>
      <c r="C92" s="571"/>
      <c r="D92" s="571"/>
      <c r="E92" s="571"/>
    </row>
    <row r="93" spans="1:5" s="83" customFormat="1">
      <c r="A93" s="698" t="s">
        <v>1114</v>
      </c>
      <c r="B93" s="699"/>
      <c r="C93" s="699"/>
      <c r="D93" s="699"/>
      <c r="E93" s="699"/>
    </row>
    <row r="94" spans="1:5">
      <c r="A94" s="699" t="s">
        <v>1115</v>
      </c>
      <c r="B94" s="699"/>
      <c r="C94" s="699"/>
      <c r="D94" s="699"/>
      <c r="E94" s="699">
        <v>5</v>
      </c>
    </row>
    <row r="95" spans="1:5">
      <c r="A95" s="699" t="s">
        <v>1109</v>
      </c>
      <c r="B95" s="699"/>
      <c r="C95" s="699"/>
      <c r="D95" s="699"/>
      <c r="E95" s="699">
        <v>12</v>
      </c>
    </row>
    <row r="96" spans="1:5">
      <c r="A96" s="701" t="s">
        <v>1110</v>
      </c>
      <c r="B96" s="571"/>
      <c r="C96" s="571"/>
      <c r="D96" s="571"/>
      <c r="E96" s="571"/>
    </row>
    <row r="97" spans="1:5">
      <c r="A97" s="571"/>
      <c r="B97" s="571"/>
      <c r="C97" s="571"/>
      <c r="D97" s="571"/>
      <c r="E97" s="571"/>
    </row>
    <row r="98" spans="1:5">
      <c r="A98" s="698" t="s">
        <v>1116</v>
      </c>
      <c r="B98" s="699"/>
      <c r="C98" s="699"/>
      <c r="D98" s="699"/>
      <c r="E98" s="699"/>
    </row>
    <row r="99" spans="1:5">
      <c r="A99" s="699" t="s">
        <v>1111</v>
      </c>
      <c r="B99" s="699"/>
      <c r="C99" s="699"/>
      <c r="D99" s="699"/>
      <c r="E99" s="699">
        <v>0.03</v>
      </c>
    </row>
    <row r="100" spans="1:5">
      <c r="A100" s="699" t="s">
        <v>1112</v>
      </c>
      <c r="B100" s="699"/>
      <c r="C100" s="699"/>
      <c r="D100" s="699"/>
      <c r="E100" s="699">
        <v>1.03</v>
      </c>
    </row>
    <row r="101" spans="1:5">
      <c r="A101" s="571"/>
      <c r="B101" s="571"/>
      <c r="C101" s="571"/>
      <c r="D101" s="571"/>
      <c r="E101" s="571"/>
    </row>
    <row r="102" spans="1:5">
      <c r="A102" s="698" t="s">
        <v>1117</v>
      </c>
      <c r="B102" s="699"/>
      <c r="C102" s="699"/>
      <c r="D102" s="699"/>
      <c r="E102" s="699"/>
    </row>
    <row r="103" spans="1:5">
      <c r="A103" s="699" t="s">
        <v>1118</v>
      </c>
      <c r="B103" s="699"/>
      <c r="C103" s="699"/>
      <c r="D103" s="699"/>
      <c r="E103" s="699">
        <v>0.03</v>
      </c>
    </row>
    <row r="104" spans="1:5">
      <c r="A104" s="699" t="s">
        <v>1119</v>
      </c>
      <c r="B104" s="699"/>
      <c r="C104" s="699"/>
      <c r="D104" s="699"/>
      <c r="E104" s="700">
        <v>1.03</v>
      </c>
    </row>
  </sheetData>
  <mergeCells count="2">
    <mergeCell ref="A10:E10"/>
    <mergeCell ref="G8:H13"/>
  </mergeCells>
  <phoneticPr fontId="0" type="noConversion"/>
  <pageMargins left="0.5" right="0.5" top="1" bottom="0.5" header="0.5" footer="0.25"/>
  <pageSetup scale="74"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K96"/>
  <sheetViews>
    <sheetView topLeftCell="A32"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t="s">
        <v>90</v>
      </c>
      <c r="C3" s="169"/>
      <c r="D3" s="169"/>
      <c r="E3" s="256"/>
    </row>
    <row r="4" spans="2:5">
      <c r="B4" s="29" t="s">
        <v>24</v>
      </c>
      <c r="C4" s="604" t="s">
        <v>808</v>
      </c>
      <c r="D4" s="605" t="s">
        <v>811</v>
      </c>
      <c r="E4" s="125" t="s">
        <v>812</v>
      </c>
    </row>
    <row r="5" spans="2:5">
      <c r="B5" s="363">
        <f>inputPrYr!B25</f>
        <v>0</v>
      </c>
      <c r="C5" s="351" t="str">
        <f>CONCATENATE("Actual for ",E1-2,"")</f>
        <v>Actual for 2011</v>
      </c>
      <c r="D5" s="351" t="str">
        <f>CONCATENATE("Estimate for ",E1-1,"")</f>
        <v>Estimate for 2012</v>
      </c>
      <c r="E5" s="222" t="str">
        <f>CONCATENATE("Year for ",E1,"")</f>
        <v>Year for 2013</v>
      </c>
    </row>
    <row r="6" spans="2:5">
      <c r="B6" s="223" t="s">
        <v>145</v>
      </c>
      <c r="C6" s="224"/>
      <c r="D6" s="350">
        <f>C34</f>
        <v>0</v>
      </c>
      <c r="E6" s="193">
        <f>D34</f>
        <v>0</v>
      </c>
    </row>
    <row r="7" spans="2:5">
      <c r="B7" s="223" t="s">
        <v>147</v>
      </c>
      <c r="C7" s="139"/>
      <c r="D7" s="139"/>
      <c r="E7" s="68"/>
    </row>
    <row r="8" spans="2:5">
      <c r="B8" s="131" t="s">
        <v>25</v>
      </c>
      <c r="C8" s="224"/>
      <c r="D8" s="350">
        <f>IF(inputPrYr!H16&gt;0,inputPrYr!G25,inputPrYr!E25)</f>
        <v>0</v>
      </c>
      <c r="E8" s="253" t="s">
        <v>13</v>
      </c>
    </row>
    <row r="9" spans="2:5">
      <c r="B9" s="131" t="s">
        <v>26</v>
      </c>
      <c r="C9" s="224"/>
      <c r="D9" s="224"/>
      <c r="E9" s="50"/>
    </row>
    <row r="10" spans="2:5">
      <c r="B10" s="131" t="s">
        <v>27</v>
      </c>
      <c r="C10" s="224"/>
      <c r="D10" s="224"/>
      <c r="E10" s="193" t="str">
        <f>mvalloc!D14</f>
        <v xml:space="preserve">  </v>
      </c>
    </row>
    <row r="11" spans="2:5">
      <c r="B11" s="131" t="s">
        <v>28</v>
      </c>
      <c r="C11" s="224"/>
      <c r="D11" s="224"/>
      <c r="E11" s="193" t="str">
        <f>mvalloc!E14</f>
        <v xml:space="preserve"> </v>
      </c>
    </row>
    <row r="12" spans="2:5">
      <c r="B12" s="139" t="s">
        <v>122</v>
      </c>
      <c r="C12" s="224"/>
      <c r="D12" s="224"/>
      <c r="E12" s="193" t="str">
        <f>mvalloc!F14</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30</v>
      </c>
      <c r="C17" s="224"/>
      <c r="D17" s="224"/>
      <c r="E17" s="50"/>
    </row>
    <row r="18" spans="2:10">
      <c r="B18" s="139" t="s">
        <v>270</v>
      </c>
      <c r="C18" s="224"/>
      <c r="D18" s="224"/>
      <c r="E18" s="50"/>
    </row>
    <row r="19" spans="2:10">
      <c r="B19" s="223" t="s">
        <v>791</v>
      </c>
      <c r="C19" s="352" t="str">
        <f>IF(C20*0.1&lt;C18,"Exceed 10% Rule","")</f>
        <v/>
      </c>
      <c r="D19" s="352" t="str">
        <f>IF(D20*0.1&lt;D18,"Exceed 10% Rule","")</f>
        <v/>
      </c>
      <c r="E19" s="365" t="str">
        <f>IF(E20*0.1+E40&lt;E18,"Exceed 10% Rule","")</f>
        <v/>
      </c>
    </row>
    <row r="20" spans="2:10">
      <c r="B20" s="233" t="s">
        <v>31</v>
      </c>
      <c r="C20" s="353">
        <f>SUM(C8:C18)</f>
        <v>0</v>
      </c>
      <c r="D20" s="353">
        <f>SUM(D8:D18)</f>
        <v>0</v>
      </c>
      <c r="E20" s="258">
        <f>SUM(E8:E18)</f>
        <v>0</v>
      </c>
    </row>
    <row r="21" spans="2:10">
      <c r="B21" s="233" t="s">
        <v>32</v>
      </c>
      <c r="C21" s="353">
        <f>C6+C20</f>
        <v>0</v>
      </c>
      <c r="D21" s="353">
        <f>D6+D20</f>
        <v>0</v>
      </c>
      <c r="E21" s="258">
        <f>E6+E20</f>
        <v>0</v>
      </c>
    </row>
    <row r="22" spans="2:10">
      <c r="B22" s="131" t="s">
        <v>34</v>
      </c>
      <c r="C22" s="240"/>
      <c r="D22" s="240"/>
      <c r="E22" s="48"/>
    </row>
    <row r="23" spans="2:10">
      <c r="B23" s="239"/>
      <c r="C23" s="224"/>
      <c r="D23" s="224"/>
      <c r="E23" s="50"/>
    </row>
    <row r="24" spans="2:10">
      <c r="B24" s="239"/>
      <c r="C24" s="224"/>
      <c r="D24" s="224"/>
      <c r="E24" s="50"/>
      <c r="G24" s="765" t="str">
        <f>CONCATENATE("Desired Carryover Into ",E1+1,"")</f>
        <v>Desired Carryover Into 2014</v>
      </c>
      <c r="H24" s="766"/>
      <c r="I24" s="766"/>
      <c r="J24" s="758"/>
    </row>
    <row r="25" spans="2:10">
      <c r="B25" s="239"/>
      <c r="C25" s="224"/>
      <c r="D25" s="224"/>
      <c r="E25" s="50"/>
      <c r="G25" s="635"/>
      <c r="H25" s="622"/>
      <c r="I25" s="629"/>
      <c r="J25" s="636"/>
    </row>
    <row r="26" spans="2:10">
      <c r="B26" s="239"/>
      <c r="C26" s="224"/>
      <c r="D26" s="224"/>
      <c r="E26" s="50"/>
      <c r="G26" s="634" t="s">
        <v>636</v>
      </c>
      <c r="H26" s="629"/>
      <c r="I26" s="629"/>
      <c r="J26" s="623">
        <v>0</v>
      </c>
    </row>
    <row r="27" spans="2:10">
      <c r="B27" s="239"/>
      <c r="C27" s="224"/>
      <c r="D27" s="224"/>
      <c r="E27" s="50"/>
      <c r="G27" s="635" t="s">
        <v>637</v>
      </c>
      <c r="H27" s="622"/>
      <c r="I27" s="622"/>
      <c r="J27" s="663" t="str">
        <f>IF(J26=0,"",ROUND((J26+E40-G39)/inputOth!E7*1000,3)-G44)</f>
        <v/>
      </c>
    </row>
    <row r="28" spans="2:10">
      <c r="B28" s="239"/>
      <c r="C28" s="224"/>
      <c r="D28" s="224"/>
      <c r="E28" s="50"/>
      <c r="G28" s="660" t="str">
        <f>CONCATENATE("",E1," Tot Exp/Non-Appr Must Be:")</f>
        <v>2013 Tot Exp/Non-Appr Must Be:</v>
      </c>
      <c r="H28" s="658"/>
      <c r="I28" s="659"/>
      <c r="J28" s="655">
        <f>IF(J26&gt;0,IF(E37&lt;E21,IF(J26=G39,E37,((J26-G39)*(1-D39))+E21),E37+(J26-G39)),0)</f>
        <v>0</v>
      </c>
    </row>
    <row r="29" spans="2:10">
      <c r="B29" s="239"/>
      <c r="C29" s="224"/>
      <c r="D29" s="224"/>
      <c r="E29" s="50"/>
      <c r="G29" s="538" t="s">
        <v>813</v>
      </c>
      <c r="H29" s="666"/>
      <c r="I29" s="666"/>
      <c r="J29" s="661">
        <f>IF(J26&gt;0,J28-E37,0)</f>
        <v>0</v>
      </c>
    </row>
    <row r="30" spans="2:10">
      <c r="B30" s="240" t="s">
        <v>271</v>
      </c>
      <c r="C30" s="224"/>
      <c r="D30" s="224"/>
      <c r="E30" s="57" t="str">
        <f>nhood!E13</f>
        <v/>
      </c>
      <c r="J30" s="612"/>
    </row>
    <row r="31" spans="2:10">
      <c r="B31" s="240" t="s">
        <v>270</v>
      </c>
      <c r="C31" s="224"/>
      <c r="D31" s="224"/>
      <c r="E31" s="50"/>
      <c r="G31" s="765" t="str">
        <f>CONCATENATE("Projected Carryover Into ",E1+1,"")</f>
        <v>Projected Carryover Into 2014</v>
      </c>
      <c r="H31" s="767"/>
      <c r="I31" s="767"/>
      <c r="J31" s="768"/>
    </row>
    <row r="32" spans="2:10">
      <c r="B32" s="240" t="s">
        <v>792</v>
      </c>
      <c r="C32" s="352" t="str">
        <f>IF(C33*0.1&lt;C31,"Exceed 10% Rule","")</f>
        <v/>
      </c>
      <c r="D32" s="352" t="str">
        <f>IF(D33*0.1&lt;D31,"Exceed 10% Rule","")</f>
        <v/>
      </c>
      <c r="E32" s="365" t="str">
        <f>IF(E33*0.1&lt;E31,"Exceed 10% Rule","")</f>
        <v/>
      </c>
      <c r="G32" s="635"/>
      <c r="H32" s="629"/>
      <c r="I32" s="629"/>
      <c r="J32" s="675"/>
    </row>
    <row r="33" spans="2:11">
      <c r="B33" s="233" t="s">
        <v>38</v>
      </c>
      <c r="C33" s="353">
        <f>SUM(C23:C31)</f>
        <v>0</v>
      </c>
      <c r="D33" s="353">
        <f>SUM(D23:D31)</f>
        <v>0</v>
      </c>
      <c r="E33" s="258">
        <f>SUM(E23:E31)</f>
        <v>0</v>
      </c>
      <c r="G33" s="626">
        <f>D34</f>
        <v>0</v>
      </c>
      <c r="H33" s="627" t="str">
        <f>CONCATENATE("",E1-1," Ending Cash Balance (est.)")</f>
        <v>2012 Ending Cash Balance (est.)</v>
      </c>
      <c r="I33" s="628"/>
      <c r="J33" s="675"/>
    </row>
    <row r="34" spans="2:11">
      <c r="B34" s="131" t="s">
        <v>146</v>
      </c>
      <c r="C34" s="350">
        <f>C21-C33</f>
        <v>0</v>
      </c>
      <c r="D34" s="350">
        <f>D21-D33</f>
        <v>0</v>
      </c>
      <c r="E34" s="253" t="s">
        <v>13</v>
      </c>
      <c r="G34" s="626">
        <f>E20</f>
        <v>0</v>
      </c>
      <c r="H34" s="629" t="str">
        <f>CONCATENATE("",E1," Non-AV Receipts (est.)")</f>
        <v>2013 Non-AV Receipts (est.)</v>
      </c>
      <c r="I34" s="628"/>
      <c r="J34" s="675"/>
    </row>
    <row r="35" spans="2:11">
      <c r="B35" s="119" t="str">
        <f>CONCATENATE("",$E$1-2,"/",$E$1-1," Budget Authority Amount:")</f>
        <v>2011/2012 Budget Authority Amount:</v>
      </c>
      <c r="C35" s="183">
        <f>inputOth!B68</f>
        <v>0</v>
      </c>
      <c r="D35" s="242">
        <f>inputPrYr!D25</f>
        <v>0</v>
      </c>
      <c r="E35" s="253" t="s">
        <v>13</v>
      </c>
      <c r="F35" s="243"/>
      <c r="G35" s="630">
        <f>IF(D39&gt;0,E38,E40)</f>
        <v>0</v>
      </c>
      <c r="H35" s="629" t="str">
        <f>CONCATENATE("",E1," Ad Valorem Tax (est.)")</f>
        <v>2013 Ad Valorem Tax (est.)</v>
      </c>
      <c r="I35" s="628"/>
      <c r="J35" s="675"/>
      <c r="K35" s="540" t="str">
        <f>IF(G35=E40,"","Note: Does not include Delinquent Taxes")</f>
        <v/>
      </c>
    </row>
    <row r="36" spans="2:11">
      <c r="B36" s="119"/>
      <c r="C36" s="746" t="s">
        <v>629</v>
      </c>
      <c r="D36" s="747"/>
      <c r="E36" s="50"/>
      <c r="F36" s="686" t="str">
        <f>IF(E33/0.95-E33&lt;E36,"Exceeds 5%","")</f>
        <v/>
      </c>
      <c r="G36" s="626">
        <f>SUM(G33:G35)</f>
        <v>0</v>
      </c>
      <c r="H36" s="629" t="str">
        <f>CONCATENATE("Total ",E1," Resources Available")</f>
        <v>Total 2013 Resources Available</v>
      </c>
      <c r="I36" s="628"/>
      <c r="J36" s="675"/>
    </row>
    <row r="37" spans="2:11">
      <c r="B37" s="366" t="str">
        <f>CONCATENATE(C93,"     ",D93)</f>
        <v xml:space="preserve">     </v>
      </c>
      <c r="C37" s="748" t="s">
        <v>630</v>
      </c>
      <c r="D37" s="749"/>
      <c r="E37" s="193">
        <f>E33+E36</f>
        <v>0</v>
      </c>
      <c r="G37" s="631"/>
      <c r="H37" s="629"/>
      <c r="I37" s="629"/>
      <c r="J37" s="675"/>
    </row>
    <row r="38" spans="2:11">
      <c r="B38" s="366" t="str">
        <f>CONCATENATE(C94,"     ",D94)</f>
        <v xml:space="preserve">     </v>
      </c>
      <c r="C38" s="244"/>
      <c r="D38" s="147" t="s">
        <v>39</v>
      </c>
      <c r="E38" s="193">
        <f>IF(E37-E21&gt;0,E37-E21,0)</f>
        <v>0</v>
      </c>
      <c r="G38" s="630">
        <f>ROUND(C33*0.05+C33,0)</f>
        <v>0</v>
      </c>
      <c r="H38" s="629" t="str">
        <f>CONCATENATE("Less ",E1-2," Expenditures + 5%")</f>
        <v>Less 2011 Expenditures + 5%</v>
      </c>
      <c r="I38" s="628"/>
      <c r="J38" s="675"/>
    </row>
    <row r="39" spans="2:11">
      <c r="B39" s="147"/>
      <c r="C39" s="357" t="s">
        <v>631</v>
      </c>
      <c r="D39" s="539">
        <f>inputOth!$E$47</f>
        <v>0.02</v>
      </c>
      <c r="E39" s="193">
        <f>ROUND(IF(D39&gt;0,(E38*D39),0),0)</f>
        <v>0</v>
      </c>
      <c r="G39" s="664">
        <f>G36-G38</f>
        <v>0</v>
      </c>
      <c r="H39" s="665" t="str">
        <f>CONCATENATE("Projected ",E1+1," carryover (est.)")</f>
        <v>Projected 2014 carryover (est.)</v>
      </c>
      <c r="I39" s="632"/>
      <c r="J39" s="673"/>
    </row>
    <row r="40" spans="2:11" ht="16.5" thickBot="1">
      <c r="B40" s="22"/>
      <c r="C40" s="750" t="str">
        <f>CONCATENATE("Amount of  ",$E$1-1," Ad Valorem Tax")</f>
        <v>Amount of  2012 Ad Valorem Tax</v>
      </c>
      <c r="D40" s="751"/>
      <c r="E40" s="259">
        <f>E38+E39</f>
        <v>0</v>
      </c>
      <c r="G40" s="612"/>
      <c r="H40" s="612"/>
      <c r="I40" s="612"/>
      <c r="J40" s="612"/>
    </row>
    <row r="41" spans="2:11" ht="16.5" thickTop="1">
      <c r="B41" s="22"/>
      <c r="C41" s="761"/>
      <c r="D41" s="761"/>
      <c r="E41" s="22"/>
      <c r="G41" s="753" t="s">
        <v>869</v>
      </c>
      <c r="H41" s="763"/>
      <c r="I41" s="763"/>
      <c r="J41" s="764"/>
    </row>
    <row r="42" spans="2:11">
      <c r="B42" s="22"/>
      <c r="C42" s="22"/>
      <c r="D42" s="22"/>
      <c r="E42" s="22"/>
      <c r="G42" s="668"/>
      <c r="H42" s="627"/>
      <c r="I42" s="656"/>
      <c r="J42" s="657"/>
    </row>
    <row r="43" spans="2:11">
      <c r="B43" s="29"/>
      <c r="C43" s="257"/>
      <c r="D43" s="257"/>
      <c r="E43" s="257"/>
      <c r="G43" s="670" t="e">
        <f>summ!#REF!</f>
        <v>#REF!</v>
      </c>
      <c r="H43" s="627" t="str">
        <f>CONCATENATE("",E1," Fund Mill Rate")</f>
        <v>2013 Fund Mill Rate</v>
      </c>
      <c r="I43" s="656"/>
      <c r="J43" s="657"/>
    </row>
    <row r="44" spans="2:11">
      <c r="B44" s="29" t="s">
        <v>24</v>
      </c>
      <c r="C44" s="604" t="str">
        <f t="shared" ref="C44:E45" si="0">C4</f>
        <v xml:space="preserve">Prior Year </v>
      </c>
      <c r="D44" s="605" t="str">
        <f t="shared" si="0"/>
        <v xml:space="preserve">Current Year </v>
      </c>
      <c r="E44" s="125" t="str">
        <f t="shared" si="0"/>
        <v xml:space="preserve">Proposed Budget </v>
      </c>
      <c r="G44" s="669" t="e">
        <f>summ!#REF!</f>
        <v>#REF!</v>
      </c>
      <c r="H44" s="627" t="str">
        <f>CONCATENATE("",E1-1," Fund Mill Rate")</f>
        <v>2012 Fund Mill Rate</v>
      </c>
      <c r="I44" s="656"/>
      <c r="J44" s="657"/>
    </row>
    <row r="45" spans="2:11">
      <c r="B45" s="364">
        <f>inputPrYr!B26</f>
        <v>0</v>
      </c>
      <c r="C45" s="351" t="str">
        <f t="shared" si="0"/>
        <v>Actual for 2011</v>
      </c>
      <c r="D45" s="351" t="str">
        <f t="shared" si="0"/>
        <v>Estimate for 2012</v>
      </c>
      <c r="E45" s="178" t="str">
        <f t="shared" si="0"/>
        <v>Year for 2013</v>
      </c>
      <c r="G45" s="671">
        <f>summ!H28</f>
        <v>42.775000000000006</v>
      </c>
      <c r="H45" s="627" t="str">
        <f>CONCATENATE("Total ",E1," Mill Rate")</f>
        <v>Total 2013 Mill Rate</v>
      </c>
      <c r="I45" s="656"/>
      <c r="J45" s="657"/>
    </row>
    <row r="46" spans="2:11">
      <c r="B46" s="223" t="s">
        <v>145</v>
      </c>
      <c r="C46" s="224"/>
      <c r="D46" s="350">
        <f>C74</f>
        <v>0</v>
      </c>
      <c r="E46" s="193">
        <f>D74</f>
        <v>0</v>
      </c>
      <c r="G46" s="669">
        <f>summ!E28</f>
        <v>41.686999999999998</v>
      </c>
      <c r="H46" s="652" t="str">
        <f>CONCATENATE("Total ",E1-1," Mill Rate")</f>
        <v>Total 2012 Mill Rate</v>
      </c>
      <c r="I46" s="653"/>
      <c r="J46" s="654"/>
    </row>
    <row r="47" spans="2:11">
      <c r="B47" s="226" t="s">
        <v>147</v>
      </c>
      <c r="C47" s="139"/>
      <c r="D47" s="139"/>
      <c r="E47" s="68"/>
    </row>
    <row r="48" spans="2:11">
      <c r="B48" s="131" t="s">
        <v>25</v>
      </c>
      <c r="C48" s="224"/>
      <c r="D48" s="350">
        <f>IF(inputPrYr!H16&gt;0,inputPrYr!G26,inputPrYr!E26)</f>
        <v>0</v>
      </c>
      <c r="E48" s="253" t="s">
        <v>13</v>
      </c>
    </row>
    <row r="49" spans="2:10">
      <c r="B49" s="131" t="s">
        <v>26</v>
      </c>
      <c r="C49" s="224"/>
      <c r="D49" s="224"/>
      <c r="E49" s="50"/>
    </row>
    <row r="50" spans="2:10">
      <c r="B50" s="131" t="s">
        <v>27</v>
      </c>
      <c r="C50" s="224"/>
      <c r="D50" s="224"/>
      <c r="E50" s="193" t="str">
        <f>mvalloc!D15</f>
        <v xml:space="preserve">  </v>
      </c>
    </row>
    <row r="51" spans="2:10">
      <c r="B51" s="131" t="s">
        <v>28</v>
      </c>
      <c r="C51" s="224"/>
      <c r="D51" s="224"/>
      <c r="E51" s="193" t="str">
        <f>mvalloc!E15</f>
        <v xml:space="preserve"> </v>
      </c>
    </row>
    <row r="52" spans="2:10">
      <c r="B52" s="139" t="s">
        <v>122</v>
      </c>
      <c r="C52" s="224"/>
      <c r="D52" s="224"/>
      <c r="E52" s="193" t="str">
        <f>mvalloc!F15</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30</v>
      </c>
      <c r="C57" s="224"/>
      <c r="D57" s="224"/>
      <c r="E57" s="50"/>
    </row>
    <row r="58" spans="2:10">
      <c r="B58" s="139" t="s">
        <v>270</v>
      </c>
      <c r="C58" s="224"/>
      <c r="D58" s="224"/>
      <c r="E58" s="50"/>
    </row>
    <row r="59" spans="2:10">
      <c r="B59" s="223" t="s">
        <v>791</v>
      </c>
      <c r="C59" s="352" t="str">
        <f>IF(C60*0.1&lt;C58,"Exceed 10% Rule","")</f>
        <v/>
      </c>
      <c r="D59" s="352" t="str">
        <f>IF(D60*0.1&lt;D58,"Exceed 10% Rule","")</f>
        <v/>
      </c>
      <c r="E59" s="365" t="str">
        <f>IF(E60*0.1+E80&lt;E58,"Exceed 10% Rule","")</f>
        <v/>
      </c>
    </row>
    <row r="60" spans="2:10">
      <c r="B60" s="233" t="s">
        <v>31</v>
      </c>
      <c r="C60" s="353">
        <f>SUM(C48:C58)</f>
        <v>0</v>
      </c>
      <c r="D60" s="353">
        <f>SUM(D48:D58)</f>
        <v>0</v>
      </c>
      <c r="E60" s="258">
        <f>SUM(E48:E58)</f>
        <v>0</v>
      </c>
    </row>
    <row r="61" spans="2:10">
      <c r="B61" s="233" t="s">
        <v>32</v>
      </c>
      <c r="C61" s="353">
        <f>C46+C60</f>
        <v>0</v>
      </c>
      <c r="D61" s="353">
        <f>D46+D60</f>
        <v>0</v>
      </c>
      <c r="E61" s="258">
        <f>E46+E60</f>
        <v>0</v>
      </c>
    </row>
    <row r="62" spans="2:10">
      <c r="B62" s="131" t="s">
        <v>34</v>
      </c>
      <c r="C62" s="240"/>
      <c r="D62" s="240"/>
      <c r="E62" s="48"/>
    </row>
    <row r="63" spans="2:10">
      <c r="B63" s="239"/>
      <c r="C63" s="224"/>
      <c r="D63" s="224"/>
      <c r="E63" s="50"/>
    </row>
    <row r="64" spans="2:10">
      <c r="B64" s="239"/>
      <c r="C64" s="224"/>
      <c r="D64" s="224"/>
      <c r="E64" s="50"/>
      <c r="G64" s="765" t="str">
        <f>CONCATENATE("Desired Carryover Into ",E1+1,"")</f>
        <v>Desired Carryover Into 2014</v>
      </c>
      <c r="H64" s="766"/>
      <c r="I64" s="766"/>
      <c r="J64" s="758"/>
    </row>
    <row r="65" spans="2:11">
      <c r="B65" s="239"/>
      <c r="C65" s="224"/>
      <c r="D65" s="224"/>
      <c r="E65" s="50"/>
      <c r="G65" s="635"/>
      <c r="H65" s="622"/>
      <c r="I65" s="629"/>
      <c r="J65" s="636"/>
    </row>
    <row r="66" spans="2:11">
      <c r="B66" s="239"/>
      <c r="C66" s="224"/>
      <c r="D66" s="224"/>
      <c r="E66" s="50"/>
      <c r="G66" s="634" t="s">
        <v>636</v>
      </c>
      <c r="H66" s="629"/>
      <c r="I66" s="629"/>
      <c r="J66" s="623">
        <v>0</v>
      </c>
    </row>
    <row r="67" spans="2:11">
      <c r="B67" s="239"/>
      <c r="C67" s="224"/>
      <c r="D67" s="224"/>
      <c r="E67" s="50"/>
      <c r="G67" s="635" t="s">
        <v>637</v>
      </c>
      <c r="H67" s="622"/>
      <c r="I67" s="622"/>
      <c r="J67" s="663" t="str">
        <f>IF(J66=0,"",ROUND((J66+E80-G79)/inputOth!E7*1000,3)-G84)</f>
        <v/>
      </c>
    </row>
    <row r="68" spans="2:11">
      <c r="B68" s="239"/>
      <c r="C68" s="224"/>
      <c r="D68" s="224"/>
      <c r="E68" s="50"/>
      <c r="G68" s="660" t="str">
        <f>CONCATENATE("",E1," Tot Exp/Non-Appr Must Be:")</f>
        <v>2013 Tot Exp/Non-Appr Must Be:</v>
      </c>
      <c r="H68" s="658"/>
      <c r="I68" s="659"/>
      <c r="J68" s="655">
        <f>IF(J66&gt;0,IF(E77&lt;E61,IF(J66=G79,E77,((J66-G79)*(1-D79))+E61),E77+(J66-G79)),0)</f>
        <v>0</v>
      </c>
    </row>
    <row r="69" spans="2:11">
      <c r="B69" s="239"/>
      <c r="C69" s="224"/>
      <c r="D69" s="224"/>
      <c r="E69" s="50"/>
      <c r="G69" s="538" t="s">
        <v>813</v>
      </c>
      <c r="H69" s="666"/>
      <c r="I69" s="666"/>
      <c r="J69" s="661">
        <f>IF(J66&gt;0,J68-E77,0)</f>
        <v>0</v>
      </c>
    </row>
    <row r="70" spans="2:11">
      <c r="B70" s="240" t="s">
        <v>271</v>
      </c>
      <c r="C70" s="224"/>
      <c r="D70" s="224"/>
      <c r="E70" s="57" t="str">
        <f>nhood!E14</f>
        <v/>
      </c>
      <c r="J70" s="612"/>
    </row>
    <row r="71" spans="2:11">
      <c r="B71" s="240" t="s">
        <v>270</v>
      </c>
      <c r="C71" s="224"/>
      <c r="D71" s="224"/>
      <c r="E71" s="50"/>
      <c r="G71" s="765" t="str">
        <f>CONCATENATE("Projected Carryover Into ",E1+1,"")</f>
        <v>Projected Carryover Into 2014</v>
      </c>
      <c r="H71" s="769"/>
      <c r="I71" s="769"/>
      <c r="J71" s="768"/>
    </row>
    <row r="72" spans="2:11">
      <c r="B72" s="240" t="s">
        <v>792</v>
      </c>
      <c r="C72" s="352" t="str">
        <f>IF(C73*0.1&lt;C71,"Exceed 10% Rule","")</f>
        <v/>
      </c>
      <c r="D72" s="352" t="str">
        <f>IF(D73*0.1&lt;D71,"Exceed 10% Rule","")</f>
        <v/>
      </c>
      <c r="E72" s="365" t="str">
        <f>IF(E73*0.1&lt;E71,"Exceed 10% Rule","")</f>
        <v/>
      </c>
      <c r="G72" s="624"/>
      <c r="H72" s="622"/>
      <c r="I72" s="622"/>
      <c r="J72" s="675"/>
    </row>
    <row r="73" spans="2:11">
      <c r="B73" s="233" t="s">
        <v>38</v>
      </c>
      <c r="C73" s="353">
        <f>SUM(C63:C71)</f>
        <v>0</v>
      </c>
      <c r="D73" s="353">
        <f>SUM(D63:D71)</f>
        <v>0</v>
      </c>
      <c r="E73" s="258">
        <f>SUM(E63:E71)</f>
        <v>0</v>
      </c>
      <c r="G73" s="626">
        <f>D74</f>
        <v>0</v>
      </c>
      <c r="H73" s="627" t="str">
        <f>CONCATENATE("",E1-1," Ending Cash Balance (est.)")</f>
        <v>2012 Ending Cash Balance (est.)</v>
      </c>
      <c r="I73" s="628"/>
      <c r="J73" s="675"/>
    </row>
    <row r="74" spans="2:11">
      <c r="B74" s="131" t="s">
        <v>146</v>
      </c>
      <c r="C74" s="350">
        <f>C61-C73</f>
        <v>0</v>
      </c>
      <c r="D74" s="350">
        <f>D61-D73</f>
        <v>0</v>
      </c>
      <c r="E74" s="253" t="s">
        <v>13</v>
      </c>
      <c r="G74" s="626">
        <f>E60</f>
        <v>0</v>
      </c>
      <c r="H74" s="629" t="str">
        <f>CONCATENATE("",E1," Non-AV Receipts (est.)")</f>
        <v>2013 Non-AV Receipts (est.)</v>
      </c>
      <c r="I74" s="628"/>
      <c r="J74" s="675"/>
    </row>
    <row r="75" spans="2:11">
      <c r="B75" s="119" t="str">
        <f>CONCATENATE("",$E$1-2,"/",$E$1-1," Budget Authority Amount:")</f>
        <v>2011/2012 Budget Authority Amount:</v>
      </c>
      <c r="C75" s="183">
        <f>inputOth!B69</f>
        <v>0</v>
      </c>
      <c r="D75" s="242">
        <f>inputPrYr!D26</f>
        <v>0</v>
      </c>
      <c r="E75" s="253" t="s">
        <v>13</v>
      </c>
      <c r="F75" s="243"/>
      <c r="G75" s="630">
        <f>IF(D79&gt;0,E78,E80)</f>
        <v>0</v>
      </c>
      <c r="H75" s="629" t="str">
        <f>CONCATENATE("",E1," Ad Valorem Tax (est.)")</f>
        <v>2013 Ad Valorem Tax (est.)</v>
      </c>
      <c r="I75" s="628"/>
      <c r="J75" s="675"/>
      <c r="K75" s="540" t="str">
        <f>IF(G75=E80,"","Note: Does not include Delinquent Taxes")</f>
        <v/>
      </c>
    </row>
    <row r="76" spans="2:11">
      <c r="B76" s="119"/>
      <c r="C76" s="746" t="s">
        <v>629</v>
      </c>
      <c r="D76" s="747"/>
      <c r="E76" s="50"/>
      <c r="F76" s="686" t="str">
        <f>IF(E73/0.95-E73&lt;E76,"Exceeds 5%","")</f>
        <v/>
      </c>
      <c r="G76" s="637">
        <f>SUM(G73:G75)</f>
        <v>0</v>
      </c>
      <c r="H76" s="629" t="str">
        <f>CONCATENATE("Total ",E1," Resources Available")</f>
        <v>Total 2013 Resources Available</v>
      </c>
      <c r="I76" s="625"/>
      <c r="J76" s="675"/>
    </row>
    <row r="77" spans="2:11">
      <c r="B77" s="366" t="str">
        <f>CONCATENATE(C95,"     ",D95)</f>
        <v xml:space="preserve">     </v>
      </c>
      <c r="C77" s="748" t="s">
        <v>630</v>
      </c>
      <c r="D77" s="749"/>
      <c r="E77" s="193">
        <f>E73+E76</f>
        <v>0</v>
      </c>
      <c r="G77" s="640"/>
      <c r="H77" s="638"/>
      <c r="I77" s="622"/>
      <c r="J77" s="675"/>
    </row>
    <row r="78" spans="2:11">
      <c r="B78" s="366" t="str">
        <f>CONCATENATE(C96,"     ",D96)</f>
        <v xml:space="preserve">     </v>
      </c>
      <c r="C78" s="244"/>
      <c r="D78" s="147" t="s">
        <v>39</v>
      </c>
      <c r="E78" s="193">
        <f>IF(E77-E61&gt;0,E77-E61,0)</f>
        <v>0</v>
      </c>
      <c r="G78" s="639">
        <f>ROUND(C73*0.05+C73,0)</f>
        <v>0</v>
      </c>
      <c r="H78" s="638" t="str">
        <f>CONCATENATE("Less ",E1-2," Expenditures + 5%")</f>
        <v>Less 2011 Expenditures + 5%</v>
      </c>
      <c r="I78" s="625"/>
      <c r="J78" s="675"/>
    </row>
    <row r="79" spans="2:11">
      <c r="B79" s="147"/>
      <c r="C79" s="357" t="s">
        <v>631</v>
      </c>
      <c r="D79" s="539">
        <f>inputOth!$E$47</f>
        <v>0.02</v>
      </c>
      <c r="E79" s="193">
        <f>ROUND(IF(D79&gt;0,(E78*D79),0),0)</f>
        <v>0</v>
      </c>
      <c r="G79" s="641">
        <f>G76-G78</f>
        <v>0</v>
      </c>
      <c r="H79" s="642" t="str">
        <f>CONCATENATE("Projected ",E1+1," carryover (est.)")</f>
        <v>Projected 2014 carryover (est.)</v>
      </c>
      <c r="I79" s="633"/>
      <c r="J79" s="673"/>
    </row>
    <row r="80" spans="2:11" ht="16.5" thickBot="1">
      <c r="B80" s="22"/>
      <c r="C80" s="750" t="str">
        <f>CONCATENATE("Amount of  ",$E$1-1," Ad Valorem Tax")</f>
        <v>Amount of  2012 Ad Valorem Tax</v>
      </c>
      <c r="D80" s="751"/>
      <c r="E80" s="259">
        <f>E78+E79</f>
        <v>0</v>
      </c>
      <c r="G80" s="612"/>
      <c r="H80" s="612"/>
      <c r="I80" s="612"/>
    </row>
    <row r="81" spans="2:10" ht="16.5" thickTop="1">
      <c r="B81" s="22"/>
      <c r="C81" s="761"/>
      <c r="D81" s="761"/>
      <c r="E81" s="22"/>
      <c r="G81" s="753" t="s">
        <v>869</v>
      </c>
      <c r="H81" s="763"/>
      <c r="I81" s="763"/>
      <c r="J81" s="764"/>
    </row>
    <row r="82" spans="2:10">
      <c r="B82" s="22"/>
      <c r="C82" s="22"/>
      <c r="D82" s="22"/>
      <c r="E82" s="22"/>
      <c r="G82" s="668"/>
      <c r="H82" s="627"/>
      <c r="I82" s="656"/>
      <c r="J82" s="657"/>
    </row>
    <row r="83" spans="2:10">
      <c r="B83" s="119" t="s">
        <v>41</v>
      </c>
      <c r="C83" s="249"/>
      <c r="D83" s="22"/>
      <c r="E83" s="22"/>
      <c r="G83" s="670" t="e">
        <f>summ!#REF!</f>
        <v>#REF!</v>
      </c>
      <c r="H83" s="627" t="str">
        <f>CONCATENATE("",E1," Fund Mill Rate")</f>
        <v>2013 Fund Mill Rate</v>
      </c>
      <c r="I83" s="656"/>
      <c r="J83" s="657"/>
    </row>
    <row r="84" spans="2:10">
      <c r="G84" s="669" t="e">
        <f>summ!#REF!</f>
        <v>#REF!</v>
      </c>
      <c r="H84" s="627" t="str">
        <f>CONCATENATE("",E1-1," Fund Mill Rate")</f>
        <v>2012 Fund Mill Rate</v>
      </c>
      <c r="I84" s="656"/>
      <c r="J84" s="657"/>
    </row>
    <row r="85" spans="2:10">
      <c r="G85" s="671">
        <f>summ!H28</f>
        <v>42.775000000000006</v>
      </c>
      <c r="H85" s="627" t="str">
        <f>CONCATENATE("Total ",E1," Mill Rate")</f>
        <v>Total 2013 Mill Rate</v>
      </c>
      <c r="I85" s="656"/>
      <c r="J85" s="657"/>
    </row>
    <row r="86" spans="2:10">
      <c r="G86" s="669">
        <f>summ!E28</f>
        <v>41.686999999999998</v>
      </c>
      <c r="H86" s="652" t="str">
        <f>CONCATENATE("Total ",E1-1," Mill Rate")</f>
        <v>Total 2012 Mill Rate</v>
      </c>
      <c r="I86" s="653"/>
      <c r="J86" s="654"/>
    </row>
    <row r="93" spans="2:10" hidden="1">
      <c r="C93" s="367" t="str">
        <f>IF(C33&gt;C35,"See Tab A","")</f>
        <v/>
      </c>
      <c r="D93" s="367" t="str">
        <f>IF(D33&gt;D35,"See Tab C","")</f>
        <v/>
      </c>
    </row>
    <row r="94" spans="2:10" hidden="1">
      <c r="C94" s="367" t="str">
        <f>IF(C34&lt;0,"See Tab B","")</f>
        <v/>
      </c>
      <c r="D94" s="367" t="str">
        <f>IF(D34&lt;0,"See Tab D","")</f>
        <v/>
      </c>
    </row>
    <row r="95" spans="2:10" hidden="1">
      <c r="C95" s="367" t="str">
        <f>IF(C73&gt;C75,"See Tab A","")</f>
        <v/>
      </c>
      <c r="D95" s="367" t="str">
        <f>IF(D73&gt;D75,"See Tab C","")</f>
        <v/>
      </c>
    </row>
    <row r="96" spans="2:10" hidden="1">
      <c r="C96" s="367" t="str">
        <f>IF(C74&lt;0,"See Tab B","")</f>
        <v/>
      </c>
      <c r="D96" s="367" t="str">
        <f>IF(D74&lt;0,"See Tab D","")</f>
        <v/>
      </c>
    </row>
  </sheetData>
  <mergeCells count="14">
    <mergeCell ref="G24:J24"/>
    <mergeCell ref="G31:J31"/>
    <mergeCell ref="G41:J41"/>
    <mergeCell ref="G64:J64"/>
    <mergeCell ref="G71:J71"/>
    <mergeCell ref="C36:D36"/>
    <mergeCell ref="C37:D37"/>
    <mergeCell ref="C40:D40"/>
    <mergeCell ref="C80:D80"/>
    <mergeCell ref="G81:J81"/>
    <mergeCell ref="C81:D81"/>
    <mergeCell ref="C41:D41"/>
    <mergeCell ref="C76:D76"/>
    <mergeCell ref="C77:D77"/>
  </mergeCells>
  <phoneticPr fontId="0" type="noConversion"/>
  <conditionalFormatting sqref="E31">
    <cfRule type="cellIs" dxfId="159" priority="3" stopIfTrue="1" operator="greaterThan">
      <formula>$E$33*0.1</formula>
    </cfRule>
  </conditionalFormatting>
  <conditionalFormatting sqref="E36">
    <cfRule type="cellIs" dxfId="158" priority="4" stopIfTrue="1" operator="greaterThan">
      <formula>$E$33/0.95-$E$33</formula>
    </cfRule>
  </conditionalFormatting>
  <conditionalFormatting sqref="E71">
    <cfRule type="cellIs" dxfId="157" priority="5" stopIfTrue="1" operator="greaterThan">
      <formula>$E$73*0.1</formula>
    </cfRule>
  </conditionalFormatting>
  <conditionalFormatting sqref="E76">
    <cfRule type="cellIs" dxfId="156" priority="6" stopIfTrue="1" operator="greaterThan">
      <formula>$E$73/0.95-$E$73</formula>
    </cfRule>
  </conditionalFormatting>
  <conditionalFormatting sqref="D33">
    <cfRule type="cellIs" dxfId="155" priority="7" stopIfTrue="1" operator="greaterThan">
      <formula>$D$35</formula>
    </cfRule>
  </conditionalFormatting>
  <conditionalFormatting sqref="C33">
    <cfRule type="cellIs" dxfId="154" priority="8" stopIfTrue="1" operator="greaterThan">
      <formula>$C$35</formula>
    </cfRule>
  </conditionalFormatting>
  <conditionalFormatting sqref="C34 C74">
    <cfRule type="cellIs" dxfId="153" priority="9" stopIfTrue="1" operator="lessThan">
      <formula>0</formula>
    </cfRule>
  </conditionalFormatting>
  <conditionalFormatting sqref="D73">
    <cfRule type="cellIs" dxfId="152" priority="10" stopIfTrue="1" operator="greaterThan">
      <formula>$D$75</formula>
    </cfRule>
  </conditionalFormatting>
  <conditionalFormatting sqref="C73">
    <cfRule type="cellIs" dxfId="151" priority="11" stopIfTrue="1" operator="greaterThan">
      <formula>$C$75</formula>
    </cfRule>
  </conditionalFormatting>
  <conditionalFormatting sqref="C31">
    <cfRule type="cellIs" dxfId="150" priority="12" stopIfTrue="1" operator="greaterThan">
      <formula>$C$33*0.1</formula>
    </cfRule>
  </conditionalFormatting>
  <conditionalFormatting sqref="D31">
    <cfRule type="cellIs" dxfId="149" priority="13" stopIfTrue="1" operator="greaterThan">
      <formula>$D$33*0.1</formula>
    </cfRule>
  </conditionalFormatting>
  <conditionalFormatting sqref="C71">
    <cfRule type="cellIs" dxfId="148" priority="14" stopIfTrue="1" operator="greaterThan">
      <formula>$C$73*0.1</formula>
    </cfRule>
  </conditionalFormatting>
  <conditionalFormatting sqref="D71">
    <cfRule type="cellIs" dxfId="147" priority="15" stopIfTrue="1" operator="greaterThan">
      <formula>$D$73*0.1</formula>
    </cfRule>
  </conditionalFormatting>
  <conditionalFormatting sqref="D58">
    <cfRule type="cellIs" dxfId="146" priority="16" stopIfTrue="1" operator="greaterThan">
      <formula>$D$60*0.1</formula>
    </cfRule>
  </conditionalFormatting>
  <conditionalFormatting sqref="C58">
    <cfRule type="cellIs" dxfId="145" priority="17" stopIfTrue="1" operator="greaterThan">
      <formula>$C$60*0.1</formula>
    </cfRule>
  </conditionalFormatting>
  <conditionalFormatting sqref="D18">
    <cfRule type="cellIs" dxfId="144" priority="18" stopIfTrue="1" operator="greaterThan">
      <formula>$D$20*0.1</formula>
    </cfRule>
  </conditionalFormatting>
  <conditionalFormatting sqref="C18">
    <cfRule type="cellIs" dxfId="143" priority="19" stopIfTrue="1" operator="greaterThan">
      <formula>$C$20*0.1</formula>
    </cfRule>
  </conditionalFormatting>
  <conditionalFormatting sqref="E58">
    <cfRule type="cellIs" dxfId="142" priority="20" stopIfTrue="1" operator="greaterThan">
      <formula>$E$60*0.1+E80</formula>
    </cfRule>
  </conditionalFormatting>
  <conditionalFormatting sqref="E18">
    <cfRule type="cellIs" dxfId="141" priority="21" stopIfTrue="1" operator="greaterThan">
      <formula>$E$20*0.1+E40</formula>
    </cfRule>
  </conditionalFormatting>
  <conditionalFormatting sqref="D74 D34">
    <cfRule type="cellIs" dxfId="140"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K96"/>
  <sheetViews>
    <sheetView topLeftCell="A32"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55468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t="s">
        <v>90</v>
      </c>
      <c r="C3" s="169"/>
      <c r="D3" s="169"/>
      <c r="E3" s="256"/>
    </row>
    <row r="4" spans="2:5">
      <c r="B4" s="29" t="s">
        <v>24</v>
      </c>
      <c r="C4" s="604" t="s">
        <v>808</v>
      </c>
      <c r="D4" s="605" t="s">
        <v>811</v>
      </c>
      <c r="E4" s="125" t="s">
        <v>812</v>
      </c>
    </row>
    <row r="5" spans="2:5">
      <c r="B5" s="363">
        <f>inputPrYr!B27</f>
        <v>0</v>
      </c>
      <c r="C5" s="351" t="str">
        <f>CONCATENATE("Actual for ",E1-2,"")</f>
        <v>Actual for 2011</v>
      </c>
      <c r="D5" s="351" t="str">
        <f>CONCATENATE("Estimate for ",E1-1,"")</f>
        <v>Estimate for 2012</v>
      </c>
      <c r="E5" s="222" t="str">
        <f>CONCATENATE("Year for ",E1,"")</f>
        <v>Year for 2013</v>
      </c>
    </row>
    <row r="6" spans="2:5">
      <c r="B6" s="223" t="s">
        <v>145</v>
      </c>
      <c r="C6" s="224"/>
      <c r="D6" s="350">
        <f>C34</f>
        <v>0</v>
      </c>
      <c r="E6" s="193">
        <f>D34</f>
        <v>0</v>
      </c>
    </row>
    <row r="7" spans="2:5">
      <c r="B7" s="223" t="s">
        <v>147</v>
      </c>
      <c r="C7" s="139"/>
      <c r="D7" s="139"/>
      <c r="E7" s="68"/>
    </row>
    <row r="8" spans="2:5">
      <c r="B8" s="131" t="s">
        <v>25</v>
      </c>
      <c r="C8" s="224"/>
      <c r="D8" s="350">
        <f>IF(inputPrYr!H16&gt;0,inputPrYr!G27,inputPrYr!E27)</f>
        <v>0</v>
      </c>
      <c r="E8" s="253" t="s">
        <v>13</v>
      </c>
    </row>
    <row r="9" spans="2:5">
      <c r="B9" s="131" t="s">
        <v>26</v>
      </c>
      <c r="C9" s="224"/>
      <c r="D9" s="224"/>
      <c r="E9" s="50"/>
    </row>
    <row r="10" spans="2:5">
      <c r="B10" s="131" t="s">
        <v>27</v>
      </c>
      <c r="C10" s="224"/>
      <c r="D10" s="224"/>
      <c r="E10" s="193" t="str">
        <f>mvalloc!D16</f>
        <v xml:space="preserve">  </v>
      </c>
    </row>
    <row r="11" spans="2:5">
      <c r="B11" s="131" t="s">
        <v>28</v>
      </c>
      <c r="C11" s="224"/>
      <c r="D11" s="224"/>
      <c r="E11" s="193" t="str">
        <f>mvalloc!E16</f>
        <v xml:space="preserve"> </v>
      </c>
    </row>
    <row r="12" spans="2:5">
      <c r="B12" s="139" t="s">
        <v>122</v>
      </c>
      <c r="C12" s="224"/>
      <c r="D12" s="224"/>
      <c r="E12" s="193" t="str">
        <f>mvalloc!F16</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30</v>
      </c>
      <c r="C17" s="224"/>
      <c r="D17" s="224"/>
      <c r="E17" s="50"/>
    </row>
    <row r="18" spans="2:10">
      <c r="B18" s="139" t="s">
        <v>270</v>
      </c>
      <c r="C18" s="224"/>
      <c r="D18" s="224"/>
      <c r="E18" s="50"/>
    </row>
    <row r="19" spans="2:10">
      <c r="B19" s="223" t="s">
        <v>791</v>
      </c>
      <c r="C19" s="352" t="str">
        <f>IF(C20*0.1&lt;C18,"Exceed 10% Rule","")</f>
        <v/>
      </c>
      <c r="D19" s="352" t="str">
        <f>IF(D20*0.1&lt;D18,"Exceed 10% Rule","")</f>
        <v/>
      </c>
      <c r="E19" s="365" t="str">
        <f>IF(E20*0.1+E40&lt;E18,"Exceed 10% Rule","")</f>
        <v/>
      </c>
    </row>
    <row r="20" spans="2:10">
      <c r="B20" s="233" t="s">
        <v>31</v>
      </c>
      <c r="C20" s="353">
        <f>SUM(C8:C18)</f>
        <v>0</v>
      </c>
      <c r="D20" s="353">
        <f>SUM(D8:D18)</f>
        <v>0</v>
      </c>
      <c r="E20" s="258">
        <f>SUM(E8:E18)</f>
        <v>0</v>
      </c>
    </row>
    <row r="21" spans="2:10">
      <c r="B21" s="233" t="s">
        <v>32</v>
      </c>
      <c r="C21" s="353">
        <f>C6+C20</f>
        <v>0</v>
      </c>
      <c r="D21" s="353">
        <f>D6+D20</f>
        <v>0</v>
      </c>
      <c r="E21" s="258">
        <f>E6+E20</f>
        <v>0</v>
      </c>
    </row>
    <row r="22" spans="2:10">
      <c r="B22" s="131" t="s">
        <v>34</v>
      </c>
      <c r="C22" s="240"/>
      <c r="D22" s="240"/>
      <c r="E22" s="48"/>
    </row>
    <row r="23" spans="2:10">
      <c r="B23" s="239"/>
      <c r="C23" s="224"/>
      <c r="D23" s="224"/>
      <c r="E23" s="50"/>
    </row>
    <row r="24" spans="2:10">
      <c r="B24" s="239"/>
      <c r="C24" s="224"/>
      <c r="D24" s="224"/>
      <c r="E24" s="50"/>
      <c r="G24" s="765" t="str">
        <f>CONCATENATE("Desired Carryover Into ",E1+1,"")</f>
        <v>Desired Carryover Into 2014</v>
      </c>
      <c r="H24" s="766"/>
      <c r="I24" s="766"/>
      <c r="J24" s="758"/>
    </row>
    <row r="25" spans="2:10">
      <c r="B25" s="239"/>
      <c r="C25" s="224"/>
      <c r="D25" s="224"/>
      <c r="E25" s="50"/>
      <c r="G25" s="635"/>
      <c r="H25" s="622"/>
      <c r="I25" s="629"/>
      <c r="J25" s="636"/>
    </row>
    <row r="26" spans="2:10">
      <c r="B26" s="239"/>
      <c r="C26" s="224"/>
      <c r="D26" s="224"/>
      <c r="E26" s="50"/>
      <c r="G26" s="634" t="s">
        <v>636</v>
      </c>
      <c r="H26" s="629"/>
      <c r="I26" s="629"/>
      <c r="J26" s="623">
        <v>0</v>
      </c>
    </row>
    <row r="27" spans="2:10">
      <c r="B27" s="239"/>
      <c r="C27" s="224"/>
      <c r="D27" s="224"/>
      <c r="E27" s="50"/>
      <c r="G27" s="635" t="s">
        <v>637</v>
      </c>
      <c r="H27" s="622"/>
      <c r="I27" s="622"/>
      <c r="J27" s="663" t="str">
        <f>IF(J26=0,"",ROUND((J26+E40-G39)/inputOth!E7*1000,3)-G44)</f>
        <v/>
      </c>
    </row>
    <row r="28" spans="2:10">
      <c r="B28" s="239"/>
      <c r="C28" s="224"/>
      <c r="D28" s="224"/>
      <c r="E28" s="50"/>
      <c r="G28" s="660" t="str">
        <f>CONCATENATE("",E1," Tot Exp/Non-Appr Must Be:")</f>
        <v>2013 Tot Exp/Non-Appr Must Be:</v>
      </c>
      <c r="H28" s="658"/>
      <c r="I28" s="659"/>
      <c r="J28" s="655">
        <f>IF(J26&gt;0,IF(E37&lt;E21,IF(J26=G39,E37,((J26-G39)*(1-D39))+E21),E37+(J26-G39)),0)</f>
        <v>0</v>
      </c>
    </row>
    <row r="29" spans="2:10">
      <c r="B29" s="239"/>
      <c r="C29" s="224"/>
      <c r="D29" s="224"/>
      <c r="E29" s="50"/>
      <c r="G29" s="538" t="s">
        <v>813</v>
      </c>
      <c r="H29" s="666"/>
      <c r="I29" s="666"/>
      <c r="J29" s="661">
        <f>IF(J26&gt;0,J28-E37,0)</f>
        <v>0</v>
      </c>
    </row>
    <row r="30" spans="2:10">
      <c r="B30" s="240" t="s">
        <v>271</v>
      </c>
      <c r="C30" s="224"/>
      <c r="D30" s="224"/>
      <c r="E30" s="57" t="str">
        <f>nhood!E15</f>
        <v/>
      </c>
      <c r="J30" s="612"/>
    </row>
    <row r="31" spans="2:10">
      <c r="B31" s="240" t="s">
        <v>270</v>
      </c>
      <c r="C31" s="224"/>
      <c r="D31" s="224"/>
      <c r="E31" s="50"/>
      <c r="G31" s="765" t="str">
        <f>CONCATENATE("Projected Carryover Into ",E1+1,"")</f>
        <v>Projected Carryover Into 2014</v>
      </c>
      <c r="H31" s="767"/>
      <c r="I31" s="767"/>
      <c r="J31" s="768"/>
    </row>
    <row r="32" spans="2:10">
      <c r="B32" s="240" t="s">
        <v>792</v>
      </c>
      <c r="C32" s="352" t="str">
        <f>IF(C33*0.1&lt;C31,"Exceed 10% Rule","")</f>
        <v/>
      </c>
      <c r="D32" s="352" t="str">
        <f>IF(D33*0.1&lt;D31,"Exceed 10% Rule","")</f>
        <v/>
      </c>
      <c r="E32" s="365" t="str">
        <f>IF(E33*0.1&lt;E31,"Exceed 10% Rule","")</f>
        <v/>
      </c>
      <c r="G32" s="635"/>
      <c r="H32" s="629"/>
      <c r="I32" s="629"/>
      <c r="J32" s="675"/>
    </row>
    <row r="33" spans="2:11">
      <c r="B33" s="233" t="s">
        <v>38</v>
      </c>
      <c r="C33" s="353">
        <f>SUM(C23:C31)</f>
        <v>0</v>
      </c>
      <c r="D33" s="353">
        <f>SUM(D23:D31)</f>
        <v>0</v>
      </c>
      <c r="E33" s="258">
        <f>SUM(E23:E31)</f>
        <v>0</v>
      </c>
      <c r="G33" s="626">
        <f>D34</f>
        <v>0</v>
      </c>
      <c r="H33" s="627" t="str">
        <f>CONCATENATE("",E1-1," Ending Cash Balance (est.)")</f>
        <v>2012 Ending Cash Balance (est.)</v>
      </c>
      <c r="I33" s="628"/>
      <c r="J33" s="675"/>
    </row>
    <row r="34" spans="2:11">
      <c r="B34" s="131" t="s">
        <v>146</v>
      </c>
      <c r="C34" s="350">
        <f>C21-C33</f>
        <v>0</v>
      </c>
      <c r="D34" s="350">
        <f>D21-D33</f>
        <v>0</v>
      </c>
      <c r="E34" s="253" t="s">
        <v>13</v>
      </c>
      <c r="G34" s="626">
        <f>E20</f>
        <v>0</v>
      </c>
      <c r="H34" s="629" t="str">
        <f>CONCATENATE("",E1," Non-AV Receipts (est.)")</f>
        <v>2013 Non-AV Receipts (est.)</v>
      </c>
      <c r="I34" s="628"/>
      <c r="J34" s="675"/>
    </row>
    <row r="35" spans="2:11">
      <c r="B35" s="119" t="str">
        <f>CONCATENATE("",$E$1-2,"/",$E$1-1," Budget Authority Amount:")</f>
        <v>2011/2012 Budget Authority Amount:</v>
      </c>
      <c r="C35" s="183">
        <f>inputOth!B70</f>
        <v>0</v>
      </c>
      <c r="D35" s="242">
        <f>inputPrYr!D27</f>
        <v>0</v>
      </c>
      <c r="E35" s="253" t="s">
        <v>13</v>
      </c>
      <c r="F35" s="243"/>
      <c r="G35" s="630">
        <f>IF(D39&gt;0,E38,E40)</f>
        <v>0</v>
      </c>
      <c r="H35" s="629" t="str">
        <f>CONCATENATE("",E1," Ad Valorem Tax (est.)")</f>
        <v>2013 Ad Valorem Tax (est.)</v>
      </c>
      <c r="I35" s="628"/>
      <c r="J35" s="675"/>
      <c r="K35" s="540" t="str">
        <f>IF(G35=E40,"","Note: Does not include Delinquent Taxes")</f>
        <v/>
      </c>
    </row>
    <row r="36" spans="2:11">
      <c r="B36" s="119"/>
      <c r="C36" s="746" t="s">
        <v>629</v>
      </c>
      <c r="D36" s="747"/>
      <c r="E36" s="50"/>
      <c r="F36" s="686" t="str">
        <f>IF(E33/0.95-E33&lt;E36,"Exceeds 5%","")</f>
        <v/>
      </c>
      <c r="G36" s="626">
        <f>SUM(G33:G35)</f>
        <v>0</v>
      </c>
      <c r="H36" s="629" t="str">
        <f>CONCATENATE("Total ",E1," Resources Available")</f>
        <v>Total 2013 Resources Available</v>
      </c>
      <c r="I36" s="628"/>
      <c r="J36" s="675"/>
    </row>
    <row r="37" spans="2:11">
      <c r="B37" s="366" t="str">
        <f>CONCATENATE(C93,"     ",D93)</f>
        <v xml:space="preserve">     </v>
      </c>
      <c r="C37" s="748" t="s">
        <v>630</v>
      </c>
      <c r="D37" s="749"/>
      <c r="E37" s="193">
        <f>E33+E36</f>
        <v>0</v>
      </c>
      <c r="G37" s="631"/>
      <c r="H37" s="629"/>
      <c r="I37" s="629"/>
      <c r="J37" s="675"/>
    </row>
    <row r="38" spans="2:11">
      <c r="B38" s="366" t="str">
        <f>CONCATENATE(C94,"     ",D94)</f>
        <v xml:space="preserve">     </v>
      </c>
      <c r="C38" s="244"/>
      <c r="D38" s="147" t="s">
        <v>39</v>
      </c>
      <c r="E38" s="193">
        <f>IF(E37-E21&gt;0,E37-E21,0)</f>
        <v>0</v>
      </c>
      <c r="G38" s="630">
        <f>ROUND(C33*0.05+C33,0)</f>
        <v>0</v>
      </c>
      <c r="H38" s="629" t="str">
        <f>CONCATENATE("Less ",E1-2," Expenditures + 5%")</f>
        <v>Less 2011 Expenditures + 5%</v>
      </c>
      <c r="I38" s="628"/>
      <c r="J38" s="675"/>
    </row>
    <row r="39" spans="2:11">
      <c r="B39" s="147"/>
      <c r="C39" s="357" t="s">
        <v>631</v>
      </c>
      <c r="D39" s="539">
        <f>inputOth!$E$47</f>
        <v>0.02</v>
      </c>
      <c r="E39" s="193">
        <f>ROUND(IF(D39&gt;0,(E38*D39),0),0)</f>
        <v>0</v>
      </c>
      <c r="G39" s="664">
        <f>G36-G38</f>
        <v>0</v>
      </c>
      <c r="H39" s="665" t="str">
        <f>CONCATENATE("Projected ",E1+1," carryover (est.)")</f>
        <v>Projected 2014 carryover (est.)</v>
      </c>
      <c r="I39" s="632"/>
      <c r="J39" s="673"/>
    </row>
    <row r="40" spans="2:11" ht="16.5" thickBot="1">
      <c r="B40" s="22"/>
      <c r="C40" s="750" t="str">
        <f>CONCATENATE("Amount of  ",$E$1-1," Ad Valorem Tax")</f>
        <v>Amount of  2012 Ad Valorem Tax</v>
      </c>
      <c r="D40" s="751"/>
      <c r="E40" s="259">
        <f>E38+E39</f>
        <v>0</v>
      </c>
      <c r="G40" s="612"/>
      <c r="H40" s="612"/>
      <c r="I40" s="612"/>
      <c r="J40" s="612"/>
    </row>
    <row r="41" spans="2:11" ht="16.5" thickTop="1">
      <c r="B41" s="22"/>
      <c r="C41" s="761"/>
      <c r="D41" s="761"/>
      <c r="E41" s="22"/>
      <c r="G41" s="753" t="s">
        <v>869</v>
      </c>
      <c r="H41" s="763"/>
      <c r="I41" s="763"/>
      <c r="J41" s="764"/>
    </row>
    <row r="42" spans="2:11">
      <c r="B42" s="22"/>
      <c r="C42" s="22"/>
      <c r="D42" s="22"/>
      <c r="E42" s="22"/>
      <c r="G42" s="668"/>
      <c r="H42" s="627"/>
      <c r="I42" s="656"/>
      <c r="J42" s="657"/>
    </row>
    <row r="43" spans="2:11">
      <c r="B43" s="29"/>
      <c r="C43" s="123"/>
      <c r="D43" s="123"/>
      <c r="E43" s="123"/>
      <c r="G43" s="670" t="e">
        <f>summ!#REF!</f>
        <v>#REF!</v>
      </c>
      <c r="H43" s="627" t="str">
        <f>CONCATENATE("",E1," Fund Mill Rate")</f>
        <v>2013 Fund Mill Rate</v>
      </c>
      <c r="I43" s="656"/>
      <c r="J43" s="657"/>
    </row>
    <row r="44" spans="2:11">
      <c r="B44" s="29" t="s">
        <v>24</v>
      </c>
      <c r="C44" s="604" t="str">
        <f t="shared" ref="C44:E45" si="0">C4</f>
        <v xml:space="preserve">Prior Year </v>
      </c>
      <c r="D44" s="605" t="str">
        <f t="shared" si="0"/>
        <v xml:space="preserve">Current Year </v>
      </c>
      <c r="E44" s="125" t="str">
        <f t="shared" si="0"/>
        <v xml:space="preserve">Proposed Budget </v>
      </c>
      <c r="G44" s="669" t="e">
        <f>summ!#REF!</f>
        <v>#REF!</v>
      </c>
      <c r="H44" s="627" t="str">
        <f>CONCATENATE("",E1-1," Fund Mill Rate")</f>
        <v>2012 Fund Mill Rate</v>
      </c>
      <c r="I44" s="656"/>
      <c r="J44" s="657"/>
    </row>
    <row r="45" spans="2:11">
      <c r="B45" s="364">
        <f>inputPrYr!B28</f>
        <v>0</v>
      </c>
      <c r="C45" s="351" t="str">
        <f t="shared" si="0"/>
        <v>Actual for 2011</v>
      </c>
      <c r="D45" s="351" t="str">
        <f t="shared" si="0"/>
        <v>Estimate for 2012</v>
      </c>
      <c r="E45" s="178" t="str">
        <f t="shared" si="0"/>
        <v>Year for 2013</v>
      </c>
      <c r="G45" s="671">
        <f>summ!H28</f>
        <v>42.775000000000006</v>
      </c>
      <c r="H45" s="627" t="str">
        <f>CONCATENATE("Total ",E1," Mill Rate")</f>
        <v>Total 2013 Mill Rate</v>
      </c>
      <c r="I45" s="656"/>
      <c r="J45" s="657"/>
    </row>
    <row r="46" spans="2:11">
      <c r="B46" s="223" t="s">
        <v>145</v>
      </c>
      <c r="C46" s="224"/>
      <c r="D46" s="350">
        <f>C74</f>
        <v>0</v>
      </c>
      <c r="E46" s="193">
        <f>D74</f>
        <v>0</v>
      </c>
      <c r="G46" s="669">
        <f>summ!E28</f>
        <v>41.686999999999998</v>
      </c>
      <c r="H46" s="652" t="str">
        <f>CONCATENATE("Total ",E1-1," Mill Rate")</f>
        <v>Total 2012 Mill Rate</v>
      </c>
      <c r="I46" s="653"/>
      <c r="J46" s="654"/>
    </row>
    <row r="47" spans="2:11">
      <c r="B47" s="226" t="s">
        <v>147</v>
      </c>
      <c r="C47" s="139"/>
      <c r="D47" s="139"/>
      <c r="E47" s="68"/>
    </row>
    <row r="48" spans="2:11">
      <c r="B48" s="131" t="s">
        <v>25</v>
      </c>
      <c r="C48" s="224"/>
      <c r="D48" s="350">
        <f>IF(inputPrYr!H16&gt;0,inputPrYr!G28,inputPrYr!E28)</f>
        <v>0</v>
      </c>
      <c r="E48" s="253" t="s">
        <v>13</v>
      </c>
    </row>
    <row r="49" spans="2:10">
      <c r="B49" s="131" t="s">
        <v>26</v>
      </c>
      <c r="C49" s="224"/>
      <c r="D49" s="224"/>
      <c r="E49" s="50"/>
    </row>
    <row r="50" spans="2:10">
      <c r="B50" s="131" t="s">
        <v>27</v>
      </c>
      <c r="C50" s="224"/>
      <c r="D50" s="224"/>
      <c r="E50" s="193" t="str">
        <f>mvalloc!D17</f>
        <v xml:space="preserve">  </v>
      </c>
    </row>
    <row r="51" spans="2:10">
      <c r="B51" s="131" t="s">
        <v>28</v>
      </c>
      <c r="C51" s="224"/>
      <c r="D51" s="224"/>
      <c r="E51" s="193" t="str">
        <f>mvalloc!E17</f>
        <v xml:space="preserve"> </v>
      </c>
    </row>
    <row r="52" spans="2:10">
      <c r="B52" s="139" t="s">
        <v>122</v>
      </c>
      <c r="C52" s="224"/>
      <c r="D52" s="224"/>
      <c r="E52" s="193" t="str">
        <f>mvalloc!F17</f>
        <v xml:space="preserve"> </v>
      </c>
    </row>
    <row r="53" spans="2:10">
      <c r="B53" s="50"/>
      <c r="C53" s="224"/>
      <c r="D53" s="224"/>
      <c r="E53" s="50"/>
    </row>
    <row r="54" spans="2:10">
      <c r="B54" s="239"/>
      <c r="C54" s="224"/>
      <c r="D54" s="224"/>
      <c r="E54" s="50"/>
    </row>
    <row r="55" spans="2:10">
      <c r="B55" s="262"/>
      <c r="C55" s="224"/>
      <c r="D55" s="224"/>
      <c r="E55" s="50"/>
    </row>
    <row r="56" spans="2:10">
      <c r="B56" s="262"/>
      <c r="C56" s="224"/>
      <c r="D56" s="224"/>
      <c r="E56" s="50"/>
    </row>
    <row r="57" spans="2:10">
      <c r="B57" s="231" t="s">
        <v>30</v>
      </c>
      <c r="C57" s="224"/>
      <c r="D57" s="224"/>
      <c r="E57" s="50"/>
    </row>
    <row r="58" spans="2:10">
      <c r="B58" s="139" t="s">
        <v>270</v>
      </c>
      <c r="C58" s="224"/>
      <c r="D58" s="224"/>
      <c r="E58" s="50"/>
    </row>
    <row r="59" spans="2:10">
      <c r="B59" s="223" t="s">
        <v>791</v>
      </c>
      <c r="C59" s="352" t="str">
        <f>IF(C60*0.1&lt;C58,"Exceed 10% Rule","")</f>
        <v/>
      </c>
      <c r="D59" s="352" t="str">
        <f>IF(D60*0.1&lt;D58,"Exceed 10% Rule","")</f>
        <v/>
      </c>
      <c r="E59" s="365" t="str">
        <f>IF(E60*0.1+E80&lt;E58,"Exceed 10% Rule","")</f>
        <v/>
      </c>
    </row>
    <row r="60" spans="2:10">
      <c r="B60" s="233" t="s">
        <v>31</v>
      </c>
      <c r="C60" s="353">
        <f>SUM(C48:C58)</f>
        <v>0</v>
      </c>
      <c r="D60" s="353">
        <f>SUM(D48:D58)</f>
        <v>0</v>
      </c>
      <c r="E60" s="258">
        <f>SUM(E48:E58)</f>
        <v>0</v>
      </c>
    </row>
    <row r="61" spans="2:10">
      <c r="B61" s="233" t="s">
        <v>32</v>
      </c>
      <c r="C61" s="353">
        <f>C46+C60</f>
        <v>0</v>
      </c>
      <c r="D61" s="353">
        <f>D46+D60</f>
        <v>0</v>
      </c>
      <c r="E61" s="258">
        <f>E46+E60</f>
        <v>0</v>
      </c>
    </row>
    <row r="62" spans="2:10">
      <c r="B62" s="131" t="s">
        <v>34</v>
      </c>
      <c r="C62" s="240"/>
      <c r="D62" s="240"/>
      <c r="E62" s="48"/>
    </row>
    <row r="63" spans="2:10">
      <c r="B63" s="239"/>
      <c r="C63" s="224"/>
      <c r="D63" s="224"/>
      <c r="E63" s="50"/>
    </row>
    <row r="64" spans="2:10">
      <c r="B64" s="239"/>
      <c r="C64" s="224"/>
      <c r="D64" s="224"/>
      <c r="E64" s="50"/>
      <c r="G64" s="765" t="str">
        <f>CONCATENATE("Desired Carryover Into ",E1+1,"")</f>
        <v>Desired Carryover Into 2014</v>
      </c>
      <c r="H64" s="766"/>
      <c r="I64" s="766"/>
      <c r="J64" s="758"/>
    </row>
    <row r="65" spans="2:11">
      <c r="B65" s="239"/>
      <c r="C65" s="224"/>
      <c r="D65" s="224"/>
      <c r="E65" s="50"/>
      <c r="G65" s="635"/>
      <c r="H65" s="622"/>
      <c r="I65" s="629"/>
      <c r="J65" s="636"/>
    </row>
    <row r="66" spans="2:11">
      <c r="B66" s="239"/>
      <c r="C66" s="224"/>
      <c r="D66" s="224"/>
      <c r="E66" s="50"/>
      <c r="G66" s="634" t="s">
        <v>636</v>
      </c>
      <c r="H66" s="629"/>
      <c r="I66" s="629"/>
      <c r="J66" s="623">
        <v>0</v>
      </c>
    </row>
    <row r="67" spans="2:11">
      <c r="B67" s="239"/>
      <c r="C67" s="224"/>
      <c r="D67" s="224"/>
      <c r="E67" s="50"/>
      <c r="G67" s="635" t="s">
        <v>637</v>
      </c>
      <c r="H67" s="622"/>
      <c r="I67" s="622"/>
      <c r="J67" s="663" t="str">
        <f>IF(J66=0,"",ROUND((J66+E80-G79)/inputOth!E7*1000,3)-G84)</f>
        <v/>
      </c>
    </row>
    <row r="68" spans="2:11">
      <c r="B68" s="239"/>
      <c r="C68" s="224"/>
      <c r="D68" s="224"/>
      <c r="E68" s="50"/>
      <c r="G68" s="660" t="str">
        <f>CONCATENATE("",E1," Tot Exp/Non-Appr Must Be:")</f>
        <v>2013 Tot Exp/Non-Appr Must Be:</v>
      </c>
      <c r="H68" s="658"/>
      <c r="I68" s="659"/>
      <c r="J68" s="655">
        <f>IF(J66&gt;0,IF(E77&lt;E61,IF(J66=G79,E77,((J66-G79)*(1-D79))+E61),E77+(J66-G79)),0)</f>
        <v>0</v>
      </c>
    </row>
    <row r="69" spans="2:11">
      <c r="B69" s="239"/>
      <c r="C69" s="224"/>
      <c r="D69" s="224"/>
      <c r="E69" s="50"/>
      <c r="G69" s="538" t="s">
        <v>813</v>
      </c>
      <c r="H69" s="666"/>
      <c r="I69" s="666"/>
      <c r="J69" s="661">
        <f>IF(J66&gt;0,J68-E77,0)</f>
        <v>0</v>
      </c>
    </row>
    <row r="70" spans="2:11">
      <c r="B70" s="240" t="s">
        <v>271</v>
      </c>
      <c r="C70" s="224"/>
      <c r="D70" s="224"/>
      <c r="E70" s="57" t="str">
        <f>nhood!E16</f>
        <v/>
      </c>
      <c r="J70" s="612"/>
    </row>
    <row r="71" spans="2:11">
      <c r="B71" s="240" t="s">
        <v>270</v>
      </c>
      <c r="C71" s="224"/>
      <c r="D71" s="224"/>
      <c r="E71" s="50"/>
      <c r="G71" s="765" t="str">
        <f>CONCATENATE("Projected Carryover Into ",E1+1,"")</f>
        <v>Projected Carryover Into 2014</v>
      </c>
      <c r="H71" s="769"/>
      <c r="I71" s="769"/>
      <c r="J71" s="768"/>
    </row>
    <row r="72" spans="2:11">
      <c r="B72" s="240" t="s">
        <v>792</v>
      </c>
      <c r="C72" s="352" t="str">
        <f>IF(C73*0.1&lt;C71,"Exceed 10% Rule","")</f>
        <v/>
      </c>
      <c r="D72" s="352" t="str">
        <f>IF(D73*0.1&lt;D71,"Exceed 10% Rule","")</f>
        <v/>
      </c>
      <c r="E72" s="365" t="str">
        <f>IF(E73*0.1&lt;E71,"Exceed 10% Rule","")</f>
        <v/>
      </c>
      <c r="G72" s="624"/>
      <c r="H72" s="622"/>
      <c r="I72" s="622"/>
      <c r="J72" s="675"/>
    </row>
    <row r="73" spans="2:11">
      <c r="B73" s="233" t="s">
        <v>38</v>
      </c>
      <c r="C73" s="353">
        <f>SUM(C63:C71)</f>
        <v>0</v>
      </c>
      <c r="D73" s="353">
        <f>SUM(D63:D71)</f>
        <v>0</v>
      </c>
      <c r="E73" s="258">
        <f>SUM(E63:E71)</f>
        <v>0</v>
      </c>
      <c r="G73" s="626">
        <f>D74</f>
        <v>0</v>
      </c>
      <c r="H73" s="627" t="str">
        <f>CONCATENATE("",E1-1," Ending Cash Balance (est.)")</f>
        <v>2012 Ending Cash Balance (est.)</v>
      </c>
      <c r="I73" s="628"/>
      <c r="J73" s="675"/>
    </row>
    <row r="74" spans="2:11">
      <c r="B74" s="131" t="s">
        <v>146</v>
      </c>
      <c r="C74" s="350">
        <f>C61-C73</f>
        <v>0</v>
      </c>
      <c r="D74" s="350">
        <f>D61-D73</f>
        <v>0</v>
      </c>
      <c r="E74" s="253" t="s">
        <v>13</v>
      </c>
      <c r="G74" s="626">
        <f>E60</f>
        <v>0</v>
      </c>
      <c r="H74" s="629" t="str">
        <f>CONCATENATE("",E1," Non-AV Receipts (est.)")</f>
        <v>2013 Non-AV Receipts (est.)</v>
      </c>
      <c r="I74" s="628"/>
      <c r="J74" s="675"/>
    </row>
    <row r="75" spans="2:11">
      <c r="B75" s="119" t="str">
        <f>CONCATENATE("",$E$1-2,"/",$E$1-1," Budget Authority Amount:")</f>
        <v>2011/2012 Budget Authority Amount:</v>
      </c>
      <c r="C75" s="183">
        <f>inputOth!B71</f>
        <v>0</v>
      </c>
      <c r="D75" s="242">
        <f>inputPrYr!D28</f>
        <v>0</v>
      </c>
      <c r="E75" s="253" t="s">
        <v>13</v>
      </c>
      <c r="F75" s="243"/>
      <c r="G75" s="630">
        <f>IF(D79&gt;0,E78,E80)</f>
        <v>0</v>
      </c>
      <c r="H75" s="629" t="str">
        <f>CONCATENATE("",E1," Ad Valorem Tax (est.)")</f>
        <v>2013 Ad Valorem Tax (est.)</v>
      </c>
      <c r="I75" s="628"/>
      <c r="J75" s="675"/>
      <c r="K75" s="540" t="str">
        <f>IF(G75=E80,"","Note: Does not include Delinquent Taxes")</f>
        <v/>
      </c>
    </row>
    <row r="76" spans="2:11">
      <c r="B76" s="119"/>
      <c r="C76" s="746" t="s">
        <v>629</v>
      </c>
      <c r="D76" s="747"/>
      <c r="E76" s="49"/>
      <c r="F76" s="686" t="str">
        <f>IF(E73/0.95-E73&lt;E76,"Exceeds 5%","")</f>
        <v/>
      </c>
      <c r="G76" s="637">
        <f>SUM(G73:G75)</f>
        <v>0</v>
      </c>
      <c r="H76" s="629" t="str">
        <f>CONCATENATE("Total ",E1," Resources Available")</f>
        <v>Total 2013 Resources Available</v>
      </c>
      <c r="I76" s="625"/>
      <c r="J76" s="675"/>
    </row>
    <row r="77" spans="2:11">
      <c r="B77" s="366" t="str">
        <f>CONCATENATE(C95,"     ",D95)</f>
        <v xml:space="preserve">     </v>
      </c>
      <c r="C77" s="748" t="s">
        <v>630</v>
      </c>
      <c r="D77" s="749"/>
      <c r="E77" s="193">
        <f>E73+E76</f>
        <v>0</v>
      </c>
      <c r="G77" s="640"/>
      <c r="H77" s="638"/>
      <c r="I77" s="622"/>
      <c r="J77" s="675"/>
    </row>
    <row r="78" spans="2:11">
      <c r="B78" s="366" t="str">
        <f>CONCATENATE(C96,"     ",D96)</f>
        <v xml:space="preserve">     </v>
      </c>
      <c r="C78" s="244"/>
      <c r="D78" s="147" t="s">
        <v>39</v>
      </c>
      <c r="E78" s="193">
        <f>IF(E77-E61&gt;0,E77-E61,0)</f>
        <v>0</v>
      </c>
      <c r="G78" s="639">
        <f>ROUND(C73*0.05+C73,0)</f>
        <v>0</v>
      </c>
      <c r="H78" s="638" t="str">
        <f>CONCATENATE("Less ",E1-2," Expenditures + 5%")</f>
        <v>Less 2011 Expenditures + 5%</v>
      </c>
      <c r="I78" s="625"/>
      <c r="J78" s="675"/>
    </row>
    <row r="79" spans="2:11">
      <c r="B79" s="147"/>
      <c r="C79" s="357" t="s">
        <v>631</v>
      </c>
      <c r="D79" s="539">
        <f>inputOth!$E$47</f>
        <v>0.02</v>
      </c>
      <c r="E79" s="193">
        <f>ROUND(IF(D79&gt;0,(E78*D79),0),0)</f>
        <v>0</v>
      </c>
      <c r="G79" s="641">
        <f>G76-G78</f>
        <v>0</v>
      </c>
      <c r="H79" s="642" t="str">
        <f>CONCATENATE("Projected ",E1+1," carryover (est.)")</f>
        <v>Projected 2014 carryover (est.)</v>
      </c>
      <c r="I79" s="633"/>
      <c r="J79" s="673"/>
    </row>
    <row r="80" spans="2:11" ht="16.5" thickBot="1">
      <c r="B80" s="22"/>
      <c r="C80" s="750" t="str">
        <f>CONCATENATE("Amount of  ",$E$1-1," Ad Valorem Tax")</f>
        <v>Amount of  2012 Ad Valorem Tax</v>
      </c>
      <c r="D80" s="751"/>
      <c r="E80" s="259">
        <f>E78+E79</f>
        <v>0</v>
      </c>
      <c r="G80" s="612"/>
      <c r="H80" s="612"/>
      <c r="I80" s="612"/>
    </row>
    <row r="81" spans="2:10" ht="16.5" thickTop="1">
      <c r="B81" s="22"/>
      <c r="C81" s="761"/>
      <c r="D81" s="761"/>
      <c r="E81" s="22"/>
      <c r="G81" s="753" t="s">
        <v>869</v>
      </c>
      <c r="H81" s="763"/>
      <c r="I81" s="763"/>
      <c r="J81" s="764"/>
    </row>
    <row r="82" spans="2:10">
      <c r="B82" s="22"/>
      <c r="C82" s="22"/>
      <c r="D82" s="22"/>
      <c r="E82" s="22"/>
      <c r="G82" s="668"/>
      <c r="H82" s="627"/>
      <c r="I82" s="656"/>
      <c r="J82" s="657"/>
    </row>
    <row r="83" spans="2:10">
      <c r="B83" s="119" t="s">
        <v>41</v>
      </c>
      <c r="C83" s="249"/>
      <c r="D83" s="22"/>
      <c r="E83" s="22"/>
      <c r="G83" s="670" t="e">
        <f>summ!#REF!</f>
        <v>#REF!</v>
      </c>
      <c r="H83" s="627" t="str">
        <f>CONCATENATE("",E1," Fund Mill Rate")</f>
        <v>2013 Fund Mill Rate</v>
      </c>
      <c r="I83" s="656"/>
      <c r="J83" s="657"/>
    </row>
    <row r="84" spans="2:10">
      <c r="G84" s="669" t="e">
        <f>summ!#REF!</f>
        <v>#REF!</v>
      </c>
      <c r="H84" s="627" t="str">
        <f>CONCATENATE("",E1-1," Fund Mill Rate")</f>
        <v>2012 Fund Mill Rate</v>
      </c>
      <c r="I84" s="656"/>
      <c r="J84" s="657"/>
    </row>
    <row r="85" spans="2:10">
      <c r="G85" s="671">
        <f>summ!H28</f>
        <v>42.775000000000006</v>
      </c>
      <c r="H85" s="627" t="str">
        <f>CONCATENATE("Total ",E1," Mill Rate")</f>
        <v>Total 2013 Mill Rate</v>
      </c>
      <c r="I85" s="656"/>
      <c r="J85" s="657"/>
    </row>
    <row r="86" spans="2:10">
      <c r="G86" s="669">
        <f>summ!E28</f>
        <v>41.686999999999998</v>
      </c>
      <c r="H86" s="652" t="str">
        <f>CONCATENATE("Total ",E1-1," Mill Rate")</f>
        <v>Total 2012 Mill Rate</v>
      </c>
      <c r="I86" s="653"/>
      <c r="J86" s="654"/>
    </row>
    <row r="93" spans="2:10" hidden="1">
      <c r="C93" s="367" t="str">
        <f>IF(C33&gt;C35,"See Tab A","")</f>
        <v/>
      </c>
      <c r="D93" s="367" t="str">
        <f>IF(D33&gt;D35,"See Tab C","")</f>
        <v/>
      </c>
    </row>
    <row r="94" spans="2:10" hidden="1">
      <c r="C94" s="367" t="str">
        <f>IF(C34&lt;0,"See Tab B","")</f>
        <v/>
      </c>
      <c r="D94" s="367" t="str">
        <f>IF(D34&lt;0,"See Tab D","")</f>
        <v/>
      </c>
    </row>
    <row r="95" spans="2:10" hidden="1">
      <c r="C95" s="367" t="str">
        <f>IF(C73&gt;C75,"See Tab A","")</f>
        <v/>
      </c>
      <c r="D95" s="367" t="str">
        <f>IF(D73&gt;D75,"See Tab C","")</f>
        <v/>
      </c>
    </row>
    <row r="96" spans="2:10" hidden="1">
      <c r="C96" s="367" t="str">
        <f>IF(C74&lt;0,"See Tab B","")</f>
        <v/>
      </c>
      <c r="D96" s="367" t="str">
        <f>IF(D74&lt;0,"See Tab D","")</f>
        <v/>
      </c>
    </row>
  </sheetData>
  <mergeCells count="14">
    <mergeCell ref="G24:J24"/>
    <mergeCell ref="G31:J31"/>
    <mergeCell ref="G41:J41"/>
    <mergeCell ref="G64:J64"/>
    <mergeCell ref="G71:J71"/>
    <mergeCell ref="C36:D36"/>
    <mergeCell ref="C37:D37"/>
    <mergeCell ref="C80:D80"/>
    <mergeCell ref="C40:D40"/>
    <mergeCell ref="G81:J81"/>
    <mergeCell ref="C81:D81"/>
    <mergeCell ref="C41:D41"/>
    <mergeCell ref="C76:D76"/>
    <mergeCell ref="C77:D77"/>
  </mergeCells>
  <phoneticPr fontId="0" type="noConversion"/>
  <conditionalFormatting sqref="E31">
    <cfRule type="cellIs" dxfId="139" priority="5" stopIfTrue="1" operator="greaterThan">
      <formula>$E$33*0.1</formula>
    </cfRule>
  </conditionalFormatting>
  <conditionalFormatting sqref="E36">
    <cfRule type="cellIs" dxfId="138" priority="6" stopIfTrue="1" operator="greaterThan">
      <formula>$E$33/0.95-$E$33</formula>
    </cfRule>
  </conditionalFormatting>
  <conditionalFormatting sqref="E71">
    <cfRule type="cellIs" dxfId="137" priority="7" stopIfTrue="1" operator="greaterThan">
      <formula>$E$73*0.1</formula>
    </cfRule>
  </conditionalFormatting>
  <conditionalFormatting sqref="E76">
    <cfRule type="cellIs" dxfId="136" priority="8" stopIfTrue="1" operator="greaterThan">
      <formula>$E$73/0.95-$E$73</formula>
    </cfRule>
  </conditionalFormatting>
  <conditionalFormatting sqref="D33">
    <cfRule type="cellIs" dxfId="135" priority="9" stopIfTrue="1" operator="greaterThan">
      <formula>$D$35</formula>
    </cfRule>
  </conditionalFormatting>
  <conditionalFormatting sqref="C33">
    <cfRule type="cellIs" dxfId="134" priority="10" stopIfTrue="1" operator="greaterThan">
      <formula>$C$35</formula>
    </cfRule>
  </conditionalFormatting>
  <conditionalFormatting sqref="C34 C74">
    <cfRule type="cellIs" dxfId="133" priority="11" stopIfTrue="1" operator="lessThan">
      <formula>0</formula>
    </cfRule>
  </conditionalFormatting>
  <conditionalFormatting sqref="D73">
    <cfRule type="cellIs" dxfId="132" priority="12" stopIfTrue="1" operator="greaterThan">
      <formula>$D$75</formula>
    </cfRule>
  </conditionalFormatting>
  <conditionalFormatting sqref="C73">
    <cfRule type="cellIs" dxfId="131" priority="13" stopIfTrue="1" operator="greaterThan">
      <formula>$C$75</formula>
    </cfRule>
  </conditionalFormatting>
  <conditionalFormatting sqref="C71">
    <cfRule type="cellIs" dxfId="130" priority="14" stopIfTrue="1" operator="greaterThan">
      <formula>$C$73*0.1</formula>
    </cfRule>
  </conditionalFormatting>
  <conditionalFormatting sqref="D71">
    <cfRule type="cellIs" dxfId="129" priority="15" stopIfTrue="1" operator="greaterThan">
      <formula>$D$73*0.1</formula>
    </cfRule>
  </conditionalFormatting>
  <conditionalFormatting sqref="C31">
    <cfRule type="cellIs" dxfId="128" priority="16" stopIfTrue="1" operator="greaterThan">
      <formula>$C$33*0.1</formula>
    </cfRule>
  </conditionalFormatting>
  <conditionalFormatting sqref="D31">
    <cfRule type="cellIs" dxfId="127" priority="17" stopIfTrue="1" operator="greaterThan">
      <formula>$D$33*0.1</formula>
    </cfRule>
  </conditionalFormatting>
  <conditionalFormatting sqref="D58">
    <cfRule type="cellIs" dxfId="126" priority="18" stopIfTrue="1" operator="greaterThan">
      <formula>$D$60*0.1</formula>
    </cfRule>
  </conditionalFormatting>
  <conditionalFormatting sqref="C58">
    <cfRule type="cellIs" dxfId="125" priority="19" stopIfTrue="1" operator="greaterThan">
      <formula>$C$60*0.1</formula>
    </cfRule>
  </conditionalFormatting>
  <conditionalFormatting sqref="D18">
    <cfRule type="cellIs" dxfId="124" priority="20" stopIfTrue="1" operator="greaterThan">
      <formula>$D$20*0.1</formula>
    </cfRule>
  </conditionalFormatting>
  <conditionalFormatting sqref="C18">
    <cfRule type="cellIs" dxfId="123" priority="21" stopIfTrue="1" operator="greaterThan">
      <formula>$C$20*0.1</formula>
    </cfRule>
  </conditionalFormatting>
  <conditionalFormatting sqref="E58">
    <cfRule type="cellIs" dxfId="122" priority="22" stopIfTrue="1" operator="greaterThan">
      <formula>$E$60*0.1+E80</formula>
    </cfRule>
  </conditionalFormatting>
  <conditionalFormatting sqref="E18">
    <cfRule type="cellIs" dxfId="121" priority="23" stopIfTrue="1" operator="greaterThan">
      <formula>$E$20*0.1+E40</formula>
    </cfRule>
  </conditionalFormatting>
  <conditionalFormatting sqref="D74 D34">
    <cfRule type="cellIs" dxfId="120" priority="2" stopIfTrue="1" operator="lessThan">
      <formula>0</formula>
    </cfRule>
    <cfRule type="cellIs" dxfId="119" priority="4"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L96"/>
  <sheetViews>
    <sheetView topLeftCell="A32"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St.Francis</v>
      </c>
      <c r="C1" s="22"/>
      <c r="D1" s="22"/>
      <c r="E1" s="212">
        <f>inputPrYr!C5</f>
        <v>2013</v>
      </c>
    </row>
    <row r="2" spans="2:5">
      <c r="B2" s="22"/>
      <c r="C2" s="22"/>
      <c r="D2" s="22"/>
      <c r="E2" s="147"/>
    </row>
    <row r="3" spans="2:5">
      <c r="B3" s="41" t="s">
        <v>90</v>
      </c>
      <c r="C3" s="169"/>
      <c r="D3" s="169"/>
      <c r="E3" s="256"/>
    </row>
    <row r="4" spans="2:5">
      <c r="B4" s="29" t="s">
        <v>24</v>
      </c>
      <c r="C4" s="604" t="s">
        <v>808</v>
      </c>
      <c r="D4" s="605" t="s">
        <v>809</v>
      </c>
      <c r="E4" s="125" t="s">
        <v>810</v>
      </c>
    </row>
    <row r="5" spans="2:5">
      <c r="B5" s="364">
        <f>inputPrYr!B29</f>
        <v>0</v>
      </c>
      <c r="C5" s="351" t="str">
        <f>CONCATENATE("Actual for ",E1-2,"")</f>
        <v>Actual for 2011</v>
      </c>
      <c r="D5" s="351" t="str">
        <f>CONCATENATE("Estimate for ",E1-1,"")</f>
        <v>Estimate for 2012</v>
      </c>
      <c r="E5" s="222" t="str">
        <f>CONCATENATE("Year for ",E1,"")</f>
        <v>Year for 2013</v>
      </c>
    </row>
    <row r="6" spans="2:5">
      <c r="B6" s="223" t="s">
        <v>145</v>
      </c>
      <c r="C6" s="224"/>
      <c r="D6" s="350">
        <f>C34</f>
        <v>0</v>
      </c>
      <c r="E6" s="193">
        <f>D34</f>
        <v>0</v>
      </c>
    </row>
    <row r="7" spans="2:5">
      <c r="B7" s="226" t="s">
        <v>147</v>
      </c>
      <c r="C7" s="139"/>
      <c r="D7" s="139"/>
      <c r="E7" s="68"/>
    </row>
    <row r="8" spans="2:5">
      <c r="B8" s="131" t="s">
        <v>25</v>
      </c>
      <c r="C8" s="224"/>
      <c r="D8" s="350">
        <f>IF(inputPrYr!H16&gt;0,inputPrYr!G29,inputPrYr!E29)</f>
        <v>0</v>
      </c>
      <c r="E8" s="253" t="s">
        <v>13</v>
      </c>
    </row>
    <row r="9" spans="2:5">
      <c r="B9" s="131" t="s">
        <v>26</v>
      </c>
      <c r="C9" s="224"/>
      <c r="D9" s="224"/>
      <c r="E9" s="50"/>
    </row>
    <row r="10" spans="2:5">
      <c r="B10" s="131" t="s">
        <v>27</v>
      </c>
      <c r="C10" s="224"/>
      <c r="D10" s="224"/>
      <c r="E10" s="193" t="str">
        <f>mvalloc!D18</f>
        <v xml:space="preserve">  </v>
      </c>
    </row>
    <row r="11" spans="2:5">
      <c r="B11" s="131" t="s">
        <v>28</v>
      </c>
      <c r="C11" s="224"/>
      <c r="D11" s="224"/>
      <c r="E11" s="193" t="str">
        <f>mvalloc!E18</f>
        <v xml:space="preserve"> </v>
      </c>
    </row>
    <row r="12" spans="2:5">
      <c r="B12" s="139" t="s">
        <v>122</v>
      </c>
      <c r="C12" s="224"/>
      <c r="D12" s="224"/>
      <c r="E12" s="193" t="str">
        <f>mvalloc!F18</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30</v>
      </c>
      <c r="C17" s="224"/>
      <c r="D17" s="224"/>
      <c r="E17" s="50"/>
    </row>
    <row r="18" spans="2:10">
      <c r="B18" s="139" t="s">
        <v>270</v>
      </c>
      <c r="C18" s="224"/>
      <c r="D18" s="224"/>
      <c r="E18" s="50"/>
    </row>
    <row r="19" spans="2:10">
      <c r="B19" s="223" t="s">
        <v>791</v>
      </c>
      <c r="C19" s="352" t="str">
        <f>IF(C20*0.1&lt;C18,"Exceed 10% Rule","")</f>
        <v/>
      </c>
      <c r="D19" s="352" t="str">
        <f>IF(D20*0.1&lt;D18,"Exceed 10% Rule","")</f>
        <v/>
      </c>
      <c r="E19" s="365" t="str">
        <f>IF(E20*0.1+E40&lt;E18,"Exceed 10% Rule","")</f>
        <v/>
      </c>
    </row>
    <row r="20" spans="2:10">
      <c r="B20" s="233" t="s">
        <v>31</v>
      </c>
      <c r="C20" s="353">
        <f>SUM(C8:C18)</f>
        <v>0</v>
      </c>
      <c r="D20" s="353">
        <f>SUM(D8:D18)</f>
        <v>0</v>
      </c>
      <c r="E20" s="258">
        <f>SUM(E8:E18)</f>
        <v>0</v>
      </c>
    </row>
    <row r="21" spans="2:10">
      <c r="B21" s="233" t="s">
        <v>32</v>
      </c>
      <c r="C21" s="353">
        <f>C6+C20</f>
        <v>0</v>
      </c>
      <c r="D21" s="353">
        <f>D6+D20</f>
        <v>0</v>
      </c>
      <c r="E21" s="258">
        <f>E6+E20</f>
        <v>0</v>
      </c>
    </row>
    <row r="22" spans="2:10">
      <c r="B22" s="131" t="s">
        <v>34</v>
      </c>
      <c r="C22" s="240"/>
      <c r="D22" s="240"/>
      <c r="E22" s="48"/>
    </row>
    <row r="23" spans="2:10">
      <c r="B23" s="239"/>
      <c r="C23" s="224"/>
      <c r="D23" s="224"/>
      <c r="E23" s="50"/>
    </row>
    <row r="24" spans="2:10">
      <c r="B24" s="239"/>
      <c r="C24" s="224"/>
      <c r="D24" s="224"/>
      <c r="E24" s="50"/>
      <c r="G24" s="765" t="str">
        <f>CONCATENATE("Desired Carryover Into ",E1+1,"")</f>
        <v>Desired Carryover Into 2014</v>
      </c>
      <c r="H24" s="766"/>
      <c r="I24" s="766"/>
      <c r="J24" s="758"/>
    </row>
    <row r="25" spans="2:10">
      <c r="B25" s="239"/>
      <c r="C25" s="224"/>
      <c r="D25" s="224"/>
      <c r="E25" s="50"/>
      <c r="G25" s="635"/>
      <c r="H25" s="622"/>
      <c r="I25" s="629"/>
      <c r="J25" s="636"/>
    </row>
    <row r="26" spans="2:10">
      <c r="B26" s="239"/>
      <c r="C26" s="224"/>
      <c r="D26" s="224"/>
      <c r="E26" s="50"/>
      <c r="G26" s="634" t="s">
        <v>636</v>
      </c>
      <c r="H26" s="629"/>
      <c r="I26" s="629"/>
      <c r="J26" s="623">
        <v>0</v>
      </c>
    </row>
    <row r="27" spans="2:10">
      <c r="B27" s="239"/>
      <c r="C27" s="224"/>
      <c r="D27" s="224"/>
      <c r="E27" s="50"/>
      <c r="G27" s="635" t="s">
        <v>637</v>
      </c>
      <c r="H27" s="622"/>
      <c r="I27" s="622"/>
      <c r="J27" s="663" t="str">
        <f>IF(J26=0,"",ROUND((J26+E40-G39)/inputOth!E7*1000,3)-G44)</f>
        <v/>
      </c>
    </row>
    <row r="28" spans="2:10">
      <c r="B28" s="239"/>
      <c r="C28" s="224"/>
      <c r="D28" s="224"/>
      <c r="E28" s="50"/>
      <c r="G28" s="660" t="str">
        <f>CONCATENATE("",E1," Tot Exp/Non-Appr Must Be:")</f>
        <v>2013 Tot Exp/Non-Appr Must Be:</v>
      </c>
      <c r="H28" s="658"/>
      <c r="I28" s="659"/>
      <c r="J28" s="655">
        <f>IF(J26&gt;0,IF(E37&lt;E21,IF(J26=G39,E38,((J26-G39)*(1-D39))+E21),E38+(J26-G39)),0)</f>
        <v>0</v>
      </c>
    </row>
    <row r="29" spans="2:10">
      <c r="B29" s="239"/>
      <c r="C29" s="224"/>
      <c r="D29" s="224"/>
      <c r="E29" s="50"/>
      <c r="G29" s="538" t="s">
        <v>813</v>
      </c>
      <c r="H29" s="666"/>
      <c r="I29" s="666"/>
      <c r="J29" s="661">
        <f>IF(J26&gt;0,J28-E38,0)</f>
        <v>0</v>
      </c>
    </row>
    <row r="30" spans="2:10">
      <c r="B30" s="240" t="s">
        <v>271</v>
      </c>
      <c r="C30" s="224"/>
      <c r="D30" s="224"/>
      <c r="E30" s="57" t="str">
        <f>nhood!E17</f>
        <v/>
      </c>
      <c r="J30" s="612"/>
    </row>
    <row r="31" spans="2:10">
      <c r="B31" s="240" t="s">
        <v>270</v>
      </c>
      <c r="C31" s="224"/>
      <c r="D31" s="224"/>
      <c r="E31" s="50"/>
      <c r="G31" s="765" t="str">
        <f>CONCATENATE("Projected Carryover Into ",E1+1,"")</f>
        <v>Projected Carryover Into 2014</v>
      </c>
      <c r="H31" s="767"/>
      <c r="I31" s="767"/>
      <c r="J31" s="768"/>
    </row>
    <row r="32" spans="2:10">
      <c r="B32" s="240" t="s">
        <v>792</v>
      </c>
      <c r="C32" s="352" t="str">
        <f>IF(C33*0.1&lt;C31,"Exceed 10% Rule","")</f>
        <v/>
      </c>
      <c r="D32" s="352" t="str">
        <f>IF(D33*0.1&lt;D31,"Exceed 10% Rule","")</f>
        <v/>
      </c>
      <c r="E32" s="365" t="str">
        <f>IF(E33*0.1&lt;E31,"Exceed 10% Rule","")</f>
        <v/>
      </c>
      <c r="G32" s="635"/>
      <c r="H32" s="629"/>
      <c r="I32" s="629"/>
      <c r="J32" s="675"/>
    </row>
    <row r="33" spans="2:12">
      <c r="B33" s="233" t="s">
        <v>38</v>
      </c>
      <c r="C33" s="353">
        <f>SUM(C23:C31)</f>
        <v>0</v>
      </c>
      <c r="D33" s="353">
        <f>SUM(D23:D31)</f>
        <v>0</v>
      </c>
      <c r="E33" s="258">
        <f>SUM(E23:E31)</f>
        <v>0</v>
      </c>
      <c r="G33" s="626">
        <f>D34</f>
        <v>0</v>
      </c>
      <c r="H33" s="627" t="str">
        <f>CONCATENATE("",E1-1," Ending Cash Balance (est.)")</f>
        <v>2012 Ending Cash Balance (est.)</v>
      </c>
      <c r="I33" s="628"/>
      <c r="J33" s="675"/>
    </row>
    <row r="34" spans="2:12">
      <c r="B34" s="131" t="s">
        <v>146</v>
      </c>
      <c r="C34" s="350">
        <f>C21-C33</f>
        <v>0</v>
      </c>
      <c r="D34" s="350">
        <f>D21-D33</f>
        <v>0</v>
      </c>
      <c r="E34" s="253" t="s">
        <v>13</v>
      </c>
      <c r="G34" s="626">
        <f>E20</f>
        <v>0</v>
      </c>
      <c r="H34" s="629" t="str">
        <f>CONCATENATE("",E1," Non-AV Receipts (est.)")</f>
        <v>2013 Non-AV Receipts (est.)</v>
      </c>
      <c r="I34" s="628"/>
      <c r="J34" s="675"/>
    </row>
    <row r="35" spans="2:12">
      <c r="B35" s="119" t="str">
        <f>CONCATENATE("",$E$1-2,"/",$E$1-1," Budget Authority Amount:")</f>
        <v>2011/2012 Budget Authority Amount:</v>
      </c>
      <c r="C35" s="183">
        <f>inputOth!B72</f>
        <v>0</v>
      </c>
      <c r="D35" s="516">
        <f>inputPrYr!D29</f>
        <v>0</v>
      </c>
      <c r="E35" s="253" t="s">
        <v>13</v>
      </c>
      <c r="F35" s="243"/>
      <c r="G35" s="630">
        <f>IF(D39&gt;0,E38,E40)</f>
        <v>0</v>
      </c>
      <c r="H35" s="629" t="str">
        <f>CONCATENATE("",E1," Ad Valorem Tax (est.)")</f>
        <v>2013 Ad Valorem Tax (est.)</v>
      </c>
      <c r="I35" s="628"/>
      <c r="J35" s="675"/>
      <c r="K35" s="540" t="str">
        <f>IF(G35=E40,"","Note: Does not include Delinquent Taxes")</f>
        <v/>
      </c>
      <c r="L35" s="540"/>
    </row>
    <row r="36" spans="2:12">
      <c r="B36" s="119"/>
      <c r="C36" s="746" t="s">
        <v>629</v>
      </c>
      <c r="D36" s="747"/>
      <c r="E36" s="50"/>
      <c r="F36" s="243" t="str">
        <f>IF(E33/0.95-E33&lt;E36,"Exceeds 5%","")</f>
        <v/>
      </c>
      <c r="G36" s="626">
        <f>SUM(G33:G35)</f>
        <v>0</v>
      </c>
      <c r="H36" s="629" t="str">
        <f>CONCATENATE("Total ",E1," Resources Available")</f>
        <v>Total 2013 Resources Available</v>
      </c>
      <c r="I36" s="628"/>
      <c r="J36" s="675"/>
    </row>
    <row r="37" spans="2:12">
      <c r="B37" s="366" t="str">
        <f>CONCATENATE(C93,"     ",D93)</f>
        <v xml:space="preserve">     </v>
      </c>
      <c r="C37" s="748" t="s">
        <v>630</v>
      </c>
      <c r="D37" s="749"/>
      <c r="E37" s="193">
        <f>E33+E36</f>
        <v>0</v>
      </c>
      <c r="G37" s="631"/>
      <c r="H37" s="629"/>
      <c r="I37" s="629"/>
      <c r="J37" s="675"/>
    </row>
    <row r="38" spans="2:12">
      <c r="B38" s="366" t="str">
        <f>CONCATENATE(C94,"     ",D94)</f>
        <v xml:space="preserve">     </v>
      </c>
      <c r="C38" s="244"/>
      <c r="D38" s="147" t="s">
        <v>39</v>
      </c>
      <c r="E38" s="193">
        <f>IF(E37-E21&gt;0,E37-E21,0)</f>
        <v>0</v>
      </c>
      <c r="G38" s="630">
        <f>ROUND(C33*0.05+C33,0)</f>
        <v>0</v>
      </c>
      <c r="H38" s="629" t="str">
        <f>CONCATENATE("Less ",E1-2," Expenditures + 5%")</f>
        <v>Less 2011 Expenditures + 5%</v>
      </c>
      <c r="I38" s="628"/>
      <c r="J38" s="675"/>
    </row>
    <row r="39" spans="2:12">
      <c r="B39" s="147"/>
      <c r="C39" s="357" t="s">
        <v>631</v>
      </c>
      <c r="D39" s="539">
        <f>inputOth!$E$47</f>
        <v>0.02</v>
      </c>
      <c r="E39" s="193">
        <f>ROUND(IF($D$39&gt;0,($E$38*$D$39),0),0)</f>
        <v>0</v>
      </c>
      <c r="G39" s="664">
        <f>G36-G38</f>
        <v>0</v>
      </c>
      <c r="H39" s="665" t="str">
        <f>CONCATENATE("Projected ",E1+1," carryover (est.)")</f>
        <v>Projected 2014 carryover (est.)</v>
      </c>
      <c r="I39" s="632"/>
      <c r="J39" s="673"/>
    </row>
    <row r="40" spans="2:12" ht="16.5" thickBot="1">
      <c r="B40" s="22"/>
      <c r="C40" s="750" t="str">
        <f>CONCATENATE("Amount of  ",$E$1-1," Ad Valorem Tax")</f>
        <v>Amount of  2012 Ad Valorem Tax</v>
      </c>
      <c r="D40" s="751"/>
      <c r="E40" s="259">
        <f>E38+E39</f>
        <v>0</v>
      </c>
      <c r="G40" s="612"/>
      <c r="H40" s="612"/>
      <c r="I40" s="612"/>
      <c r="J40" s="612"/>
    </row>
    <row r="41" spans="2:12" ht="16.5" thickTop="1">
      <c r="B41" s="22"/>
      <c r="C41" s="761"/>
      <c r="D41" s="761"/>
      <c r="E41" s="22"/>
      <c r="G41" s="753" t="s">
        <v>869</v>
      </c>
      <c r="H41" s="763"/>
      <c r="I41" s="763"/>
      <c r="J41" s="764"/>
    </row>
    <row r="42" spans="2:12">
      <c r="B42" s="22"/>
      <c r="C42" s="22"/>
      <c r="D42" s="22"/>
      <c r="E42" s="22"/>
      <c r="G42" s="668"/>
      <c r="H42" s="627"/>
      <c r="I42" s="656"/>
      <c r="J42" s="657"/>
    </row>
    <row r="43" spans="2:12">
      <c r="B43" s="29"/>
      <c r="C43" s="123"/>
      <c r="D43" s="123"/>
      <c r="E43" s="123"/>
      <c r="G43" s="670" t="e">
        <f>summ!#REF!</f>
        <v>#REF!</v>
      </c>
      <c r="H43" s="627" t="str">
        <f>CONCATENATE("",E1," Fund Mill Rate")</f>
        <v>2013 Fund Mill Rate</v>
      </c>
      <c r="I43" s="656"/>
      <c r="J43" s="657"/>
    </row>
    <row r="44" spans="2:12">
      <c r="B44" s="29" t="s">
        <v>24</v>
      </c>
      <c r="C44" s="604" t="str">
        <f t="shared" ref="C44:E45" si="0">C4</f>
        <v xml:space="preserve">Prior Year </v>
      </c>
      <c r="D44" s="605" t="str">
        <f t="shared" si="0"/>
        <v>Current Year</v>
      </c>
      <c r="E44" s="125" t="str">
        <f t="shared" si="0"/>
        <v>Proposed Budget</v>
      </c>
      <c r="G44" s="669" t="e">
        <f>summ!#REF!</f>
        <v>#REF!</v>
      </c>
      <c r="H44" s="627" t="str">
        <f>CONCATENATE("",E1-1," Fund Mill Rate")</f>
        <v>2012 Fund Mill Rate</v>
      </c>
      <c r="I44" s="656"/>
      <c r="J44" s="657"/>
    </row>
    <row r="45" spans="2:12">
      <c r="B45" s="363">
        <f>inputPrYr!B30</f>
        <v>0</v>
      </c>
      <c r="C45" s="351" t="str">
        <f t="shared" si="0"/>
        <v>Actual for 2011</v>
      </c>
      <c r="D45" s="351" t="str">
        <f t="shared" si="0"/>
        <v>Estimate for 2012</v>
      </c>
      <c r="E45" s="178" t="str">
        <f t="shared" si="0"/>
        <v>Year for 2013</v>
      </c>
      <c r="G45" s="671">
        <f>summ!H28</f>
        <v>42.775000000000006</v>
      </c>
      <c r="H45" s="627" t="str">
        <f>CONCATENATE("Total ",E1," Mill Rate")</f>
        <v>Total 2013 Mill Rate</v>
      </c>
      <c r="I45" s="656"/>
      <c r="J45" s="657"/>
    </row>
    <row r="46" spans="2:12">
      <c r="B46" s="223" t="s">
        <v>145</v>
      </c>
      <c r="C46" s="224"/>
      <c r="D46" s="350">
        <f>C74</f>
        <v>0</v>
      </c>
      <c r="E46" s="193">
        <f>D74</f>
        <v>0</v>
      </c>
      <c r="G46" s="669">
        <f>summ!E28</f>
        <v>41.686999999999998</v>
      </c>
      <c r="H46" s="652" t="str">
        <f>CONCATENATE("Total ",E1-1," Mill Rate")</f>
        <v>Total 2012 Mill Rate</v>
      </c>
      <c r="I46" s="653"/>
      <c r="J46" s="654"/>
    </row>
    <row r="47" spans="2:12">
      <c r="B47" s="223" t="s">
        <v>147</v>
      </c>
      <c r="C47" s="139"/>
      <c r="D47" s="139"/>
      <c r="E47" s="68"/>
    </row>
    <row r="48" spans="2:12">
      <c r="B48" s="131" t="s">
        <v>25</v>
      </c>
      <c r="C48" s="224"/>
      <c r="D48" s="350">
        <f>IF(inputPrYr!H16&gt;0,inputPrYr!G30,inputPrYr!E30)</f>
        <v>0</v>
      </c>
      <c r="E48" s="253" t="s">
        <v>13</v>
      </c>
    </row>
    <row r="49" spans="2:10">
      <c r="B49" s="131" t="s">
        <v>26</v>
      </c>
      <c r="C49" s="224"/>
      <c r="D49" s="224"/>
      <c r="E49" s="50"/>
    </row>
    <row r="50" spans="2:10">
      <c r="B50" s="131" t="s">
        <v>27</v>
      </c>
      <c r="C50" s="224"/>
      <c r="D50" s="224"/>
      <c r="E50" s="193" t="str">
        <f>mvalloc!D19</f>
        <v xml:space="preserve">  </v>
      </c>
    </row>
    <row r="51" spans="2:10">
      <c r="B51" s="131" t="s">
        <v>28</v>
      </c>
      <c r="C51" s="224"/>
      <c r="D51" s="224"/>
      <c r="E51" s="193" t="str">
        <f>mvalloc!E19</f>
        <v xml:space="preserve"> </v>
      </c>
    </row>
    <row r="52" spans="2:10">
      <c r="B52" s="139" t="s">
        <v>122</v>
      </c>
      <c r="C52" s="224"/>
      <c r="D52" s="224"/>
      <c r="E52" s="193" t="str">
        <f>mvalloc!F19</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30</v>
      </c>
      <c r="C57" s="224"/>
      <c r="D57" s="224"/>
      <c r="E57" s="50"/>
    </row>
    <row r="58" spans="2:10">
      <c r="B58" s="139" t="s">
        <v>270</v>
      </c>
      <c r="C58" s="224"/>
      <c r="D58" s="224"/>
      <c r="E58" s="50"/>
    </row>
    <row r="59" spans="2:10">
      <c r="B59" s="223" t="s">
        <v>791</v>
      </c>
      <c r="C59" s="352" t="str">
        <f>IF(C60*0.1&lt;C58,"Exceed 10% Rule","")</f>
        <v/>
      </c>
      <c r="D59" s="352" t="str">
        <f>IF(D60*0.1&lt;D58,"Exceed 10% Rule","")</f>
        <v/>
      </c>
      <c r="E59" s="365" t="str">
        <f>IF(E60*0.1+E80&lt;E58,"Exceed 10% Rule","")</f>
        <v/>
      </c>
    </row>
    <row r="60" spans="2:10">
      <c r="B60" s="233" t="s">
        <v>31</v>
      </c>
      <c r="C60" s="353">
        <f>SUM(C48:C58)</f>
        <v>0</v>
      </c>
      <c r="D60" s="353">
        <f>SUM(D48:D58)</f>
        <v>0</v>
      </c>
      <c r="E60" s="258">
        <f>SUM(E48:E58)</f>
        <v>0</v>
      </c>
    </row>
    <row r="61" spans="2:10">
      <c r="B61" s="233" t="s">
        <v>32</v>
      </c>
      <c r="C61" s="353">
        <f>C46+C60</f>
        <v>0</v>
      </c>
      <c r="D61" s="353">
        <f>D46+D60</f>
        <v>0</v>
      </c>
      <c r="E61" s="258">
        <f>E46+E60</f>
        <v>0</v>
      </c>
    </row>
    <row r="62" spans="2:10">
      <c r="B62" s="131" t="s">
        <v>34</v>
      </c>
      <c r="C62" s="240"/>
      <c r="D62" s="240"/>
      <c r="E62" s="48"/>
    </row>
    <row r="63" spans="2:10">
      <c r="B63" s="239"/>
      <c r="C63" s="224"/>
      <c r="D63" s="224"/>
      <c r="E63" s="50"/>
    </row>
    <row r="64" spans="2:10">
      <c r="B64" s="239"/>
      <c r="C64" s="224"/>
      <c r="D64" s="224"/>
      <c r="E64" s="50"/>
      <c r="G64" s="765" t="str">
        <f>CONCATENATE("Desired Carryover Into ",E1+1,"")</f>
        <v>Desired Carryover Into 2014</v>
      </c>
      <c r="H64" s="766"/>
      <c r="I64" s="766"/>
      <c r="J64" s="758"/>
    </row>
    <row r="65" spans="2:11">
      <c r="B65" s="239"/>
      <c r="C65" s="224"/>
      <c r="D65" s="224"/>
      <c r="E65" s="50"/>
      <c r="G65" s="635"/>
      <c r="H65" s="622"/>
      <c r="I65" s="629"/>
      <c r="J65" s="636"/>
    </row>
    <row r="66" spans="2:11">
      <c r="B66" s="239"/>
      <c r="C66" s="224"/>
      <c r="D66" s="224"/>
      <c r="E66" s="50"/>
      <c r="G66" s="634" t="s">
        <v>636</v>
      </c>
      <c r="H66" s="629"/>
      <c r="I66" s="629"/>
      <c r="J66" s="623">
        <v>0</v>
      </c>
    </row>
    <row r="67" spans="2:11">
      <c r="B67" s="239"/>
      <c r="C67" s="224"/>
      <c r="D67" s="224"/>
      <c r="E67" s="50"/>
      <c r="G67" s="635" t="s">
        <v>637</v>
      </c>
      <c r="H67" s="622"/>
      <c r="I67" s="622"/>
      <c r="J67" s="663" t="str">
        <f>IF(J66=0,"",ROUND((J66+E80-G79)/inputOth!E7*1000,3)-G84)</f>
        <v/>
      </c>
    </row>
    <row r="68" spans="2:11">
      <c r="B68" s="239"/>
      <c r="C68" s="224"/>
      <c r="D68" s="224"/>
      <c r="E68" s="50"/>
      <c r="G68" s="660" t="str">
        <f>CONCATENATE("",E1," Tot Exp/Non-Appr Must Be:")</f>
        <v>2013 Tot Exp/Non-Appr Must Be:</v>
      </c>
      <c r="H68" s="658"/>
      <c r="I68" s="659"/>
      <c r="J68" s="655">
        <f>IF(J66&gt;0,IF(E77&lt;E61,IF(J66=G79,E77,((J66-G79)*(1-D79))+E61),E77+(J66-G79)),0)</f>
        <v>0</v>
      </c>
    </row>
    <row r="69" spans="2:11">
      <c r="B69" s="239"/>
      <c r="C69" s="224"/>
      <c r="D69" s="224"/>
      <c r="E69" s="50"/>
      <c r="G69" s="538" t="s">
        <v>813</v>
      </c>
      <c r="H69" s="666"/>
      <c r="I69" s="666"/>
      <c r="J69" s="661">
        <f>IF(J66&gt;0,J68-E77,0)</f>
        <v>0</v>
      </c>
    </row>
    <row r="70" spans="2:11">
      <c r="B70" s="240" t="s">
        <v>271</v>
      </c>
      <c r="C70" s="224"/>
      <c r="D70" s="224"/>
      <c r="E70" s="57" t="str">
        <f>nhood!E18</f>
        <v/>
      </c>
      <c r="J70" s="612"/>
    </row>
    <row r="71" spans="2:11">
      <c r="B71" s="240" t="s">
        <v>270</v>
      </c>
      <c r="C71" s="224"/>
      <c r="D71" s="224"/>
      <c r="E71" s="50"/>
      <c r="G71" s="765" t="str">
        <f>CONCATENATE("Projected Carryover Into ",E1+1,"")</f>
        <v>Projected Carryover Into 2014</v>
      </c>
      <c r="H71" s="769"/>
      <c r="I71" s="769"/>
      <c r="J71" s="768"/>
    </row>
    <row r="72" spans="2:11">
      <c r="B72" s="240" t="s">
        <v>792</v>
      </c>
      <c r="C72" s="352" t="str">
        <f>IF(C73*0.1&lt;C71,"Exceed 10% Rule","")</f>
        <v/>
      </c>
      <c r="D72" s="352" t="str">
        <f>IF(D73*0.1&lt;D71,"Exceed 10% Rule","")</f>
        <v/>
      </c>
      <c r="E72" s="365" t="str">
        <f>IF(E73*0.1&lt;E71,"Exceed 10% Rule","")</f>
        <v/>
      </c>
      <c r="G72" s="624"/>
      <c r="H72" s="622"/>
      <c r="I72" s="622"/>
      <c r="J72" s="675"/>
    </row>
    <row r="73" spans="2:11">
      <c r="B73" s="233" t="s">
        <v>38</v>
      </c>
      <c r="C73" s="353">
        <f>SUM(C63:C71)</f>
        <v>0</v>
      </c>
      <c r="D73" s="353">
        <f>SUM(D63:D71)</f>
        <v>0</v>
      </c>
      <c r="E73" s="258">
        <f>SUM(E63:E71)</f>
        <v>0</v>
      </c>
      <c r="G73" s="626">
        <f>D74</f>
        <v>0</v>
      </c>
      <c r="H73" s="627" t="str">
        <f>CONCATENATE("",E1-1," Ending Cash Balance (est.)")</f>
        <v>2012 Ending Cash Balance (est.)</v>
      </c>
      <c r="I73" s="628"/>
      <c r="J73" s="675"/>
    </row>
    <row r="74" spans="2:11">
      <c r="B74" s="131" t="s">
        <v>146</v>
      </c>
      <c r="C74" s="350">
        <f>C61-C73</f>
        <v>0</v>
      </c>
      <c r="D74" s="350">
        <f>D61-D73</f>
        <v>0</v>
      </c>
      <c r="E74" s="253" t="s">
        <v>13</v>
      </c>
      <c r="G74" s="626">
        <f>E60</f>
        <v>0</v>
      </c>
      <c r="H74" s="629" t="str">
        <f>CONCATENATE("",E1," Non-AV Receipts (est.)")</f>
        <v>2013 Non-AV Receipts (est.)</v>
      </c>
      <c r="I74" s="628"/>
      <c r="J74" s="675"/>
    </row>
    <row r="75" spans="2:11">
      <c r="B75" s="119" t="str">
        <f>CONCATENATE("",$E$1-2,"/",$E$1-1," Budget Authority Amount:")</f>
        <v>2011/2012 Budget Authority Amount:</v>
      </c>
      <c r="C75" s="183">
        <f>inputOth!B73</f>
        <v>0</v>
      </c>
      <c r="D75" s="242">
        <f>inputPrYr!D30</f>
        <v>0</v>
      </c>
      <c r="E75" s="253" t="s">
        <v>13</v>
      </c>
      <c r="F75" s="243"/>
      <c r="G75" s="630">
        <f>IF(D79&gt;0,E78,E80)</f>
        <v>0</v>
      </c>
      <c r="H75" s="629" t="str">
        <f>CONCATENATE("",E1," Ad Valorem Tax (est.)")</f>
        <v>2013 Ad Valorem Tax (est.)</v>
      </c>
      <c r="I75" s="628"/>
      <c r="J75" s="675"/>
      <c r="K75" s="540" t="str">
        <f>IF(G75=E80,"","Note: Does not include Delinquent Taxes")</f>
        <v/>
      </c>
    </row>
    <row r="76" spans="2:11">
      <c r="B76" s="119"/>
      <c r="C76" s="746" t="s">
        <v>629</v>
      </c>
      <c r="D76" s="747"/>
      <c r="E76" s="50"/>
      <c r="F76" s="243" t="str">
        <f>IF(E73/0.95-E73&lt;E76,"Exceeds 5%","")</f>
        <v/>
      </c>
      <c r="G76" s="637">
        <f>SUM(G73:G75)</f>
        <v>0</v>
      </c>
      <c r="H76" s="629" t="str">
        <f>CONCATENATE("Total ",E1," Resources Available")</f>
        <v>Total 2013 Resources Available</v>
      </c>
      <c r="I76" s="625"/>
      <c r="J76" s="675"/>
    </row>
    <row r="77" spans="2:11">
      <c r="B77" s="366" t="str">
        <f>CONCATENATE(C95,"     ",D95)</f>
        <v xml:space="preserve">     </v>
      </c>
      <c r="C77" s="748" t="s">
        <v>630</v>
      </c>
      <c r="D77" s="749"/>
      <c r="E77" s="193">
        <f>E73+E76</f>
        <v>0</v>
      </c>
      <c r="G77" s="640"/>
      <c r="H77" s="638"/>
      <c r="I77" s="622"/>
      <c r="J77" s="675"/>
    </row>
    <row r="78" spans="2:11">
      <c r="B78" s="366" t="str">
        <f>CONCATENATE(C96,"     ",D96)</f>
        <v xml:space="preserve">     </v>
      </c>
      <c r="C78" s="244"/>
      <c r="D78" s="147" t="s">
        <v>39</v>
      </c>
      <c r="E78" s="193">
        <f>IF(E77-E61&gt;0,E77-E61,0)</f>
        <v>0</v>
      </c>
      <c r="G78" s="639">
        <f>ROUND(C73*0.05+C73,0)</f>
        <v>0</v>
      </c>
      <c r="H78" s="638" t="str">
        <f>CONCATENATE("Less ",E1-2," Expenditures + 5%")</f>
        <v>Less 2011 Expenditures + 5%</v>
      </c>
      <c r="I78" s="625"/>
      <c r="J78" s="675"/>
    </row>
    <row r="79" spans="2:11">
      <c r="B79" s="147"/>
      <c r="C79" s="357" t="s">
        <v>631</v>
      </c>
      <c r="D79" s="539">
        <f>inputOth!$E$47</f>
        <v>0.02</v>
      </c>
      <c r="E79" s="193">
        <f>ROUND(IF(D79&gt;0,(E78*D79),0),0)</f>
        <v>0</v>
      </c>
      <c r="G79" s="641">
        <f>G76-G78</f>
        <v>0</v>
      </c>
      <c r="H79" s="642" t="str">
        <f>CONCATENATE("Projected ",E1+1," carryover (est.)")</f>
        <v>Projected 2014 carryover (est.)</v>
      </c>
      <c r="I79" s="633"/>
      <c r="J79" s="673"/>
    </row>
    <row r="80" spans="2:11" ht="16.5" thickBot="1">
      <c r="B80" s="22"/>
      <c r="C80" s="750" t="str">
        <f>CONCATENATE("Amount of  ",$E$1-1," Ad Valorem Tax")</f>
        <v>Amount of  2012 Ad Valorem Tax</v>
      </c>
      <c r="D80" s="751"/>
      <c r="E80" s="259">
        <f>E78+E79</f>
        <v>0</v>
      </c>
      <c r="G80" s="612"/>
      <c r="H80" s="612"/>
      <c r="I80" s="612"/>
    </row>
    <row r="81" spans="2:10" ht="16.5" thickTop="1">
      <c r="B81" s="22"/>
      <c r="C81" s="761"/>
      <c r="D81" s="761"/>
      <c r="E81" s="22"/>
      <c r="G81" s="753" t="s">
        <v>869</v>
      </c>
      <c r="H81" s="763"/>
      <c r="I81" s="763"/>
      <c r="J81" s="764"/>
    </row>
    <row r="82" spans="2:10">
      <c r="B82" s="22"/>
      <c r="C82" s="22"/>
      <c r="D82" s="22"/>
      <c r="E82" s="22"/>
      <c r="G82" s="668"/>
      <c r="H82" s="627"/>
      <c r="I82" s="656"/>
      <c r="J82" s="657"/>
    </row>
    <row r="83" spans="2:10">
      <c r="B83" s="119" t="s">
        <v>41</v>
      </c>
      <c r="C83" s="249"/>
      <c r="D83" s="22"/>
      <c r="E83" s="22"/>
      <c r="G83" s="670" t="e">
        <f>summ!#REF!</f>
        <v>#REF!</v>
      </c>
      <c r="H83" s="627" t="str">
        <f>CONCATENATE("",E1," Fund Mill Rate")</f>
        <v>2013 Fund Mill Rate</v>
      </c>
      <c r="I83" s="656"/>
      <c r="J83" s="657"/>
    </row>
    <row r="84" spans="2:10">
      <c r="G84" s="669" t="e">
        <f>summ!#REF!</f>
        <v>#REF!</v>
      </c>
      <c r="H84" s="627" t="str">
        <f>CONCATENATE("",E1-1," Fund Mill Rate")</f>
        <v>2012 Fund Mill Rate</v>
      </c>
      <c r="I84" s="656"/>
      <c r="J84" s="657"/>
    </row>
    <row r="85" spans="2:10">
      <c r="G85" s="671">
        <f>summ!H28</f>
        <v>42.775000000000006</v>
      </c>
      <c r="H85" s="627" t="str">
        <f>CONCATENATE("Total ",E1," Mill Rate")</f>
        <v>Total 2013 Mill Rate</v>
      </c>
      <c r="I85" s="656"/>
      <c r="J85" s="657"/>
    </row>
    <row r="86" spans="2:10">
      <c r="G86" s="669">
        <f>summ!E28</f>
        <v>41.686999999999998</v>
      </c>
      <c r="H86" s="652" t="str">
        <f>CONCATENATE("Total ",E1-1," Mill Rate")</f>
        <v>Total 2012 Mill Rate</v>
      </c>
      <c r="I86" s="653"/>
      <c r="J86" s="654"/>
    </row>
    <row r="93" spans="2:10" hidden="1">
      <c r="C93" s="367" t="str">
        <f>IF(C33&gt;C35,"See Tab A","")</f>
        <v/>
      </c>
      <c r="D93" s="367" t="str">
        <f>IF(D33&gt;D35,"See Tab C","")</f>
        <v/>
      </c>
    </row>
    <row r="94" spans="2:10" hidden="1">
      <c r="C94" s="367" t="str">
        <f>IF(C34&lt;0,"See Tab B","")</f>
        <v/>
      </c>
      <c r="D94" s="367" t="str">
        <f>IF(D34&lt;0,"See Tab D","")</f>
        <v/>
      </c>
    </row>
    <row r="95" spans="2:10" hidden="1">
      <c r="C95" s="367" t="str">
        <f>IF(C73&gt;C75,"See Tab A","")</f>
        <v/>
      </c>
      <c r="D95" s="367" t="str">
        <f>IF(D73&gt;D75,"See Tab C","")</f>
        <v/>
      </c>
    </row>
    <row r="96" spans="2:10" hidden="1">
      <c r="C96" s="367" t="str">
        <f>IF(C74&lt;0,"See Tab B","")</f>
        <v/>
      </c>
      <c r="D96" s="367" t="str">
        <f>IF(D74&lt;0,"See Tab D","")</f>
        <v/>
      </c>
    </row>
  </sheetData>
  <mergeCells count="14">
    <mergeCell ref="G24:J24"/>
    <mergeCell ref="G31:J31"/>
    <mergeCell ref="G41:J41"/>
    <mergeCell ref="G64:J64"/>
    <mergeCell ref="G71:J71"/>
    <mergeCell ref="C36:D36"/>
    <mergeCell ref="C37:D37"/>
    <mergeCell ref="C40:D40"/>
    <mergeCell ref="C80:D80"/>
    <mergeCell ref="G81:J81"/>
    <mergeCell ref="C81:D81"/>
    <mergeCell ref="C41:D41"/>
    <mergeCell ref="C76:D76"/>
    <mergeCell ref="C77:D77"/>
  </mergeCells>
  <phoneticPr fontId="0" type="noConversion"/>
  <conditionalFormatting sqref="E31">
    <cfRule type="cellIs" dxfId="118" priority="3" stopIfTrue="1" operator="greaterThan">
      <formula>$E$33*0.1</formula>
    </cfRule>
  </conditionalFormatting>
  <conditionalFormatting sqref="E36">
    <cfRule type="cellIs" dxfId="117" priority="4" stopIfTrue="1" operator="greaterThan">
      <formula>$E$33/0.95-$E$33</formula>
    </cfRule>
  </conditionalFormatting>
  <conditionalFormatting sqref="E71">
    <cfRule type="cellIs" dxfId="116" priority="5" stopIfTrue="1" operator="greaterThan">
      <formula>$E$73*0.1</formula>
    </cfRule>
  </conditionalFormatting>
  <conditionalFormatting sqref="E76">
    <cfRule type="cellIs" dxfId="115" priority="6" stopIfTrue="1" operator="greaterThan">
      <formula>$E$73/0.95-$E$73</formula>
    </cfRule>
  </conditionalFormatting>
  <conditionalFormatting sqref="D33">
    <cfRule type="cellIs" dxfId="114" priority="7" stopIfTrue="1" operator="greaterThan">
      <formula>$D$35</formula>
    </cfRule>
  </conditionalFormatting>
  <conditionalFormatting sqref="C33">
    <cfRule type="cellIs" dxfId="113" priority="8" stopIfTrue="1" operator="greaterThan">
      <formula>$C$35</formula>
    </cfRule>
  </conditionalFormatting>
  <conditionalFormatting sqref="C34 C74">
    <cfRule type="cellIs" dxfId="112" priority="9" stopIfTrue="1" operator="lessThan">
      <formula>0</formula>
    </cfRule>
  </conditionalFormatting>
  <conditionalFormatting sqref="D73">
    <cfRule type="cellIs" dxfId="111" priority="10" stopIfTrue="1" operator="greaterThan">
      <formula>$D$75</formula>
    </cfRule>
  </conditionalFormatting>
  <conditionalFormatting sqref="C73">
    <cfRule type="cellIs" dxfId="110" priority="11" stopIfTrue="1" operator="greaterThan">
      <formula>$C$75</formula>
    </cfRule>
  </conditionalFormatting>
  <conditionalFormatting sqref="C71">
    <cfRule type="cellIs" dxfId="109" priority="12" stopIfTrue="1" operator="greaterThan">
      <formula>$C$73*0.1</formula>
    </cfRule>
  </conditionalFormatting>
  <conditionalFormatting sqref="D71">
    <cfRule type="cellIs" dxfId="108" priority="13" stopIfTrue="1" operator="greaterThan">
      <formula>$D$73*0.1</formula>
    </cfRule>
  </conditionalFormatting>
  <conditionalFormatting sqref="C31">
    <cfRule type="cellIs" dxfId="107" priority="14" stopIfTrue="1" operator="greaterThan">
      <formula>$C$33*0.1</formula>
    </cfRule>
  </conditionalFormatting>
  <conditionalFormatting sqref="D31">
    <cfRule type="cellIs" dxfId="106" priority="15" stopIfTrue="1" operator="greaterThan">
      <formula>$D$33*0.1</formula>
    </cfRule>
  </conditionalFormatting>
  <conditionalFormatting sqref="D58">
    <cfRule type="cellIs" dxfId="105" priority="16" stopIfTrue="1" operator="greaterThan">
      <formula>$D$60*0.1</formula>
    </cfRule>
  </conditionalFormatting>
  <conditionalFormatting sqref="C58">
    <cfRule type="cellIs" dxfId="104" priority="17" stopIfTrue="1" operator="greaterThan">
      <formula>$C$60*0.1</formula>
    </cfRule>
  </conditionalFormatting>
  <conditionalFormatting sqref="D18">
    <cfRule type="cellIs" dxfId="103" priority="18" stopIfTrue="1" operator="greaterThan">
      <formula>$D$20*0.1</formula>
    </cfRule>
  </conditionalFormatting>
  <conditionalFormatting sqref="C18">
    <cfRule type="cellIs" dxfId="102" priority="19" stopIfTrue="1" operator="greaterThan">
      <formula>$C$20*0.1</formula>
    </cfRule>
  </conditionalFormatting>
  <conditionalFormatting sqref="E58">
    <cfRule type="cellIs" dxfId="101" priority="20" stopIfTrue="1" operator="greaterThan">
      <formula>$E$60*0.1+E80</formula>
    </cfRule>
  </conditionalFormatting>
  <conditionalFormatting sqref="E18">
    <cfRule type="cellIs" dxfId="100" priority="21" stopIfTrue="1" operator="greaterThan">
      <formula>$E$20*0.1+E40</formula>
    </cfRule>
  </conditionalFormatting>
  <conditionalFormatting sqref="D74 D34">
    <cfRule type="cellIs" dxfId="99"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44"/>
  <sheetViews>
    <sheetView workbookViewId="0">
      <selection activeCell="E35" sqref="E35"/>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St.Francis</v>
      </c>
      <c r="C1" s="22"/>
      <c r="D1" s="22"/>
      <c r="E1" s="212">
        <f>inputPrYr!C5</f>
        <v>2013</v>
      </c>
    </row>
    <row r="2" spans="2:5">
      <c r="B2" s="22"/>
      <c r="C2" s="22"/>
      <c r="D2" s="22"/>
      <c r="E2" s="147"/>
    </row>
    <row r="3" spans="2:5">
      <c r="B3" s="41" t="s">
        <v>91</v>
      </c>
      <c r="C3" s="257"/>
      <c r="D3" s="257"/>
      <c r="E3" s="257"/>
    </row>
    <row r="4" spans="2:5">
      <c r="B4" s="29" t="s">
        <v>24</v>
      </c>
      <c r="C4" s="604" t="s">
        <v>808</v>
      </c>
      <c r="D4" s="605" t="s">
        <v>809</v>
      </c>
      <c r="E4" s="125" t="s">
        <v>810</v>
      </c>
    </row>
    <row r="5" spans="2:5">
      <c r="B5" s="364" t="str">
        <f>(inputPrYr!B34)</f>
        <v>Special Highway</v>
      </c>
      <c r="C5" s="351" t="str">
        <f>CONCATENATE("Actual for ",E1-2,"")</f>
        <v>Actual for 2011</v>
      </c>
      <c r="D5" s="351" t="str">
        <f>CONCATENATE("Estimate for ",E1-1,"")</f>
        <v>Estimate for 2012</v>
      </c>
      <c r="E5" s="222" t="str">
        <f>CONCATENATE("Year for ",E1,"")</f>
        <v>Year for 2013</v>
      </c>
    </row>
    <row r="6" spans="2:5">
      <c r="B6" s="223" t="s">
        <v>145</v>
      </c>
      <c r="C6" s="50">
        <v>8781</v>
      </c>
      <c r="D6" s="193">
        <f>C19</f>
        <v>40454</v>
      </c>
      <c r="E6" s="193">
        <f>D19</f>
        <v>49784</v>
      </c>
    </row>
    <row r="7" spans="2:5">
      <c r="B7" s="226" t="s">
        <v>147</v>
      </c>
      <c r="C7" s="68"/>
      <c r="D7" s="68"/>
      <c r="E7" s="68"/>
    </row>
    <row r="8" spans="2:5">
      <c r="B8" s="240" t="s">
        <v>125</v>
      </c>
      <c r="C8" s="50">
        <v>33809</v>
      </c>
      <c r="D8" s="193">
        <f>inputOth!E53</f>
        <v>34330</v>
      </c>
      <c r="E8" s="193">
        <f>inputOth!E51</f>
        <v>34590</v>
      </c>
    </row>
    <row r="9" spans="2:5">
      <c r="B9" s="240" t="s">
        <v>265</v>
      </c>
      <c r="C9" s="50">
        <v>0</v>
      </c>
      <c r="D9" s="193">
        <f>inputOth!E54</f>
        <v>0</v>
      </c>
      <c r="E9" s="193">
        <f>inputOth!E52</f>
        <v>0</v>
      </c>
    </row>
    <row r="10" spans="2:5">
      <c r="B10" s="139" t="s">
        <v>270</v>
      </c>
      <c r="C10" s="50">
        <v>0</v>
      </c>
      <c r="D10" s="50">
        <v>0</v>
      </c>
      <c r="E10" s="50">
        <v>0</v>
      </c>
    </row>
    <row r="11" spans="2:5">
      <c r="B11" s="223" t="s">
        <v>791</v>
      </c>
      <c r="C11" s="365" t="str">
        <f>IF(C12*0.1&lt;C10,"Exceed 10% Rule","")</f>
        <v/>
      </c>
      <c r="D11" s="254" t="str">
        <f>IF(D12*0.1&lt;D10,"Exceed 10% Rule","")</f>
        <v/>
      </c>
      <c r="E11" s="254" t="str">
        <f>IF(E12*0.1&lt;E10,"Exceed 10% Rule","")</f>
        <v/>
      </c>
    </row>
    <row r="12" spans="2:5">
      <c r="B12" s="233" t="s">
        <v>31</v>
      </c>
      <c r="C12" s="258">
        <f>SUM(C8:C10)</f>
        <v>33809</v>
      </c>
      <c r="D12" s="258">
        <f>SUM(D8:D10)</f>
        <v>34330</v>
      </c>
      <c r="E12" s="258">
        <f>SUM(E8:E10)</f>
        <v>34590</v>
      </c>
    </row>
    <row r="13" spans="2:5">
      <c r="B13" s="233" t="s">
        <v>32</v>
      </c>
      <c r="C13" s="258">
        <f>C6+C12</f>
        <v>42590</v>
      </c>
      <c r="D13" s="258">
        <f>D6+D12</f>
        <v>74784</v>
      </c>
      <c r="E13" s="258">
        <f>E6+E12</f>
        <v>84374</v>
      </c>
    </row>
    <row r="14" spans="2:5">
      <c r="B14" s="131" t="s">
        <v>34</v>
      </c>
      <c r="C14" s="193"/>
      <c r="D14" s="193"/>
      <c r="E14" s="193"/>
    </row>
    <row r="15" spans="2:5">
      <c r="B15" s="239" t="s">
        <v>1033</v>
      </c>
      <c r="C15" s="50">
        <v>2136</v>
      </c>
      <c r="D15" s="50">
        <v>25000</v>
      </c>
      <c r="E15" s="50">
        <v>84374</v>
      </c>
    </row>
    <row r="16" spans="2:5">
      <c r="B16" s="240" t="s">
        <v>270</v>
      </c>
      <c r="C16" s="50"/>
      <c r="D16" s="50"/>
      <c r="E16" s="50"/>
    </row>
    <row r="17" spans="2:5">
      <c r="B17" s="240" t="s">
        <v>792</v>
      </c>
      <c r="C17" s="365" t="str">
        <f>IF(C18*0.1&lt;C16,"Exceed 10% Rule","")</f>
        <v/>
      </c>
      <c r="D17" s="254" t="str">
        <f>IF(D18*0.1&lt;D16,"Exceed 10% Rule","")</f>
        <v/>
      </c>
      <c r="E17" s="254" t="str">
        <f>IF(E18*0.1&lt;E16,"Exceed 10% Rule","")</f>
        <v/>
      </c>
    </row>
    <row r="18" spans="2:5">
      <c r="B18" s="233" t="s">
        <v>38</v>
      </c>
      <c r="C18" s="258">
        <f>SUM(C15:C16)</f>
        <v>2136</v>
      </c>
      <c r="D18" s="258">
        <f>SUM(D15:D16)</f>
        <v>25000</v>
      </c>
      <c r="E18" s="258">
        <f>SUM(E15:E16)</f>
        <v>84374</v>
      </c>
    </row>
    <row r="19" spans="2:5">
      <c r="B19" s="131" t="s">
        <v>146</v>
      </c>
      <c r="C19" s="193">
        <f>C13-C18</f>
        <v>40454</v>
      </c>
      <c r="D19" s="193">
        <f>D13-D18</f>
        <v>49784</v>
      </c>
      <c r="E19" s="193">
        <f>E13-E18</f>
        <v>0</v>
      </c>
    </row>
    <row r="20" spans="2:5">
      <c r="B20" s="119" t="str">
        <f>CONCATENATE("",$E$1-2,"/",$E$1-1," Budget Authority Amount:")</f>
        <v>2011/2012 Budget Authority Amount:</v>
      </c>
      <c r="C20" s="183">
        <f>inputOth!B74</f>
        <v>49003</v>
      </c>
      <c r="D20" s="183">
        <f>inputPrYr!D34</f>
        <v>42981</v>
      </c>
      <c r="E20" s="391" t="str">
        <f>IF(E19&lt;0,"See Tab E","")</f>
        <v/>
      </c>
    </row>
    <row r="21" spans="2:5">
      <c r="B21" s="119"/>
      <c r="C21" s="244" t="str">
        <f>IF(C18&gt;C20,"See Tab A","")</f>
        <v/>
      </c>
      <c r="D21" s="244" t="str">
        <f>IF(D18&gt;D20,"See Tab C","")</f>
        <v/>
      </c>
      <c r="E21" s="51"/>
    </row>
    <row r="22" spans="2:5">
      <c r="B22" s="119"/>
      <c r="C22" s="244" t="str">
        <f>IF(C19&lt;0,"See Tab B","")</f>
        <v/>
      </c>
      <c r="D22" s="244" t="str">
        <f>IF(D19&lt;0,"See Tab D","")</f>
        <v/>
      </c>
      <c r="E22" s="51"/>
    </row>
    <row r="23" spans="2:5">
      <c r="B23" s="22"/>
      <c r="C23" s="51"/>
      <c r="D23" s="51"/>
      <c r="E23" s="51"/>
    </row>
    <row r="24" spans="2:5">
      <c r="B24" s="29" t="s">
        <v>24</v>
      </c>
      <c r="C24" s="263"/>
      <c r="D24" s="263"/>
      <c r="E24" s="263"/>
    </row>
    <row r="25" spans="2:5">
      <c r="B25" s="22"/>
      <c r="C25" s="247" t="str">
        <f t="shared" ref="C25:E26" si="0">C4</f>
        <v xml:space="preserve">Prior Year </v>
      </c>
      <c r="D25" s="125" t="str">
        <f t="shared" si="0"/>
        <v>Current Year</v>
      </c>
      <c r="E25" s="125" t="str">
        <f t="shared" si="0"/>
        <v>Proposed Budget</v>
      </c>
    </row>
    <row r="26" spans="2:5">
      <c r="B26" s="363" t="str">
        <f>(inputPrYr!B35)</f>
        <v>Special Parks &amp; Recreation</v>
      </c>
      <c r="C26" s="222" t="str">
        <f t="shared" si="0"/>
        <v>Actual for 2011</v>
      </c>
      <c r="D26" s="222" t="str">
        <f t="shared" si="0"/>
        <v>Estimate for 2012</v>
      </c>
      <c r="E26" s="222" t="str">
        <f t="shared" si="0"/>
        <v>Year for 2013</v>
      </c>
    </row>
    <row r="27" spans="2:5">
      <c r="B27" s="223" t="s">
        <v>145</v>
      </c>
      <c r="C27" s="50">
        <v>2093</v>
      </c>
      <c r="D27" s="193">
        <f>C39</f>
        <v>1663</v>
      </c>
      <c r="E27" s="193">
        <f>D39</f>
        <v>1224</v>
      </c>
    </row>
    <row r="28" spans="2:5">
      <c r="B28" s="223" t="s">
        <v>147</v>
      </c>
      <c r="C28" s="68"/>
      <c r="D28" s="68"/>
      <c r="E28" s="68"/>
    </row>
    <row r="29" spans="2:5">
      <c r="B29" s="239" t="s">
        <v>1034</v>
      </c>
      <c r="C29" s="50">
        <v>274</v>
      </c>
      <c r="D29" s="50">
        <v>361</v>
      </c>
      <c r="E29" s="50">
        <v>256</v>
      </c>
    </row>
    <row r="30" spans="2:5">
      <c r="B30" s="139" t="s">
        <v>270</v>
      </c>
      <c r="C30" s="50">
        <v>0</v>
      </c>
      <c r="D30" s="50">
        <v>0</v>
      </c>
      <c r="E30" s="50">
        <v>0</v>
      </c>
    </row>
    <row r="31" spans="2:5">
      <c r="B31" s="223" t="s">
        <v>791</v>
      </c>
      <c r="C31" s="365" t="str">
        <f>IF(C32*0.1&lt;C30,"Exceed 10% Rule","")</f>
        <v/>
      </c>
      <c r="D31" s="254" t="str">
        <f>IF(D32*0.1&lt;D30,"Exceed 10% Rule","")</f>
        <v/>
      </c>
      <c r="E31" s="254" t="str">
        <f>IF(E32*0.1&lt;E30,"Exceed 10% Rule","")</f>
        <v/>
      </c>
    </row>
    <row r="32" spans="2:5">
      <c r="B32" s="233" t="s">
        <v>31</v>
      </c>
      <c r="C32" s="258">
        <f>SUM(C29:C30)</f>
        <v>274</v>
      </c>
      <c r="D32" s="258">
        <f>SUM(D29:D30)</f>
        <v>361</v>
      </c>
      <c r="E32" s="258">
        <f>SUM(E29:E30)</f>
        <v>256</v>
      </c>
    </row>
    <row r="33" spans="2:5">
      <c r="B33" s="233" t="s">
        <v>32</v>
      </c>
      <c r="C33" s="258">
        <f>C27+C32</f>
        <v>2367</v>
      </c>
      <c r="D33" s="258">
        <f>D27+D32</f>
        <v>2024</v>
      </c>
      <c r="E33" s="258">
        <f>E27+E32</f>
        <v>1480</v>
      </c>
    </row>
    <row r="34" spans="2:5">
      <c r="B34" s="131" t="s">
        <v>34</v>
      </c>
      <c r="C34" s="193"/>
      <c r="D34" s="193"/>
      <c r="E34" s="193"/>
    </row>
    <row r="35" spans="2:5">
      <c r="B35" s="239" t="s">
        <v>1035</v>
      </c>
      <c r="C35" s="50">
        <v>704</v>
      </c>
      <c r="D35" s="50">
        <v>800</v>
      </c>
      <c r="E35" s="50">
        <v>1480</v>
      </c>
    </row>
    <row r="36" spans="2:5">
      <c r="B36" s="240" t="s">
        <v>270</v>
      </c>
      <c r="C36" s="50"/>
      <c r="D36" s="50"/>
      <c r="E36" s="50"/>
    </row>
    <row r="37" spans="2:5">
      <c r="B37" s="240" t="s">
        <v>792</v>
      </c>
      <c r="C37" s="365" t="str">
        <f>IF(C38*0.1&lt;C36,"Exceed 10% Rule","")</f>
        <v/>
      </c>
      <c r="D37" s="254" t="str">
        <f>IF(D38*0.1&lt;D36,"Exceed 10% Rule","")</f>
        <v/>
      </c>
      <c r="E37" s="254" t="str">
        <f>IF(E38*0.1&lt;E36,"Exceed 10% Rule","")</f>
        <v/>
      </c>
    </row>
    <row r="38" spans="2:5">
      <c r="B38" s="233" t="s">
        <v>38</v>
      </c>
      <c r="C38" s="258">
        <f>SUM(C35:C36)</f>
        <v>704</v>
      </c>
      <c r="D38" s="258">
        <f>SUM(D35:D36)</f>
        <v>800</v>
      </c>
      <c r="E38" s="258">
        <f>SUM(E35:E36)</f>
        <v>1480</v>
      </c>
    </row>
    <row r="39" spans="2:5">
      <c r="B39" s="131" t="s">
        <v>146</v>
      </c>
      <c r="C39" s="193">
        <f>C33-C38</f>
        <v>1663</v>
      </c>
      <c r="D39" s="193">
        <f>D33-D38</f>
        <v>1224</v>
      </c>
      <c r="E39" s="193">
        <f>E33-E38</f>
        <v>0</v>
      </c>
    </row>
    <row r="40" spans="2:5">
      <c r="B40" s="119" t="str">
        <f>CONCATENATE("",$E$1-2,"/",$E$1-1," Budget Authority Amount:")</f>
        <v>2011/2012 Budget Authority Amount:</v>
      </c>
      <c r="C40" s="183">
        <f>inputOth!B75</f>
        <v>1948</v>
      </c>
      <c r="D40" s="183">
        <f>inputPrYr!D35</f>
        <v>1762</v>
      </c>
      <c r="E40" s="391" t="str">
        <f>IF(E39&lt;0,"See Tab E","")</f>
        <v/>
      </c>
    </row>
    <row r="41" spans="2:5">
      <c r="B41" s="119"/>
      <c r="C41" s="244" t="str">
        <f>IF(C38&gt;C40,"See Tab A","")</f>
        <v/>
      </c>
      <c r="D41" s="244" t="str">
        <f>IF(D38&gt;D40,"See Tab C","")</f>
        <v/>
      </c>
      <c r="E41" s="22"/>
    </row>
    <row r="42" spans="2:5">
      <c r="B42" s="119"/>
      <c r="C42" s="244" t="str">
        <f>IF(C39&lt;0,"See Tab B","")</f>
        <v/>
      </c>
      <c r="D42" s="244" t="str">
        <f>IF(D39&lt;0,"See Tab D","")</f>
        <v/>
      </c>
      <c r="E42" s="22"/>
    </row>
    <row r="43" spans="2:5">
      <c r="B43" s="22"/>
      <c r="C43" s="22"/>
      <c r="D43" s="22"/>
      <c r="E43" s="22"/>
    </row>
    <row r="44" spans="2:5">
      <c r="B44" s="119" t="s">
        <v>41</v>
      </c>
      <c r="C44" s="249">
        <v>10</v>
      </c>
      <c r="D44" s="22"/>
      <c r="E44" s="22"/>
    </row>
  </sheetData>
  <phoneticPr fontId="0" type="noConversion"/>
  <conditionalFormatting sqref="C30">
    <cfRule type="cellIs" dxfId="98" priority="3" stopIfTrue="1" operator="greaterThan">
      <formula>$C$32*0.1</formula>
    </cfRule>
  </conditionalFormatting>
  <conditionalFormatting sqref="D30">
    <cfRule type="cellIs" dxfId="97" priority="4" stopIfTrue="1" operator="greaterThan">
      <formula>$D$32*0.1</formula>
    </cfRule>
  </conditionalFormatting>
  <conditionalFormatting sqref="E30">
    <cfRule type="cellIs" dxfId="96" priority="5" stopIfTrue="1" operator="greaterThan">
      <formula>$E$32*0.1</formula>
    </cfRule>
  </conditionalFormatting>
  <conditionalFormatting sqref="C36">
    <cfRule type="cellIs" dxfId="95" priority="6" stopIfTrue="1" operator="greaterThan">
      <formula>$C$38*0.1</formula>
    </cfRule>
  </conditionalFormatting>
  <conditionalFormatting sqref="D36">
    <cfRule type="cellIs" dxfId="94" priority="7" stopIfTrue="1" operator="greaterThan">
      <formula>$D$38*0.1</formula>
    </cfRule>
  </conditionalFormatting>
  <conditionalFormatting sqref="E36">
    <cfRule type="cellIs" dxfId="93" priority="8" stopIfTrue="1" operator="greaterThan">
      <formula>$E$38*0.1</formula>
    </cfRule>
  </conditionalFormatting>
  <conditionalFormatting sqref="C10">
    <cfRule type="cellIs" dxfId="92" priority="9" stopIfTrue="1" operator="greaterThan">
      <formula>$C$12*0.1</formula>
    </cfRule>
  </conditionalFormatting>
  <conditionalFormatting sqref="D10">
    <cfRule type="cellIs" dxfId="91" priority="10" stopIfTrue="1" operator="greaterThan">
      <formula>$D$12*0.1</formula>
    </cfRule>
  </conditionalFormatting>
  <conditionalFormatting sqref="E10">
    <cfRule type="cellIs" dxfId="90" priority="11" stopIfTrue="1" operator="greaterThan">
      <formula>$E$12*0.1</formula>
    </cfRule>
  </conditionalFormatting>
  <conditionalFormatting sqref="C16">
    <cfRule type="cellIs" dxfId="89" priority="12" stopIfTrue="1" operator="greaterThan">
      <formula>$C$18*0.1</formula>
    </cfRule>
  </conditionalFormatting>
  <conditionalFormatting sqref="D16">
    <cfRule type="cellIs" dxfId="88" priority="13" stopIfTrue="1" operator="greaterThan">
      <formula>$D$18*0.1</formula>
    </cfRule>
  </conditionalFormatting>
  <conditionalFormatting sqref="E16">
    <cfRule type="cellIs" dxfId="87" priority="14" stopIfTrue="1" operator="greaterThan">
      <formula>$E$18*0.1</formula>
    </cfRule>
  </conditionalFormatting>
  <conditionalFormatting sqref="E39 C39 E19 C19">
    <cfRule type="cellIs" dxfId="86" priority="15" stopIfTrue="1" operator="lessThan">
      <formula>0</formula>
    </cfRule>
  </conditionalFormatting>
  <conditionalFormatting sqref="D38">
    <cfRule type="cellIs" dxfId="85" priority="16" stopIfTrue="1" operator="greaterThan">
      <formula>$D$40</formula>
    </cfRule>
  </conditionalFormatting>
  <conditionalFormatting sqref="C38">
    <cfRule type="cellIs" dxfId="84" priority="17" stopIfTrue="1" operator="greaterThan">
      <formula>$C$40</formula>
    </cfRule>
  </conditionalFormatting>
  <conditionalFormatting sqref="D18">
    <cfRule type="cellIs" dxfId="83" priority="18" stopIfTrue="1" operator="greaterThan">
      <formula>$D$20</formula>
    </cfRule>
  </conditionalFormatting>
  <conditionalFormatting sqref="C18">
    <cfRule type="cellIs" dxfId="82" priority="19" stopIfTrue="1" operator="greaterThan">
      <formula>$C$20</formula>
    </cfRule>
  </conditionalFormatting>
  <conditionalFormatting sqref="D39">
    <cfRule type="cellIs" dxfId="81" priority="2" stopIfTrue="1" operator="lessThan">
      <formula>0</formula>
    </cfRule>
  </conditionalFormatting>
  <conditionalFormatting sqref="D19">
    <cfRule type="cellIs" dxfId="80" priority="1" stopIfTrue="1" operator="lessThan">
      <formula>0</formula>
    </cfRule>
  </conditionalFormatting>
  <pageMargins left="0.5" right="0.5" top="1" bottom="0.5" header="0.5" footer="0.5"/>
  <pageSetup scale="98" orientation="portrait" blackAndWhite="1" horizontalDpi="120" verticalDpi="144" r:id="rId1"/>
  <headerFooter alignWithMargins="0">
    <oddHeader xml:space="preserve">&amp;RState of Kansas
City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F54"/>
  <sheetViews>
    <sheetView workbookViewId="0">
      <selection activeCell="E46" sqref="E46"/>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St.Francis</v>
      </c>
      <c r="C1" s="22"/>
      <c r="D1" s="22"/>
      <c r="E1" s="212">
        <f>inputPrYr!C5</f>
        <v>2013</v>
      </c>
    </row>
    <row r="2" spans="2:5">
      <c r="B2" s="22"/>
      <c r="C2" s="22"/>
      <c r="D2" s="22"/>
      <c r="E2" s="147"/>
    </row>
    <row r="3" spans="2:5">
      <c r="B3" s="41" t="s">
        <v>91</v>
      </c>
      <c r="C3" s="257"/>
      <c r="D3" s="257"/>
      <c r="E3" s="257"/>
    </row>
    <row r="4" spans="2:5">
      <c r="B4" s="29" t="s">
        <v>24</v>
      </c>
      <c r="C4" s="604" t="s">
        <v>808</v>
      </c>
      <c r="D4" s="605" t="s">
        <v>809</v>
      </c>
      <c r="E4" s="125" t="s">
        <v>810</v>
      </c>
    </row>
    <row r="5" spans="2:5">
      <c r="B5" s="364" t="str">
        <f>(inputPrYr!B36)</f>
        <v>Electric &amp; Water Utility</v>
      </c>
      <c r="C5" s="351" t="str">
        <f>CONCATENATE("Actual for ",E1-2,"")</f>
        <v>Actual for 2011</v>
      </c>
      <c r="D5" s="351" t="str">
        <f>CONCATENATE("Estimate for ",E1-1,"")</f>
        <v>Estimate for 2012</v>
      </c>
      <c r="E5" s="222" t="str">
        <f>CONCATENATE("Year for ",E1,"")</f>
        <v>Year for 2013</v>
      </c>
    </row>
    <row r="6" spans="2:5">
      <c r="B6" s="223" t="s">
        <v>145</v>
      </c>
      <c r="C6" s="50">
        <v>135126</v>
      </c>
      <c r="D6" s="193">
        <f>C50</f>
        <v>125594</v>
      </c>
      <c r="E6" s="193">
        <f>D50</f>
        <v>93322</v>
      </c>
    </row>
    <row r="7" spans="2:5">
      <c r="B7" s="226" t="s">
        <v>147</v>
      </c>
      <c r="C7" s="68"/>
      <c r="D7" s="68"/>
      <c r="E7" s="68"/>
    </row>
    <row r="8" spans="2:5">
      <c r="B8" s="691" t="s">
        <v>1036</v>
      </c>
      <c r="C8" s="50">
        <v>1591633</v>
      </c>
      <c r="D8" s="50">
        <v>1726350</v>
      </c>
      <c r="E8" s="50">
        <v>1804000</v>
      </c>
    </row>
    <row r="9" spans="2:5">
      <c r="B9" s="691" t="s">
        <v>1037</v>
      </c>
      <c r="C9" s="50">
        <v>10195</v>
      </c>
      <c r="D9" s="50">
        <f>ROUND((4951.84/inputPrYr!$E$94)*inputPrYr!$E$95,0)</f>
        <v>11884</v>
      </c>
      <c r="E9" s="50">
        <f>D9*inputPrYr!$E$100</f>
        <v>12240.52</v>
      </c>
    </row>
    <row r="10" spans="2:5">
      <c r="B10" s="691" t="s">
        <v>1038</v>
      </c>
      <c r="C10" s="50">
        <v>899</v>
      </c>
      <c r="D10" s="50">
        <f>ROUND((270/inputPrYr!$E$94)*inputPrYr!$E$95,0)</f>
        <v>648</v>
      </c>
      <c r="E10" s="50">
        <f>D10*inputPrYr!$E$100</f>
        <v>667.44</v>
      </c>
    </row>
    <row r="11" spans="2:5">
      <c r="B11" s="691" t="s">
        <v>1039</v>
      </c>
      <c r="C11" s="50">
        <v>50092</v>
      </c>
      <c r="D11" s="50">
        <f>ROUND((19306.91/inputPrYr!$E$94)*inputPrYr!$E$95,0)</f>
        <v>46337</v>
      </c>
      <c r="E11" s="50">
        <f>D11*inputPrYr!$E$100</f>
        <v>47727.11</v>
      </c>
    </row>
    <row r="12" spans="2:5">
      <c r="B12" s="691" t="s">
        <v>1040</v>
      </c>
      <c r="C12" s="50">
        <v>6875</v>
      </c>
      <c r="D12" s="50">
        <f>ROUND((786.93/inputPrYr!$E$94)*inputPrYr!$E$95,0)</f>
        <v>1889</v>
      </c>
      <c r="E12" s="50">
        <f>D12*inputPrYr!$E$100</f>
        <v>1945.67</v>
      </c>
    </row>
    <row r="13" spans="2:5">
      <c r="B13" s="691" t="s">
        <v>1041</v>
      </c>
      <c r="C13" s="50">
        <v>3794</v>
      </c>
      <c r="D13" s="50">
        <f>ROUND((788.89/inputPrYr!$E$94)*inputPrYr!$E$95,0)</f>
        <v>1893</v>
      </c>
      <c r="E13" s="50">
        <f>D13*inputPrYr!$E$100</f>
        <v>1949.79</v>
      </c>
    </row>
    <row r="14" spans="2:5">
      <c r="B14" s="691" t="s">
        <v>1042</v>
      </c>
      <c r="C14" s="50">
        <v>7700</v>
      </c>
      <c r="D14" s="50">
        <f>ROUND((4900/inputPrYr!$E$94)*inputPrYr!$E$95,0)</f>
        <v>11760</v>
      </c>
      <c r="E14" s="50">
        <f>D14*inputPrYr!$E$100</f>
        <v>12112.800000000001</v>
      </c>
    </row>
    <row r="15" spans="2:5">
      <c r="B15" s="690" t="s">
        <v>30</v>
      </c>
      <c r="C15" s="50">
        <v>2067</v>
      </c>
      <c r="D15" s="50">
        <f>ROUND((104.33/inputPrYr!$E$94)*inputPrYr!$E$95,0)</f>
        <v>250</v>
      </c>
      <c r="E15" s="50">
        <f>D15*inputPrYr!$E$100</f>
        <v>257.5</v>
      </c>
    </row>
    <row r="16" spans="2:5">
      <c r="B16" s="690" t="s">
        <v>1043</v>
      </c>
      <c r="C16" s="50">
        <f>1633</f>
        <v>1633</v>
      </c>
      <c r="D16" s="50">
        <v>0</v>
      </c>
      <c r="E16" s="50">
        <f>D16*inputPrYr!$E$100</f>
        <v>0</v>
      </c>
    </row>
    <row r="17" spans="2:6">
      <c r="B17" s="139" t="s">
        <v>270</v>
      </c>
      <c r="C17" s="50">
        <v>330</v>
      </c>
      <c r="D17" s="50">
        <f>ROUND((25/inputPrYr!$E$94)*inputPrYr!$E$95,0)</f>
        <v>60</v>
      </c>
      <c r="E17" s="50">
        <f>D17*inputPrYr!$E$100</f>
        <v>61.800000000000004</v>
      </c>
    </row>
    <row r="18" spans="2:6">
      <c r="B18" s="223" t="s">
        <v>791</v>
      </c>
      <c r="C18" s="365" t="str">
        <f>IF(C19*0.1&lt;C17,"Exceed 10% Rule","")</f>
        <v/>
      </c>
      <c r="D18" s="254" t="str">
        <f>IF(D19*0.1&lt;D17,"Exceed 10% Rule","")</f>
        <v/>
      </c>
      <c r="E18" s="254" t="str">
        <f>IF(E19*0.1&lt;E17,"Exceed 10% Rule","")</f>
        <v/>
      </c>
    </row>
    <row r="19" spans="2:6">
      <c r="B19" s="233" t="s">
        <v>31</v>
      </c>
      <c r="C19" s="258">
        <f>SUM(C8:C17)</f>
        <v>1675218</v>
      </c>
      <c r="D19" s="258">
        <f>SUM(D8:D17)</f>
        <v>1801071</v>
      </c>
      <c r="E19" s="258">
        <f>SUM(E8:E17)</f>
        <v>1880962.6300000001</v>
      </c>
    </row>
    <row r="20" spans="2:6">
      <c r="B20" s="233" t="s">
        <v>32</v>
      </c>
      <c r="C20" s="258">
        <f>C6+C19</f>
        <v>1810344</v>
      </c>
      <c r="D20" s="258">
        <f>D6+D19</f>
        <v>1926665</v>
      </c>
      <c r="E20" s="258">
        <f>E6+E19</f>
        <v>1974284.6300000001</v>
      </c>
    </row>
    <row r="21" spans="2:6">
      <c r="B21" s="131" t="s">
        <v>34</v>
      </c>
      <c r="C21" s="193"/>
      <c r="D21" s="193"/>
      <c r="E21" s="193"/>
    </row>
    <row r="22" spans="2:6">
      <c r="B22" s="691" t="s">
        <v>1044</v>
      </c>
      <c r="C22" s="50">
        <v>302475</v>
      </c>
      <c r="D22" s="50">
        <f>ROUND((99601.68/inputPrYr!$E$94)*inputPrYr!$E$95,0)+68000</f>
        <v>307044</v>
      </c>
      <c r="E22" s="50">
        <f>ROUND(D22*inputPrYr!$E$100-5900-9000,0)</f>
        <v>301355</v>
      </c>
      <c r="F22" s="703">
        <f>(E22-D22)/D22</f>
        <v>-1.8528289105144539E-2</v>
      </c>
    </row>
    <row r="23" spans="2:6">
      <c r="B23" s="691" t="s">
        <v>1045</v>
      </c>
      <c r="C23" s="50">
        <v>12141</v>
      </c>
      <c r="D23" s="50">
        <f>ROUND((6903.76/inputPrYr!$E$94)*inputPrYr!$E$95,0)</f>
        <v>16569</v>
      </c>
      <c r="E23" s="50">
        <f>ROUND(D23*inputPrYr!$E$100,0)</f>
        <v>17066</v>
      </c>
      <c r="F23" s="703">
        <f t="shared" ref="F23:F40" si="0">(E23-D23)/D23</f>
        <v>2.9995775242923531E-2</v>
      </c>
    </row>
    <row r="24" spans="2:6">
      <c r="B24" s="691" t="s">
        <v>1046</v>
      </c>
      <c r="C24" s="50">
        <v>4103</v>
      </c>
      <c r="D24" s="50">
        <f>ROUND((4171.64/inputPrYr!$E$94)*inputPrYr!$E$95,0)</f>
        <v>10012</v>
      </c>
      <c r="E24" s="50">
        <f>ROUND(D24*inputPrYr!$E$100,0)</f>
        <v>10312</v>
      </c>
      <c r="F24" s="703">
        <f t="shared" si="0"/>
        <v>2.9964043148222132E-2</v>
      </c>
    </row>
    <row r="25" spans="2:6">
      <c r="B25" s="691" t="s">
        <v>1047</v>
      </c>
      <c r="C25" s="50">
        <v>11132</v>
      </c>
      <c r="D25" s="50">
        <f>ROUND((3297.07/inputPrYr!$E$94)*inputPrYr!$E$95,0)</f>
        <v>7913</v>
      </c>
      <c r="E25" s="50">
        <f>ROUND(D25*inputPrYr!$E$100,0)</f>
        <v>8150</v>
      </c>
      <c r="F25" s="703">
        <f t="shared" si="0"/>
        <v>2.9950714014912169E-2</v>
      </c>
    </row>
    <row r="26" spans="2:6">
      <c r="B26" s="691" t="s">
        <v>1048</v>
      </c>
      <c r="C26" s="50">
        <v>15843</v>
      </c>
      <c r="D26" s="50">
        <f>ROUND((5107/inputPrYr!$E$94)*inputPrYr!$E$95,0)</f>
        <v>12257</v>
      </c>
      <c r="E26" s="50">
        <f>ROUND(D26*inputPrYr!$E$100,0)</f>
        <v>12625</v>
      </c>
      <c r="F26" s="703">
        <f t="shared" si="0"/>
        <v>3.0023659949416661E-2</v>
      </c>
    </row>
    <row r="27" spans="2:6">
      <c r="B27" s="691" t="s">
        <v>1049</v>
      </c>
      <c r="C27" s="50">
        <v>22677</v>
      </c>
      <c r="D27" s="50">
        <f>ROUND((28135/inputPrYr!$E$94)*inputPrYr!$E$95,0)-38000</f>
        <v>29524</v>
      </c>
      <c r="E27" s="50">
        <f>ROUND(D27*inputPrYr!$E$100,0)</f>
        <v>30410</v>
      </c>
      <c r="F27" s="703">
        <f t="shared" si="0"/>
        <v>3.0009483809781873E-2</v>
      </c>
    </row>
    <row r="28" spans="2:6">
      <c r="B28" s="691" t="s">
        <v>1050</v>
      </c>
      <c r="C28" s="50">
        <v>6870</v>
      </c>
      <c r="D28" s="50">
        <v>6950</v>
      </c>
      <c r="E28" s="50">
        <f>ROUND(D28*inputPrYr!$E$100,0)</f>
        <v>7159</v>
      </c>
      <c r="F28" s="703">
        <f t="shared" si="0"/>
        <v>3.0071942446043165E-2</v>
      </c>
    </row>
    <row r="29" spans="2:6">
      <c r="B29" s="691" t="s">
        <v>1051</v>
      </c>
      <c r="C29" s="50">
        <v>5385</v>
      </c>
      <c r="D29" s="50">
        <f>ROUND((807.14/inputPrYr!$E$94)*inputPrYr!$E$95,0)</f>
        <v>1937</v>
      </c>
      <c r="E29" s="50">
        <f>ROUND(D29*inputPrYr!$E$100,0)</f>
        <v>1995</v>
      </c>
      <c r="F29" s="703">
        <f t="shared" si="0"/>
        <v>2.9943211151264842E-2</v>
      </c>
    </row>
    <row r="30" spans="2:6">
      <c r="B30" s="691" t="s">
        <v>1052</v>
      </c>
      <c r="C30" s="50">
        <v>15652</v>
      </c>
      <c r="D30" s="50">
        <f>ROUND((5460.56/inputPrYr!$E$94)*inputPrYr!$E$95,0)</f>
        <v>13105</v>
      </c>
      <c r="E30" s="50">
        <f>ROUND(D30*inputPrYr!$E$100,0)</f>
        <v>13498</v>
      </c>
      <c r="F30" s="703">
        <f t="shared" si="0"/>
        <v>2.9988553987027853E-2</v>
      </c>
    </row>
    <row r="31" spans="2:6">
      <c r="B31" s="691" t="s">
        <v>1053</v>
      </c>
      <c r="C31" s="50">
        <v>88237</v>
      </c>
      <c r="D31" s="50">
        <f>ROUND((48221.15/inputPrYr!$E$94)*inputPrYr!$E$95,0)-23000</f>
        <v>92731</v>
      </c>
      <c r="E31" s="50">
        <f>ROUND(D31*inputPrYr!$E$100,0)+2229</f>
        <v>97742</v>
      </c>
      <c r="F31" s="703">
        <f t="shared" si="0"/>
        <v>5.4038023961781929E-2</v>
      </c>
    </row>
    <row r="32" spans="2:6">
      <c r="B32" s="691" t="s">
        <v>1054</v>
      </c>
      <c r="C32" s="50">
        <v>43076</v>
      </c>
      <c r="D32" s="50">
        <f>ROUND((22474.67/inputPrYr!$E$94)*inputPrYr!$E$95,0)</f>
        <v>53939</v>
      </c>
      <c r="E32" s="50">
        <f>ROUND(D32*inputPrYr!$E$100,0)</f>
        <v>55557</v>
      </c>
      <c r="F32" s="703">
        <f t="shared" si="0"/>
        <v>2.9996848291588645E-2</v>
      </c>
    </row>
    <row r="33" spans="2:6">
      <c r="B33" s="691" t="s">
        <v>1055</v>
      </c>
      <c r="C33" s="50">
        <v>726463</v>
      </c>
      <c r="D33" s="50">
        <f>ROUND((337225.05/inputPrYr!$E$94)*inputPrYr!$E$95,0)</f>
        <v>809340</v>
      </c>
      <c r="E33" s="50">
        <v>850000</v>
      </c>
      <c r="F33" s="703">
        <f t="shared" si="0"/>
        <v>5.0238465910494974E-2</v>
      </c>
    </row>
    <row r="34" spans="2:6">
      <c r="B34" s="691" t="s">
        <v>1056</v>
      </c>
      <c r="C34" s="50">
        <v>8035</v>
      </c>
      <c r="D34" s="50">
        <f>ROUND((3913.71/inputPrYr!$E$94)*inputPrYr!$E$95,0)</f>
        <v>9393</v>
      </c>
      <c r="E34" s="50">
        <f>ROUND(D34*inputPrYr!$E$100,0)</f>
        <v>9675</v>
      </c>
      <c r="F34" s="703">
        <f t="shared" si="0"/>
        <v>3.0022357074417118E-2</v>
      </c>
    </row>
    <row r="35" spans="2:6">
      <c r="B35" s="691" t="s">
        <v>1039</v>
      </c>
      <c r="C35" s="50">
        <v>50174</v>
      </c>
      <c r="D35" s="50">
        <f>ROUND((19539.34/inputPrYr!$E$94)*inputPrYr!$E$95,0)</f>
        <v>46894</v>
      </c>
      <c r="E35" s="50">
        <f>ROUND(D35*inputPrYr!$E$100,0)</f>
        <v>48301</v>
      </c>
      <c r="F35" s="703">
        <f t="shared" si="0"/>
        <v>3.0003838444150638E-2</v>
      </c>
    </row>
    <row r="36" spans="2:6">
      <c r="B36" s="691" t="s">
        <v>1041</v>
      </c>
      <c r="C36" s="50">
        <v>3574</v>
      </c>
      <c r="D36" s="50">
        <f>ROUND((737.08/inputPrYr!$E$94)*inputPrYr!$E$95,0)</f>
        <v>1769</v>
      </c>
      <c r="E36" s="50">
        <f>ROUND(D36*inputPrYr!$E$100,0)</f>
        <v>1822</v>
      </c>
      <c r="F36" s="703">
        <f t="shared" si="0"/>
        <v>2.9960429621254947E-2</v>
      </c>
    </row>
    <row r="37" spans="2:6">
      <c r="B37" s="691" t="s">
        <v>1057</v>
      </c>
      <c r="C37" s="50">
        <v>20259</v>
      </c>
      <c r="D37" s="50">
        <f>ROUND((16502.4/inputPrYr!$E$94)*inputPrYr!$E$95,0)-15000</f>
        <v>24606</v>
      </c>
      <c r="E37" s="50">
        <f>ROUND(D37*inputPrYr!$E$100,0)+3620</f>
        <v>28964</v>
      </c>
      <c r="F37" s="703">
        <f t="shared" si="0"/>
        <v>0.17711127367308788</v>
      </c>
    </row>
    <row r="38" spans="2:6">
      <c r="B38" s="691" t="s">
        <v>1058</v>
      </c>
      <c r="C38" s="50">
        <v>5446</v>
      </c>
      <c r="D38" s="50">
        <f>ROUND((1128.85/inputPrYr!$E$94)*inputPrYr!$E$95,0)</f>
        <v>2709</v>
      </c>
      <c r="E38" s="50">
        <f>ROUND(D38*inputPrYr!$E$100,0)</f>
        <v>2790</v>
      </c>
      <c r="F38" s="703">
        <f t="shared" si="0"/>
        <v>2.9900332225913623E-2</v>
      </c>
    </row>
    <row r="39" spans="2:6">
      <c r="B39" s="691" t="s">
        <v>1059</v>
      </c>
      <c r="C39" s="50">
        <v>14</v>
      </c>
      <c r="D39" s="50">
        <v>150</v>
      </c>
      <c r="E39" s="50">
        <f>ROUND(D39*inputPrYr!$E$100,0)</f>
        <v>155</v>
      </c>
      <c r="F39" s="703">
        <f t="shared" si="0"/>
        <v>3.3333333333333333E-2</v>
      </c>
    </row>
    <row r="40" spans="2:6">
      <c r="B40" s="691" t="s">
        <v>1060</v>
      </c>
      <c r="C40" s="50">
        <v>3812</v>
      </c>
      <c r="D40" s="50">
        <f>ROUND((691.01/inputPrYr!$E$94)*inputPrYr!$E$95,0)</f>
        <v>1658</v>
      </c>
      <c r="E40" s="50">
        <f>ROUND(D40*inputPrYr!$E$100,0)</f>
        <v>1708</v>
      </c>
      <c r="F40" s="703">
        <f t="shared" si="0"/>
        <v>3.0156815440289506E-2</v>
      </c>
    </row>
    <row r="41" spans="2:6">
      <c r="B41" s="691" t="s">
        <v>1033</v>
      </c>
      <c r="C41" s="50">
        <v>0</v>
      </c>
      <c r="D41" s="50">
        <v>0</v>
      </c>
      <c r="E41" s="50">
        <v>10000</v>
      </c>
      <c r="F41" s="703"/>
    </row>
    <row r="42" spans="2:6">
      <c r="B42" s="691" t="s">
        <v>1008</v>
      </c>
      <c r="C42" s="50"/>
      <c r="D42" s="50"/>
      <c r="E42" s="50"/>
    </row>
    <row r="43" spans="2:6">
      <c r="B43" s="691" t="s">
        <v>1061</v>
      </c>
      <c r="C43" s="50">
        <v>250000</v>
      </c>
      <c r="D43" s="50">
        <v>361000</v>
      </c>
      <c r="E43" s="50">
        <v>308000</v>
      </c>
    </row>
    <row r="44" spans="2:6">
      <c r="B44" s="691" t="s">
        <v>1062</v>
      </c>
      <c r="C44" s="50">
        <v>0</v>
      </c>
      <c r="D44" s="50">
        <v>10000</v>
      </c>
      <c r="E44" s="50">
        <v>76000</v>
      </c>
    </row>
    <row r="45" spans="2:6">
      <c r="B45" s="691" t="s">
        <v>1063</v>
      </c>
      <c r="C45" s="50">
        <v>75000</v>
      </c>
      <c r="D45" s="50">
        <v>10000</v>
      </c>
      <c r="E45" s="50">
        <v>81000</v>
      </c>
    </row>
    <row r="46" spans="2:6">
      <c r="B46" s="691" t="s">
        <v>1132</v>
      </c>
      <c r="C46" s="50">
        <f>-6782</f>
        <v>-6782</v>
      </c>
      <c r="D46" s="50"/>
      <c r="E46" s="225"/>
    </row>
    <row r="47" spans="2:6">
      <c r="B47" s="240" t="s">
        <v>270</v>
      </c>
      <c r="C47" s="50">
        <f>14382</f>
        <v>14382</v>
      </c>
      <c r="D47" s="50">
        <f>ROUND((1601.38/inputPrYr!$E$94)*inputPrYr!$E$95,0)</f>
        <v>3843</v>
      </c>
      <c r="E47" s="225"/>
    </row>
    <row r="48" spans="2:6">
      <c r="B48" s="240" t="s">
        <v>792</v>
      </c>
      <c r="C48" s="365" t="str">
        <f>IF(C49*0.1&lt;C47,"Exceed 10% Rule","")</f>
        <v/>
      </c>
      <c r="D48" s="254" t="str">
        <f>IF(D49*0.1&lt;D47,"Exceed 10% Rule","")</f>
        <v/>
      </c>
      <c r="E48" s="254" t="str">
        <f>IF(E49*0.1&lt;E47,"Exceed 10% Rule","")</f>
        <v/>
      </c>
    </row>
    <row r="49" spans="2:5">
      <c r="B49" s="233" t="s">
        <v>38</v>
      </c>
      <c r="C49" s="258">
        <f>SUM(C22:C47)</f>
        <v>1677968</v>
      </c>
      <c r="D49" s="258">
        <f>SUM(D22:D47)</f>
        <v>1833343</v>
      </c>
      <c r="E49" s="258">
        <f>SUM(E22:E47)</f>
        <v>1974284</v>
      </c>
    </row>
    <row r="50" spans="2:5">
      <c r="B50" s="131" t="s">
        <v>146</v>
      </c>
      <c r="C50" s="193">
        <f>C20-C49-6782</f>
        <v>125594</v>
      </c>
      <c r="D50" s="193">
        <f>D20-D49</f>
        <v>93322</v>
      </c>
      <c r="E50" s="193">
        <f>E20-E49</f>
        <v>0.63000000012107193</v>
      </c>
    </row>
    <row r="51" spans="2:5">
      <c r="B51" s="119" t="str">
        <f>CONCATENATE("",$E$1-2,"/",$E$1-1," Budget Authority Amount:")</f>
        <v>2011/2012 Budget Authority Amount:</v>
      </c>
      <c r="C51" s="183">
        <f>inputOth!B76</f>
        <v>1677968</v>
      </c>
      <c r="D51" s="183">
        <f>inputPrYr!D36</f>
        <v>1868221</v>
      </c>
      <c r="E51" s="391" t="str">
        <f>IF(E50&lt;0,"See Tab E","")</f>
        <v/>
      </c>
    </row>
    <row r="52" spans="2:5">
      <c r="B52" s="119"/>
      <c r="C52" s="244" t="str">
        <f>IF(C49&gt;C51,"See Tab A","")</f>
        <v/>
      </c>
      <c r="D52" s="244" t="str">
        <f>IF(D49&gt;D51,"See Tab C","")</f>
        <v/>
      </c>
      <c r="E52" s="51"/>
    </row>
    <row r="53" spans="2:5">
      <c r="B53" s="119"/>
      <c r="C53" s="244" t="str">
        <f>IF(C50&lt;0,"See Tab B","")</f>
        <v/>
      </c>
      <c r="D53" s="244" t="str">
        <f>IF(D50&lt;0,"See Tab D","")</f>
        <v/>
      </c>
      <c r="E53" s="51"/>
    </row>
    <row r="54" spans="2:5">
      <c r="B54" s="119" t="s">
        <v>41</v>
      </c>
      <c r="C54" s="249">
        <v>11</v>
      </c>
      <c r="D54" s="22"/>
      <c r="E54" s="22"/>
    </row>
  </sheetData>
  <phoneticPr fontId="0" type="noConversion"/>
  <conditionalFormatting sqref="C17">
    <cfRule type="cellIs" dxfId="79" priority="3" stopIfTrue="1" operator="greaterThan">
      <formula>$C$19*0.1</formula>
    </cfRule>
  </conditionalFormatting>
  <conditionalFormatting sqref="C47">
    <cfRule type="cellIs" dxfId="78" priority="6" stopIfTrue="1" operator="greaterThan">
      <formula>$C$49*0.1</formula>
    </cfRule>
  </conditionalFormatting>
  <conditionalFormatting sqref="E47">
    <cfRule type="cellIs" dxfId="77" priority="8" stopIfTrue="1" operator="greaterThan">
      <formula>$E$49*0.1</formula>
    </cfRule>
  </conditionalFormatting>
  <conditionalFormatting sqref="E50 C50">
    <cfRule type="cellIs" dxfId="76" priority="15" stopIfTrue="1" operator="lessThan">
      <formula>0</formula>
    </cfRule>
  </conditionalFormatting>
  <conditionalFormatting sqref="D49">
    <cfRule type="cellIs" dxfId="75" priority="18" stopIfTrue="1" operator="greaterThan">
      <formula>$D$51</formula>
    </cfRule>
  </conditionalFormatting>
  <conditionalFormatting sqref="C49">
    <cfRule type="cellIs" dxfId="74" priority="19" stopIfTrue="1" operator="greaterThan">
      <formula>$C$51</formula>
    </cfRule>
  </conditionalFormatting>
  <conditionalFormatting sqref="D50">
    <cfRule type="cellIs" dxfId="73" priority="1" stopIfTrue="1" operator="lessThan">
      <formula>0</formula>
    </cfRule>
  </conditionalFormatting>
  <pageMargins left="0.5" right="0.5" top="1" bottom="0.5" header="0.5" footer="0.5"/>
  <pageSetup scale="87" orientation="portrait" blackAndWhite="1"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54"/>
  <sheetViews>
    <sheetView topLeftCell="A22" workbookViewId="0">
      <selection activeCell="E39" sqref="E39"/>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St.Francis</v>
      </c>
      <c r="C1" s="22"/>
      <c r="D1" s="22"/>
      <c r="E1" s="212">
        <f>inputPrYr!C5</f>
        <v>2013</v>
      </c>
    </row>
    <row r="2" spans="2:5">
      <c r="B2" s="22"/>
      <c r="C2" s="22"/>
      <c r="D2" s="22"/>
      <c r="E2" s="147"/>
    </row>
    <row r="3" spans="2:5">
      <c r="B3" s="41" t="s">
        <v>91</v>
      </c>
      <c r="C3" s="257"/>
      <c r="D3" s="257"/>
      <c r="E3" s="257"/>
    </row>
    <row r="4" spans="2:5">
      <c r="B4" s="29" t="s">
        <v>24</v>
      </c>
      <c r="C4" s="604" t="s">
        <v>808</v>
      </c>
      <c r="D4" s="605" t="s">
        <v>809</v>
      </c>
      <c r="E4" s="125" t="s">
        <v>810</v>
      </c>
    </row>
    <row r="5" spans="2:5">
      <c r="B5" s="364" t="str">
        <f>(inputPrYr!B38)</f>
        <v>Sewer Utility</v>
      </c>
      <c r="C5" s="351" t="str">
        <f>CONCATENATE("Actual for ",E1-2,"")</f>
        <v>Actual for 2011</v>
      </c>
      <c r="D5" s="351" t="str">
        <f>CONCATENATE("Estimate for ",E1-1,"")</f>
        <v>Estimate for 2012</v>
      </c>
      <c r="E5" s="222" t="str">
        <f>CONCATENATE("Year for ",E1,"")</f>
        <v>Year for 2013</v>
      </c>
    </row>
    <row r="6" spans="2:5">
      <c r="B6" s="223" t="s">
        <v>145</v>
      </c>
      <c r="C6" s="50">
        <v>1937</v>
      </c>
      <c r="D6" s="193">
        <f>C22</f>
        <v>14551</v>
      </c>
      <c r="E6" s="193">
        <f>D22</f>
        <v>14848</v>
      </c>
    </row>
    <row r="7" spans="2:5">
      <c r="B7" s="226" t="s">
        <v>147</v>
      </c>
      <c r="C7" s="68"/>
      <c r="D7" s="68"/>
      <c r="E7" s="68"/>
    </row>
    <row r="8" spans="2:5">
      <c r="B8" s="239" t="s">
        <v>1036</v>
      </c>
      <c r="C8" s="50">
        <v>147181</v>
      </c>
      <c r="D8" s="50">
        <f>ROUND((60875.24/inputPrYr!$E$94)*inputPrYr!$E$95,0)+10000</f>
        <v>156101</v>
      </c>
      <c r="E8" s="50">
        <f>ROUND(D8*inputPrYr!$E$100,0)</f>
        <v>160784</v>
      </c>
    </row>
    <row r="9" spans="2:5">
      <c r="B9" s="139" t="s">
        <v>270</v>
      </c>
      <c r="C9" s="50"/>
      <c r="D9" s="225"/>
      <c r="E9" s="225"/>
    </row>
    <row r="10" spans="2:5">
      <c r="B10" s="223" t="s">
        <v>791</v>
      </c>
      <c r="C10" s="365" t="str">
        <f>IF(C11*0.1&lt;C9,"Exceed 10% Rule","")</f>
        <v/>
      </c>
      <c r="D10" s="254" t="str">
        <f>IF(D11*0.1&lt;D9,"Exceed 10% Rule","")</f>
        <v/>
      </c>
      <c r="E10" s="254" t="str">
        <f>IF(E11*0.1&lt;E9,"Exceed 10% Rule","")</f>
        <v/>
      </c>
    </row>
    <row r="11" spans="2:5">
      <c r="B11" s="233" t="s">
        <v>31</v>
      </c>
      <c r="C11" s="258">
        <f>SUM(C8:C9)</f>
        <v>147181</v>
      </c>
      <c r="D11" s="258">
        <f>SUM(D8:D9)</f>
        <v>156101</v>
      </c>
      <c r="E11" s="258">
        <f>SUM(E8:E9)</f>
        <v>160784</v>
      </c>
    </row>
    <row r="12" spans="2:5">
      <c r="B12" s="233" t="s">
        <v>32</v>
      </c>
      <c r="C12" s="258">
        <f>C6+C11</f>
        <v>149118</v>
      </c>
      <c r="D12" s="258">
        <f>D6+D11</f>
        <v>170652</v>
      </c>
      <c r="E12" s="258">
        <f>E6+E11</f>
        <v>175632</v>
      </c>
    </row>
    <row r="13" spans="2:5">
      <c r="B13" s="131" t="s">
        <v>34</v>
      </c>
      <c r="C13" s="193"/>
      <c r="D13" s="193"/>
      <c r="E13" s="193"/>
    </row>
    <row r="14" spans="2:5">
      <c r="B14" s="239" t="s">
        <v>1064</v>
      </c>
      <c r="C14" s="50">
        <v>18289</v>
      </c>
      <c r="D14" s="50">
        <v>19526</v>
      </c>
      <c r="E14" s="50">
        <f>ROUND(D14*inputPrYr!$E$100+15000+1842+10000+400,0)</f>
        <v>47354</v>
      </c>
    </row>
    <row r="15" spans="2:5">
      <c r="B15" s="239" t="s">
        <v>303</v>
      </c>
      <c r="C15" s="50">
        <v>31278</v>
      </c>
      <c r="D15" s="50">
        <v>31278</v>
      </c>
      <c r="E15" s="50">
        <v>31278</v>
      </c>
    </row>
    <row r="16" spans="2:5">
      <c r="B16" s="239" t="s">
        <v>1065</v>
      </c>
      <c r="C16" s="50"/>
      <c r="D16" s="50"/>
      <c r="E16" s="50"/>
    </row>
    <row r="17" spans="2:5">
      <c r="B17" s="239" t="s">
        <v>1061</v>
      </c>
      <c r="C17" s="50">
        <v>45000</v>
      </c>
      <c r="D17" s="50">
        <v>75000</v>
      </c>
      <c r="E17" s="50">
        <v>10000</v>
      </c>
    </row>
    <row r="18" spans="2:5">
      <c r="B18" s="239" t="s">
        <v>1066</v>
      </c>
      <c r="C18" s="50">
        <v>40000</v>
      </c>
      <c r="D18" s="50">
        <v>30000</v>
      </c>
      <c r="E18" s="50">
        <f>75000+12000</f>
        <v>87000</v>
      </c>
    </row>
    <row r="19" spans="2:5">
      <c r="B19" s="240" t="s">
        <v>270</v>
      </c>
      <c r="C19" s="50"/>
      <c r="D19" s="225"/>
      <c r="E19" s="225"/>
    </row>
    <row r="20" spans="2:5">
      <c r="B20" s="240" t="s">
        <v>792</v>
      </c>
      <c r="C20" s="365" t="str">
        <f>IF(C21*0.1&lt;C19,"Exceed 10% Rule","")</f>
        <v/>
      </c>
      <c r="D20" s="254" t="str">
        <f>IF(D21*0.1&lt;D19,"Exceed 10% Rule","")</f>
        <v/>
      </c>
      <c r="E20" s="254" t="str">
        <f>IF(E21*0.1&lt;E19,"Exceed 10% Rule","")</f>
        <v/>
      </c>
    </row>
    <row r="21" spans="2:5">
      <c r="B21" s="233" t="s">
        <v>38</v>
      </c>
      <c r="C21" s="258">
        <f>SUM(C14:C19)</f>
        <v>134567</v>
      </c>
      <c r="D21" s="258">
        <f>SUM(D14:D19)</f>
        <v>155804</v>
      </c>
      <c r="E21" s="258">
        <f>SUM(E14:E19)</f>
        <v>175632</v>
      </c>
    </row>
    <row r="22" spans="2:5">
      <c r="B22" s="131" t="s">
        <v>146</v>
      </c>
      <c r="C22" s="193">
        <f>C12-C21</f>
        <v>14551</v>
      </c>
      <c r="D22" s="193">
        <f>D12-D21</f>
        <v>14848</v>
      </c>
      <c r="E22" s="193">
        <f>E12-E21</f>
        <v>0</v>
      </c>
    </row>
    <row r="23" spans="2:5">
      <c r="B23" s="119" t="str">
        <f>CONCATENATE("",E1-2,"/",E1-1," Budget Authority Amount:")</f>
        <v>2011/2012 Budget Authority Amount:</v>
      </c>
      <c r="C23" s="183">
        <f>inputOth!B79</f>
        <v>160162</v>
      </c>
      <c r="D23" s="183">
        <f>inputPrYr!D38</f>
        <v>164916</v>
      </c>
      <c r="E23" s="391" t="str">
        <f>IF(E22&lt;0,"See Tab E","")</f>
        <v/>
      </c>
    </row>
    <row r="24" spans="2:5">
      <c r="B24" s="119"/>
      <c r="C24" s="244" t="str">
        <f>IF(C21&gt;C23,"See Tab A","")</f>
        <v/>
      </c>
      <c r="D24" s="244" t="str">
        <f>IF(D21&gt;D23,"See Tab C","")</f>
        <v/>
      </c>
      <c r="E24" s="51"/>
    </row>
    <row r="25" spans="2:5">
      <c r="B25" s="119"/>
      <c r="C25" s="244" t="str">
        <f>IF(C22&lt;0,"See Tab B","")</f>
        <v/>
      </c>
      <c r="D25" s="244" t="str">
        <f>IF(D22&lt;0,"See Tab D","")</f>
        <v/>
      </c>
      <c r="E25" s="51"/>
    </row>
    <row r="26" spans="2:5">
      <c r="B26" s="22"/>
      <c r="C26" s="51"/>
      <c r="D26" s="51"/>
      <c r="E26" s="51"/>
    </row>
    <row r="27" spans="2:5">
      <c r="B27" s="29" t="s">
        <v>24</v>
      </c>
      <c r="C27" s="263"/>
      <c r="D27" s="263"/>
      <c r="E27" s="263"/>
    </row>
    <row r="28" spans="2:5">
      <c r="B28" s="22"/>
      <c r="C28" s="247" t="str">
        <f t="shared" ref="C28:E29" si="0">C4</f>
        <v xml:space="preserve">Prior Year </v>
      </c>
      <c r="D28" s="125" t="str">
        <f t="shared" si="0"/>
        <v>Current Year</v>
      </c>
      <c r="E28" s="125" t="str">
        <f t="shared" si="0"/>
        <v>Proposed Budget</v>
      </c>
    </row>
    <row r="29" spans="2:5">
      <c r="B29" s="363" t="str">
        <f>(inputPrYr!B39)</f>
        <v>Refuse Utility</v>
      </c>
      <c r="C29" s="222" t="str">
        <f t="shared" si="0"/>
        <v>Actual for 2011</v>
      </c>
      <c r="D29" s="222" t="str">
        <f t="shared" si="0"/>
        <v>Estimate for 2012</v>
      </c>
      <c r="E29" s="222" t="str">
        <f t="shared" si="0"/>
        <v>Year for 2013</v>
      </c>
    </row>
    <row r="30" spans="2:5">
      <c r="B30" s="223" t="s">
        <v>145</v>
      </c>
      <c r="C30" s="50">
        <v>11913</v>
      </c>
      <c r="D30" s="193">
        <f>C49</f>
        <v>23541</v>
      </c>
      <c r="E30" s="193">
        <f>D49</f>
        <v>24314</v>
      </c>
    </row>
    <row r="31" spans="2:5">
      <c r="B31" s="223" t="s">
        <v>147</v>
      </c>
      <c r="C31" s="68"/>
      <c r="D31" s="68"/>
      <c r="E31" s="68"/>
    </row>
    <row r="32" spans="2:5">
      <c r="B32" s="239" t="s">
        <v>1036</v>
      </c>
      <c r="C32" s="50">
        <v>165519</v>
      </c>
      <c r="D32" s="50">
        <f>ROUND((68231/inputPrYr!$E$94)*inputPrYr!$E$95,0)+5500</f>
        <v>169254</v>
      </c>
      <c r="E32" s="50">
        <f>ROUND(D32*inputPrYr!$E$100,0)</f>
        <v>174332</v>
      </c>
    </row>
    <row r="33" spans="2:5">
      <c r="B33" s="139" t="s">
        <v>270</v>
      </c>
      <c r="C33" s="50">
        <v>0</v>
      </c>
      <c r="D33" s="225">
        <v>0</v>
      </c>
      <c r="E33" s="225">
        <v>0</v>
      </c>
    </row>
    <row r="34" spans="2:5">
      <c r="B34" s="223" t="s">
        <v>791</v>
      </c>
      <c r="C34" s="365" t="str">
        <f>IF(C35*0.1&lt;C33,"Exceed 10% Rule","")</f>
        <v/>
      </c>
      <c r="D34" s="254" t="str">
        <f>IF(D35*0.1&lt;D33,"Exceed 10% Rule","")</f>
        <v/>
      </c>
      <c r="E34" s="254" t="str">
        <f>IF(E35*0.1&lt;E33,"Exceed 10% Rule","")</f>
        <v/>
      </c>
    </row>
    <row r="35" spans="2:5">
      <c r="B35" s="233" t="s">
        <v>31</v>
      </c>
      <c r="C35" s="258">
        <f>SUM(C32:C33)</f>
        <v>165519</v>
      </c>
      <c r="D35" s="258">
        <f>SUM(D32:D33)</f>
        <v>169254</v>
      </c>
      <c r="E35" s="258">
        <f>SUM(E32:E33)</f>
        <v>174332</v>
      </c>
    </row>
    <row r="36" spans="2:5">
      <c r="B36" s="233" t="s">
        <v>32</v>
      </c>
      <c r="C36" s="258">
        <f>C30+C35</f>
        <v>177432</v>
      </c>
      <c r="D36" s="258">
        <f>D30+D35</f>
        <v>192795</v>
      </c>
      <c r="E36" s="258">
        <f>E30+E35</f>
        <v>198646</v>
      </c>
    </row>
    <row r="37" spans="2:5">
      <c r="B37" s="131" t="s">
        <v>34</v>
      </c>
      <c r="C37" s="193"/>
      <c r="D37" s="193"/>
      <c r="E37" s="193"/>
    </row>
    <row r="38" spans="2:5">
      <c r="B38" s="691" t="s">
        <v>1044</v>
      </c>
      <c r="C38" s="50">
        <v>51897</v>
      </c>
      <c r="D38" s="50">
        <f>ROUND((18524.81/inputPrYr!$E$94)*inputPrYr!$E$95,0)+9000</f>
        <v>53460</v>
      </c>
      <c r="E38" s="50">
        <f>ROUND(D38*inputPrYr!$E$100+360,0)</f>
        <v>55424</v>
      </c>
    </row>
    <row r="39" spans="2:5">
      <c r="B39" s="691" t="s">
        <v>1067</v>
      </c>
      <c r="C39" s="50">
        <v>7806</v>
      </c>
      <c r="D39" s="50">
        <v>8000</v>
      </c>
      <c r="E39" s="50">
        <f>ROUND(D39*inputPrYr!$E$100,0)</f>
        <v>8240</v>
      </c>
    </row>
    <row r="40" spans="2:5">
      <c r="B40" s="691" t="s">
        <v>1049</v>
      </c>
      <c r="C40" s="50">
        <v>911</v>
      </c>
      <c r="D40" s="50">
        <v>2727</v>
      </c>
      <c r="E40" s="50">
        <f>ROUND(D40*inputPrYr!$E$100,0)</f>
        <v>2809</v>
      </c>
    </row>
    <row r="41" spans="2:5">
      <c r="B41" s="691" t="s">
        <v>1068</v>
      </c>
      <c r="C41" s="50">
        <v>23497</v>
      </c>
      <c r="D41" s="50">
        <f>ROUND((8997.3/inputPrYr!$E$94)*inputPrYr!$E$95,0)+2500</f>
        <v>24094</v>
      </c>
      <c r="E41" s="50">
        <f>ROUND(D41*inputPrYr!$E$100,0)</f>
        <v>24817</v>
      </c>
    </row>
    <row r="42" spans="2:5">
      <c r="B42" s="691" t="s">
        <v>1069</v>
      </c>
      <c r="C42" s="50">
        <v>4320</v>
      </c>
      <c r="D42" s="50">
        <v>5200</v>
      </c>
      <c r="E42" s="50">
        <f>ROUND(D42*inputPrYr!$E$100,0)</f>
        <v>5356</v>
      </c>
    </row>
    <row r="43" spans="2:5">
      <c r="B43" s="691" t="s">
        <v>1008</v>
      </c>
      <c r="C43" s="50"/>
      <c r="D43" s="50"/>
      <c r="E43" s="50"/>
    </row>
    <row r="44" spans="2:5">
      <c r="B44" s="691" t="s">
        <v>1061</v>
      </c>
      <c r="C44" s="50">
        <v>45000</v>
      </c>
      <c r="D44" s="50">
        <v>60000</v>
      </c>
      <c r="E44" s="50">
        <v>10000</v>
      </c>
    </row>
    <row r="45" spans="2:5">
      <c r="B45" s="691" t="s">
        <v>1066</v>
      </c>
      <c r="C45" s="50">
        <v>20000</v>
      </c>
      <c r="D45" s="50">
        <v>15000</v>
      </c>
      <c r="E45" s="50">
        <v>92000</v>
      </c>
    </row>
    <row r="46" spans="2:5">
      <c r="B46" s="240" t="s">
        <v>270</v>
      </c>
      <c r="C46" s="50">
        <v>460</v>
      </c>
      <c r="D46" s="225"/>
      <c r="E46" s="225"/>
    </row>
    <row r="47" spans="2:5">
      <c r="B47" s="240" t="s">
        <v>792</v>
      </c>
      <c r="C47" s="365" t="str">
        <f>IF(C48*0.1&lt;C46,"Exceed 10% Rule","")</f>
        <v/>
      </c>
      <c r="D47" s="254" t="str">
        <f>IF(D48*0.1&lt;D46,"Exceed 10% Rule","")</f>
        <v/>
      </c>
      <c r="E47" s="254" t="str">
        <f>IF(E48*0.1&lt;E46,"Exceed 10% Rule","")</f>
        <v/>
      </c>
    </row>
    <row r="48" spans="2:5">
      <c r="B48" s="233" t="s">
        <v>38</v>
      </c>
      <c r="C48" s="258">
        <f>SUM(C38:C46)</f>
        <v>153891</v>
      </c>
      <c r="D48" s="258">
        <f>SUM(D38:D46)</f>
        <v>168481</v>
      </c>
      <c r="E48" s="258">
        <f>SUM(E38:E46)</f>
        <v>198646</v>
      </c>
    </row>
    <row r="49" spans="2:5">
      <c r="B49" s="131" t="s">
        <v>146</v>
      </c>
      <c r="C49" s="193">
        <f>C36-C48</f>
        <v>23541</v>
      </c>
      <c r="D49" s="193">
        <f>D36-D48</f>
        <v>24314</v>
      </c>
      <c r="E49" s="193">
        <f>E36-E48</f>
        <v>0</v>
      </c>
    </row>
    <row r="50" spans="2:5">
      <c r="B50" s="119" t="str">
        <f>CONCATENATE("",E1-2,"/",E1-1," Budget Authority Amount:")</f>
        <v>2011/2012 Budget Authority Amount:</v>
      </c>
      <c r="C50" s="183">
        <f>inputOth!B80</f>
        <v>160450</v>
      </c>
      <c r="D50" s="183">
        <f>inputPrYr!D39</f>
        <v>187549</v>
      </c>
      <c r="E50" s="391" t="str">
        <f>IF(E49&lt;0,"See Tab E","")</f>
        <v/>
      </c>
    </row>
    <row r="51" spans="2:5">
      <c r="B51" s="119"/>
      <c r="C51" s="244" t="str">
        <f>IF(C48&gt;C50,"See Tab A","")</f>
        <v/>
      </c>
      <c r="D51" s="244" t="str">
        <f>IF(D48&gt;D50,"See Tab C","")</f>
        <v/>
      </c>
      <c r="E51" s="58"/>
    </row>
    <row r="52" spans="2:5">
      <c r="B52" s="119"/>
      <c r="C52" s="244" t="str">
        <f>IF(C49&lt;0,"See Tab B","")</f>
        <v/>
      </c>
      <c r="D52" s="244" t="str">
        <f>IF(D49&lt;0,"See Tab D","")</f>
        <v/>
      </c>
      <c r="E52" s="58"/>
    </row>
    <row r="53" spans="2:5">
      <c r="B53" s="22"/>
      <c r="C53" s="22"/>
      <c r="D53" s="22"/>
      <c r="E53" s="22"/>
    </row>
    <row r="54" spans="2:5">
      <c r="B54" s="119" t="s">
        <v>41</v>
      </c>
      <c r="C54" s="249">
        <v>12</v>
      </c>
      <c r="D54" s="22"/>
      <c r="E54" s="22"/>
    </row>
  </sheetData>
  <phoneticPr fontId="0" type="noConversion"/>
  <conditionalFormatting sqref="C9">
    <cfRule type="cellIs" dxfId="72" priority="3" stopIfTrue="1" operator="greaterThan">
      <formula>$C$11*0.1</formula>
    </cfRule>
  </conditionalFormatting>
  <conditionalFormatting sqref="D9">
    <cfRule type="cellIs" dxfId="71" priority="4" stopIfTrue="1" operator="greaterThan">
      <formula>$D$11*0.1</formula>
    </cfRule>
  </conditionalFormatting>
  <conditionalFormatting sqref="E9">
    <cfRule type="cellIs" dxfId="70" priority="5" stopIfTrue="1" operator="greaterThan">
      <formula>$E$11*0.1</formula>
    </cfRule>
  </conditionalFormatting>
  <conditionalFormatting sqref="C19">
    <cfRule type="cellIs" dxfId="69" priority="6" stopIfTrue="1" operator="greaterThan">
      <formula>$C$21*0.1</formula>
    </cfRule>
  </conditionalFormatting>
  <conditionalFormatting sqref="D19">
    <cfRule type="cellIs" dxfId="68" priority="7" stopIfTrue="1" operator="greaterThan">
      <formula>$D$21*0.1</formula>
    </cfRule>
  </conditionalFormatting>
  <conditionalFormatting sqref="E19">
    <cfRule type="cellIs" dxfId="67" priority="8" stopIfTrue="1" operator="greaterThan">
      <formula>$E$21*0.1</formula>
    </cfRule>
  </conditionalFormatting>
  <conditionalFormatting sqref="C33">
    <cfRule type="cellIs" dxfId="66" priority="9" stopIfTrue="1" operator="greaterThan">
      <formula>$C$35*0.1</formula>
    </cfRule>
  </conditionalFormatting>
  <conditionalFormatting sqref="D33">
    <cfRule type="cellIs" dxfId="65" priority="10" stopIfTrue="1" operator="greaterThan">
      <formula>$D$35*0.1</formula>
    </cfRule>
  </conditionalFormatting>
  <conditionalFormatting sqref="E33">
    <cfRule type="cellIs" dxfId="64" priority="11" stopIfTrue="1" operator="greaterThan">
      <formula>$E$35*0.1</formula>
    </cfRule>
  </conditionalFormatting>
  <conditionalFormatting sqref="C46">
    <cfRule type="cellIs" dxfId="63" priority="12" stopIfTrue="1" operator="greaterThan">
      <formula>$C$48*0.1</formula>
    </cfRule>
  </conditionalFormatting>
  <conditionalFormatting sqref="D46">
    <cfRule type="cellIs" dxfId="62" priority="13" stopIfTrue="1" operator="greaterThan">
      <formula>$D$48*0.1</formula>
    </cfRule>
  </conditionalFormatting>
  <conditionalFormatting sqref="E46">
    <cfRule type="cellIs" dxfId="61" priority="14" stopIfTrue="1" operator="greaterThan">
      <formula>$E$48*0.1</formula>
    </cfRule>
  </conditionalFormatting>
  <conditionalFormatting sqref="E49 C49 E22 C22">
    <cfRule type="cellIs" dxfId="60" priority="15" stopIfTrue="1" operator="lessThan">
      <formula>0</formula>
    </cfRule>
  </conditionalFormatting>
  <conditionalFormatting sqref="D48">
    <cfRule type="cellIs" dxfId="59" priority="16" stopIfTrue="1" operator="greaterThan">
      <formula>$D$50</formula>
    </cfRule>
  </conditionalFormatting>
  <conditionalFormatting sqref="C48">
    <cfRule type="cellIs" dxfId="58" priority="17" stopIfTrue="1" operator="greaterThan">
      <formula>$C$50</formula>
    </cfRule>
  </conditionalFormatting>
  <conditionalFormatting sqref="D21">
    <cfRule type="cellIs" dxfId="57" priority="18" stopIfTrue="1" operator="greaterThan">
      <formula>$D$23</formula>
    </cfRule>
  </conditionalFormatting>
  <conditionalFormatting sqref="C21">
    <cfRule type="cellIs" dxfId="56" priority="19" stopIfTrue="1" operator="greaterThan">
      <formula>$C$23</formula>
    </cfRule>
  </conditionalFormatting>
  <conditionalFormatting sqref="D49">
    <cfRule type="cellIs" dxfId="55" priority="2" stopIfTrue="1" operator="lessThan">
      <formula>0</formula>
    </cfRule>
  </conditionalFormatting>
  <conditionalFormatting sqref="D22">
    <cfRule type="cellIs" dxfId="54" priority="1" stopIfTrue="1" operator="lessThan">
      <formula>0</formula>
    </cfRule>
  </conditionalFormatting>
  <pageMargins left="0.5" right="0.5" top="1" bottom="0.5" header="0.5" footer="0.5"/>
  <pageSetup scale="87" orientation="portrait" blackAndWhite="1" horizontalDpi="120" verticalDpi="144" r:id="rId1"/>
  <headerFooter alignWithMargins="0">
    <oddHeader xml:space="preserve">&amp;RState of Kansas
City
</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6"/>
  <sheetViews>
    <sheetView workbookViewId="0">
      <selection activeCell="E26" sqref="E26"/>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St.Francis</v>
      </c>
      <c r="C1" s="22"/>
      <c r="D1" s="22"/>
      <c r="E1" s="212">
        <f>inputPrYr!C5</f>
        <v>2013</v>
      </c>
    </row>
    <row r="2" spans="2:5">
      <c r="B2" s="22"/>
      <c r="C2" s="22"/>
      <c r="D2" s="22"/>
      <c r="E2" s="147"/>
    </row>
    <row r="3" spans="2:5">
      <c r="B3" s="41" t="s">
        <v>91</v>
      </c>
      <c r="C3" s="257"/>
      <c r="D3" s="257"/>
      <c r="E3" s="257"/>
    </row>
    <row r="4" spans="2:5">
      <c r="B4" s="29" t="s">
        <v>24</v>
      </c>
      <c r="C4" s="604" t="s">
        <v>808</v>
      </c>
      <c r="D4" s="605" t="s">
        <v>809</v>
      </c>
      <c r="E4" s="125" t="s">
        <v>810</v>
      </c>
    </row>
    <row r="5" spans="2:5">
      <c r="B5" s="364" t="str">
        <f>inputPrYr!B40</f>
        <v>Theatre Enterprise</v>
      </c>
      <c r="C5" s="351" t="str">
        <f>CONCATENATE("Actual for ",E1-2,"")</f>
        <v>Actual for 2011</v>
      </c>
      <c r="D5" s="351" t="str">
        <f>CONCATENATE("Estimate for ",E1-1,"")</f>
        <v>Estimate for 2012</v>
      </c>
      <c r="E5" s="222" t="str">
        <f>CONCATENATE("Year for ",E1,"")</f>
        <v>Year for 2013</v>
      </c>
    </row>
    <row r="6" spans="2:5">
      <c r="B6" s="223" t="s">
        <v>145</v>
      </c>
      <c r="C6" s="50">
        <v>12928</v>
      </c>
      <c r="D6" s="193">
        <f>C30</f>
        <v>14654</v>
      </c>
      <c r="E6" s="193">
        <f>D30</f>
        <v>16397.260000000009</v>
      </c>
    </row>
    <row r="7" spans="2:5">
      <c r="B7" s="226" t="s">
        <v>147</v>
      </c>
      <c r="C7" s="68"/>
      <c r="D7" s="68"/>
      <c r="E7" s="68"/>
    </row>
    <row r="8" spans="2:5">
      <c r="B8" s="697" t="s">
        <v>1070</v>
      </c>
      <c r="C8" s="50">
        <v>38251</v>
      </c>
      <c r="D8" s="50">
        <f>C8*1.01</f>
        <v>38633.51</v>
      </c>
      <c r="E8" s="50">
        <f>ROUND(D8*inputPrYr!$E$100,0)</f>
        <v>39793</v>
      </c>
    </row>
    <row r="9" spans="2:5">
      <c r="B9" s="691" t="s">
        <v>1071</v>
      </c>
      <c r="C9" s="50">
        <v>21359</v>
      </c>
      <c r="D9" s="50">
        <f>C9*1.01</f>
        <v>21572.59</v>
      </c>
      <c r="E9" s="50">
        <f>ROUND(D9*inputPrYr!$E$100,0)</f>
        <v>22220</v>
      </c>
    </row>
    <row r="10" spans="2:5">
      <c r="B10" s="266" t="s">
        <v>30</v>
      </c>
      <c r="C10" s="50">
        <v>11</v>
      </c>
      <c r="D10" s="50">
        <f>C10*1.01</f>
        <v>11.11</v>
      </c>
      <c r="E10" s="50">
        <f>ROUND(D10*inputPrYr!$E$100,0)</f>
        <v>11</v>
      </c>
    </row>
    <row r="11" spans="2:5">
      <c r="B11" s="139" t="s">
        <v>270</v>
      </c>
      <c r="C11" s="50">
        <v>810</v>
      </c>
      <c r="D11" s="50">
        <f>C11*1.01</f>
        <v>818.1</v>
      </c>
      <c r="E11" s="50">
        <f>ROUND(D11*inputPrYr!$E$100,0)</f>
        <v>843</v>
      </c>
    </row>
    <row r="12" spans="2:5">
      <c r="B12" s="223" t="s">
        <v>791</v>
      </c>
      <c r="C12" s="365" t="str">
        <f>IF(C13*0.1&lt;C11,"Exceed 10% Rule","")</f>
        <v/>
      </c>
      <c r="D12" s="254" t="str">
        <f>IF(D13*0.1&lt;D11,"Exceed 10% Rule","")</f>
        <v/>
      </c>
      <c r="E12" s="254" t="str">
        <f>IF(E13*0.1&lt;E11,"Exceed 10% Rule","")</f>
        <v/>
      </c>
    </row>
    <row r="13" spans="2:5">
      <c r="B13" s="233" t="s">
        <v>31</v>
      </c>
      <c r="C13" s="258">
        <f>SUM(C8:C11)</f>
        <v>60431</v>
      </c>
      <c r="D13" s="258">
        <f>SUM(D8:D11)</f>
        <v>61035.310000000005</v>
      </c>
      <c r="E13" s="258">
        <f>SUM(E8:E11)</f>
        <v>62867</v>
      </c>
    </row>
    <row r="14" spans="2:5">
      <c r="B14" s="233" t="s">
        <v>32</v>
      </c>
      <c r="C14" s="258">
        <f>C6+C13</f>
        <v>73359</v>
      </c>
      <c r="D14" s="258">
        <f>D6+D13</f>
        <v>75689.31</v>
      </c>
      <c r="E14" s="258">
        <f>E6+E13</f>
        <v>79264.260000000009</v>
      </c>
    </row>
    <row r="15" spans="2:5">
      <c r="B15" s="131" t="s">
        <v>34</v>
      </c>
      <c r="C15" s="193"/>
      <c r="D15" s="193"/>
      <c r="E15" s="193"/>
    </row>
    <row r="16" spans="2:5">
      <c r="B16" s="691" t="s">
        <v>181</v>
      </c>
      <c r="C16" s="50">
        <v>18222</v>
      </c>
      <c r="D16" s="50">
        <f t="shared" ref="D16:D26" si="0">C16*1.01</f>
        <v>18404.22</v>
      </c>
      <c r="E16" s="50">
        <f>ROUND(D16*inputPrYr!$E$100,0)</f>
        <v>18956</v>
      </c>
    </row>
    <row r="17" spans="2:5">
      <c r="B17" s="691" t="s">
        <v>1072</v>
      </c>
      <c r="C17" s="50">
        <v>16276</v>
      </c>
      <c r="D17" s="50">
        <f t="shared" si="0"/>
        <v>16438.759999999998</v>
      </c>
      <c r="E17" s="50">
        <f>ROUND(D17*inputPrYr!$E$100,0)</f>
        <v>16932</v>
      </c>
    </row>
    <row r="18" spans="2:5">
      <c r="B18" s="691" t="s">
        <v>1073</v>
      </c>
      <c r="C18" s="50">
        <v>1785</v>
      </c>
      <c r="D18" s="50">
        <f t="shared" si="0"/>
        <v>1802.85</v>
      </c>
      <c r="E18" s="50">
        <f>ROUND(D18*inputPrYr!$E$100,0)</f>
        <v>1857</v>
      </c>
    </row>
    <row r="19" spans="2:5">
      <c r="B19" s="691" t="s">
        <v>1039</v>
      </c>
      <c r="C19" s="50">
        <v>4252</v>
      </c>
      <c r="D19" s="50">
        <f t="shared" si="0"/>
        <v>4294.5200000000004</v>
      </c>
      <c r="E19" s="50">
        <f>ROUND(D19*inputPrYr!$E$100,0)</f>
        <v>4423</v>
      </c>
    </row>
    <row r="20" spans="2:5">
      <c r="B20" s="691" t="s">
        <v>1074</v>
      </c>
      <c r="C20" s="50">
        <v>9363</v>
      </c>
      <c r="D20" s="50">
        <f t="shared" si="0"/>
        <v>9456.6299999999992</v>
      </c>
      <c r="E20" s="50">
        <f>ROUND(D20*inputPrYr!$E$100,0)</f>
        <v>9740</v>
      </c>
    </row>
    <row r="21" spans="2:5">
      <c r="B21" s="691" t="s">
        <v>1075</v>
      </c>
      <c r="C21" s="50">
        <v>2219</v>
      </c>
      <c r="D21" s="50">
        <f t="shared" si="0"/>
        <v>2241.19</v>
      </c>
      <c r="E21" s="50">
        <f>ROUND(D21*inputPrYr!$E$100,0)</f>
        <v>2308</v>
      </c>
    </row>
    <row r="22" spans="2:5">
      <c r="B22" s="691" t="s">
        <v>1076</v>
      </c>
      <c r="C22" s="50">
        <v>1488</v>
      </c>
      <c r="D22" s="50">
        <f t="shared" si="0"/>
        <v>1502.88</v>
      </c>
      <c r="E22" s="50">
        <f>ROUND(D22*inputPrYr!$E$100,0)</f>
        <v>1548</v>
      </c>
    </row>
    <row r="23" spans="2:5">
      <c r="B23" s="691" t="s">
        <v>1077</v>
      </c>
      <c r="C23" s="50">
        <v>37</v>
      </c>
      <c r="D23" s="50">
        <f t="shared" si="0"/>
        <v>37.369999999999997</v>
      </c>
      <c r="E23" s="50">
        <f>ROUND(D23*inputPrYr!$E$100,0)</f>
        <v>38</v>
      </c>
    </row>
    <row r="24" spans="2:5">
      <c r="B24" s="691" t="s">
        <v>1078</v>
      </c>
      <c r="C24" s="50">
        <v>1543</v>
      </c>
      <c r="D24" s="50">
        <f t="shared" si="0"/>
        <v>1558.43</v>
      </c>
      <c r="E24" s="50">
        <f>ROUND(D24*inputPrYr!$E$100,0)</f>
        <v>1605</v>
      </c>
    </row>
    <row r="25" spans="2:5">
      <c r="B25" s="691" t="s">
        <v>1079</v>
      </c>
      <c r="C25" s="50">
        <v>200</v>
      </c>
      <c r="D25" s="50">
        <f t="shared" si="0"/>
        <v>202</v>
      </c>
      <c r="E25" s="50">
        <f>ROUND(D25*inputPrYr!$E$100,0)+3</f>
        <v>211</v>
      </c>
    </row>
    <row r="26" spans="2:5">
      <c r="B26" s="691" t="s">
        <v>1080</v>
      </c>
      <c r="C26" s="50">
        <v>3320</v>
      </c>
      <c r="D26" s="50">
        <f t="shared" si="0"/>
        <v>3353.2</v>
      </c>
      <c r="E26" s="50">
        <v>21646</v>
      </c>
    </row>
    <row r="27" spans="2:5">
      <c r="B27" s="240" t="s">
        <v>270</v>
      </c>
      <c r="C27" s="50">
        <v>0</v>
      </c>
      <c r="D27" s="225">
        <v>0</v>
      </c>
      <c r="E27" s="50">
        <f>D27*inputPrYr!$E$100</f>
        <v>0</v>
      </c>
    </row>
    <row r="28" spans="2:5">
      <c r="B28" s="240" t="s">
        <v>792</v>
      </c>
      <c r="C28" s="365" t="str">
        <f>IF(C29*0.1&lt;C27,"Exceed 10% Rule","")</f>
        <v/>
      </c>
      <c r="D28" s="254" t="str">
        <f>IF(D29*0.1&lt;D27,"Exceed 10% Rule","")</f>
        <v/>
      </c>
      <c r="E28" s="254" t="str">
        <f>IF(E29*0.1&lt;E27,"Exceed 10% Rule","")</f>
        <v/>
      </c>
    </row>
    <row r="29" spans="2:5">
      <c r="B29" s="233" t="s">
        <v>38</v>
      </c>
      <c r="C29" s="258">
        <f>SUM(C16:C27)</f>
        <v>58705</v>
      </c>
      <c r="D29" s="258">
        <f>SUM(D16:D27)</f>
        <v>59292.049999999988</v>
      </c>
      <c r="E29" s="258">
        <f>SUM(E16:E27)</f>
        <v>79264</v>
      </c>
    </row>
    <row r="30" spans="2:5">
      <c r="B30" s="131" t="s">
        <v>146</v>
      </c>
      <c r="C30" s="193">
        <f>C14-C29</f>
        <v>14654</v>
      </c>
      <c r="D30" s="193">
        <f>D14-D29</f>
        <v>16397.260000000009</v>
      </c>
      <c r="E30" s="193">
        <f>E14-E29</f>
        <v>0.26000000000931323</v>
      </c>
    </row>
    <row r="31" spans="2:5">
      <c r="B31" s="119" t="str">
        <f>CONCATENATE("",E1-2,"/",E1-1," Budget Authority Amount:")</f>
        <v>2011/2012 Budget Authority Amount:</v>
      </c>
      <c r="C31" s="183">
        <f>inputOth!B81</f>
        <v>62123</v>
      </c>
      <c r="D31" s="183">
        <f>inputPrYr!D40</f>
        <v>60139</v>
      </c>
      <c r="E31" s="391" t="str">
        <f>IF(E30&lt;0,"See Tab E","")</f>
        <v/>
      </c>
    </row>
    <row r="32" spans="2:5">
      <c r="B32" s="119"/>
      <c r="C32" s="244" t="str">
        <f>IF(C29&gt;C31,"See Tab A","")</f>
        <v/>
      </c>
      <c r="D32" s="244" t="str">
        <f>IF(D29&gt;D31,"See Tab C","")</f>
        <v/>
      </c>
      <c r="E32" s="58"/>
    </row>
    <row r="33" spans="2:5">
      <c r="B33" s="119"/>
      <c r="C33" s="244" t="str">
        <f>IF(C30&lt;0,"See Tab B","")</f>
        <v/>
      </c>
      <c r="D33" s="244" t="str">
        <f>IF(D30&lt;0,"See Tab D","")</f>
        <v/>
      </c>
      <c r="E33" s="58"/>
    </row>
    <row r="34" spans="2:5">
      <c r="B34" s="61"/>
      <c r="C34" s="58"/>
      <c r="D34" s="58"/>
      <c r="E34" s="58"/>
    </row>
    <row r="35" spans="2:5">
      <c r="B35" s="22"/>
      <c r="C35" s="51"/>
      <c r="D35" s="51"/>
      <c r="E35" s="51"/>
    </row>
    <row r="36" spans="2:5">
      <c r="B36" s="29" t="s">
        <v>24</v>
      </c>
      <c r="C36" s="263"/>
      <c r="D36" s="263"/>
      <c r="E36" s="263"/>
    </row>
    <row r="37" spans="2:5">
      <c r="B37" s="22"/>
      <c r="C37" s="247" t="str">
        <f t="shared" ref="C37:E38" si="1">C4</f>
        <v xml:space="preserve">Prior Year </v>
      </c>
      <c r="D37" s="125" t="str">
        <f t="shared" si="1"/>
        <v>Current Year</v>
      </c>
      <c r="E37" s="125" t="str">
        <f t="shared" si="1"/>
        <v>Proposed Budget</v>
      </c>
    </row>
    <row r="38" spans="2:5">
      <c r="B38" s="363" t="str">
        <f>inputPrYr!B41</f>
        <v>Tourism &amp; Convention</v>
      </c>
      <c r="C38" s="222" t="str">
        <f t="shared" si="1"/>
        <v>Actual for 2011</v>
      </c>
      <c r="D38" s="222" t="str">
        <f t="shared" si="1"/>
        <v>Estimate for 2012</v>
      </c>
      <c r="E38" s="222" t="str">
        <f t="shared" si="1"/>
        <v>Year for 2013</v>
      </c>
    </row>
    <row r="39" spans="2:5">
      <c r="B39" s="223" t="s">
        <v>145</v>
      </c>
      <c r="C39" s="50">
        <v>7627</v>
      </c>
      <c r="D39" s="193">
        <f>C51</f>
        <v>10515</v>
      </c>
      <c r="E39" s="193">
        <f>D51</f>
        <v>9064</v>
      </c>
    </row>
    <row r="40" spans="2:5">
      <c r="B40" s="223" t="s">
        <v>147</v>
      </c>
      <c r="C40" s="68"/>
      <c r="D40" s="68"/>
      <c r="E40" s="68"/>
    </row>
    <row r="41" spans="2:5">
      <c r="B41" s="239" t="s">
        <v>1081</v>
      </c>
      <c r="C41" s="50">
        <v>4576</v>
      </c>
      <c r="D41" s="50">
        <f>ROUND((2451.44/inputPrYr!$E$94)*inputPrYr!$E$95,0)</f>
        <v>5883</v>
      </c>
      <c r="E41" s="50">
        <v>5600</v>
      </c>
    </row>
    <row r="42" spans="2:5">
      <c r="B42" s="139" t="s">
        <v>270</v>
      </c>
      <c r="C42" s="50">
        <v>200</v>
      </c>
      <c r="D42" s="225">
        <v>200</v>
      </c>
      <c r="E42" s="225">
        <v>0</v>
      </c>
    </row>
    <row r="43" spans="2:5">
      <c r="B43" s="223" t="s">
        <v>791</v>
      </c>
      <c r="C43" s="365" t="str">
        <f>IF(C44*0.1&lt;C42,"Exceed 10% Rule","")</f>
        <v/>
      </c>
      <c r="D43" s="254" t="str">
        <f>IF(D44*0.1&lt;D42,"Exceed 10% Rule","")</f>
        <v/>
      </c>
      <c r="E43" s="254" t="str">
        <f>IF(E44*0.1&lt;E42,"Exceed 10% Rule","")</f>
        <v/>
      </c>
    </row>
    <row r="44" spans="2:5">
      <c r="B44" s="233" t="s">
        <v>31</v>
      </c>
      <c r="C44" s="258">
        <f>SUM(C41:C42)</f>
        <v>4776</v>
      </c>
      <c r="D44" s="258">
        <f>SUM(D41:D42)</f>
        <v>6083</v>
      </c>
      <c r="E44" s="258">
        <f>SUM(E41:E42)</f>
        <v>5600</v>
      </c>
    </row>
    <row r="45" spans="2:5">
      <c r="B45" s="233" t="s">
        <v>32</v>
      </c>
      <c r="C45" s="258">
        <f>C39+C44</f>
        <v>12403</v>
      </c>
      <c r="D45" s="258">
        <f>D39+D44</f>
        <v>16598</v>
      </c>
      <c r="E45" s="258">
        <f>E39+E44</f>
        <v>14664</v>
      </c>
    </row>
    <row r="46" spans="2:5">
      <c r="B46" s="131" t="s">
        <v>34</v>
      </c>
      <c r="C46" s="193"/>
      <c r="D46" s="193"/>
      <c r="E46" s="193"/>
    </row>
    <row r="47" spans="2:5">
      <c r="B47" s="239" t="s">
        <v>1082</v>
      </c>
      <c r="C47" s="50">
        <v>1888</v>
      </c>
      <c r="D47" s="50">
        <v>7534</v>
      </c>
      <c r="E47" s="50">
        <v>14664</v>
      </c>
    </row>
    <row r="48" spans="2:5">
      <c r="B48" s="240" t="s">
        <v>270</v>
      </c>
      <c r="C48" s="50">
        <v>0</v>
      </c>
      <c r="D48" s="225">
        <v>0</v>
      </c>
      <c r="E48" s="225">
        <v>0</v>
      </c>
    </row>
    <row r="49" spans="2:5">
      <c r="B49" s="240" t="s">
        <v>792</v>
      </c>
      <c r="C49" s="365" t="str">
        <f>IF(C50*0.1&lt;C48,"Exceed 10% Rule","")</f>
        <v/>
      </c>
      <c r="D49" s="254" t="str">
        <f>IF(D50*0.1&lt;D48,"Exceed 10% Rule","")</f>
        <v/>
      </c>
      <c r="E49" s="254" t="str">
        <f>IF(E50*0.1&lt;E48,"Exceed 10% Rule","")</f>
        <v/>
      </c>
    </row>
    <row r="50" spans="2:5">
      <c r="B50" s="233" t="s">
        <v>38</v>
      </c>
      <c r="C50" s="258">
        <f>SUM(C47:C48)</f>
        <v>1888</v>
      </c>
      <c r="D50" s="258">
        <f>SUM(D47:D48)</f>
        <v>7534</v>
      </c>
      <c r="E50" s="258">
        <f>SUM(E47:E48)</f>
        <v>14664</v>
      </c>
    </row>
    <row r="51" spans="2:5">
      <c r="B51" s="131" t="s">
        <v>146</v>
      </c>
      <c r="C51" s="193">
        <f>C45-C50</f>
        <v>10515</v>
      </c>
      <c r="D51" s="193">
        <f>D45-D50</f>
        <v>9064</v>
      </c>
      <c r="E51" s="193">
        <f>E45-E50</f>
        <v>0</v>
      </c>
    </row>
    <row r="52" spans="2:5">
      <c r="B52" s="119" t="str">
        <f>CONCATENATE("",E1-2,"/",E1-1," Budget Authority Amount:")</f>
        <v>2011/2012 Budget Authority Amount:</v>
      </c>
      <c r="C52" s="183">
        <f>inputOth!B82</f>
        <v>13808</v>
      </c>
      <c r="D52" s="183">
        <f>inputPrYr!D41</f>
        <v>12645</v>
      </c>
      <c r="E52" s="391" t="str">
        <f>IF(E51&lt;0,"See Tab E","")</f>
        <v/>
      </c>
    </row>
    <row r="53" spans="2:5">
      <c r="B53" s="119"/>
      <c r="C53" s="244" t="str">
        <f>IF(C50&gt;C52,"See Tab A","")</f>
        <v/>
      </c>
      <c r="D53" s="244" t="str">
        <f>IF(D50&gt;D52,"See Tab C","")</f>
        <v/>
      </c>
      <c r="E53" s="58"/>
    </row>
    <row r="54" spans="2:5">
      <c r="B54" s="119"/>
      <c r="C54" s="244" t="str">
        <f>IF(C51&lt;0,"See Tab B","")</f>
        <v/>
      </c>
      <c r="D54" s="244" t="str">
        <f>IF(D51&lt;0,"See Tab D","")</f>
        <v/>
      </c>
      <c r="E54" s="58"/>
    </row>
    <row r="55" spans="2:5">
      <c r="B55" s="22"/>
      <c r="C55" s="22"/>
      <c r="D55" s="22"/>
      <c r="E55" s="22"/>
    </row>
    <row r="56" spans="2:5">
      <c r="B56" s="119" t="s">
        <v>41</v>
      </c>
      <c r="C56" s="249">
        <v>13</v>
      </c>
      <c r="D56" s="22"/>
      <c r="E56" s="22"/>
    </row>
  </sheetData>
  <phoneticPr fontId="0" type="noConversion"/>
  <conditionalFormatting sqref="C11">
    <cfRule type="cellIs" dxfId="53" priority="3" stopIfTrue="1" operator="greaterThan">
      <formula>$C$13*0.1</formula>
    </cfRule>
  </conditionalFormatting>
  <conditionalFormatting sqref="C27">
    <cfRule type="cellIs" dxfId="52" priority="6" stopIfTrue="1" operator="greaterThan">
      <formula>$C$29*0.1</formula>
    </cfRule>
  </conditionalFormatting>
  <conditionalFormatting sqref="D27">
    <cfRule type="cellIs" dxfId="51" priority="7" stopIfTrue="1" operator="greaterThan">
      <formula>$D$29*0.1</formula>
    </cfRule>
  </conditionalFormatting>
  <conditionalFormatting sqref="C42">
    <cfRule type="cellIs" dxfId="50" priority="9" stopIfTrue="1" operator="greaterThan">
      <formula>$C$44*0.1</formula>
    </cfRule>
  </conditionalFormatting>
  <conditionalFormatting sqref="D42">
    <cfRule type="cellIs" dxfId="49" priority="10" stopIfTrue="1" operator="greaterThan">
      <formula>$D$44*0.1</formula>
    </cfRule>
  </conditionalFormatting>
  <conditionalFormatting sqref="E42">
    <cfRule type="cellIs" dxfId="48" priority="11" stopIfTrue="1" operator="greaterThan">
      <formula>$E$44*0.1</formula>
    </cfRule>
  </conditionalFormatting>
  <conditionalFormatting sqref="C48">
    <cfRule type="cellIs" dxfId="47" priority="12" stopIfTrue="1" operator="greaterThan">
      <formula>$C$50*0.1</formula>
    </cfRule>
  </conditionalFormatting>
  <conditionalFormatting sqref="D48">
    <cfRule type="cellIs" dxfId="46" priority="13" stopIfTrue="1" operator="greaterThan">
      <formula>$D$50*0.1</formula>
    </cfRule>
  </conditionalFormatting>
  <conditionalFormatting sqref="E48">
    <cfRule type="cellIs" dxfId="45" priority="14" stopIfTrue="1" operator="greaterThan">
      <formula>$E$50*0.1</formula>
    </cfRule>
  </conditionalFormatting>
  <conditionalFormatting sqref="E30 C30 E51 C51">
    <cfRule type="cellIs" dxfId="44" priority="15" stopIfTrue="1" operator="lessThan">
      <formula>0</formula>
    </cfRule>
  </conditionalFormatting>
  <conditionalFormatting sqref="D29">
    <cfRule type="cellIs" dxfId="43" priority="16" stopIfTrue="1" operator="greaterThan">
      <formula>$D$31</formula>
    </cfRule>
  </conditionalFormatting>
  <conditionalFormatting sqref="C29">
    <cfRule type="cellIs" dxfId="42" priority="17" stopIfTrue="1" operator="greaterThan">
      <formula>$C$31</formula>
    </cfRule>
  </conditionalFormatting>
  <conditionalFormatting sqref="D50">
    <cfRule type="cellIs" dxfId="41" priority="18" stopIfTrue="1" operator="greaterThan">
      <formula>$D$52</formula>
    </cfRule>
  </conditionalFormatting>
  <conditionalFormatting sqref="C50">
    <cfRule type="cellIs" dxfId="40" priority="19" stopIfTrue="1" operator="greaterThan">
      <formula>$C$52</formula>
    </cfRule>
  </conditionalFormatting>
  <conditionalFormatting sqref="D51">
    <cfRule type="cellIs" dxfId="39" priority="2" stopIfTrue="1" operator="lessThan">
      <formula>0</formula>
    </cfRule>
  </conditionalFormatting>
  <conditionalFormatting sqref="D30">
    <cfRule type="cellIs" dxfId="38" priority="1" stopIfTrue="1" operator="lessThan">
      <formula>0</formula>
    </cfRule>
  </conditionalFormatting>
  <pageMargins left="0.5" right="0.5" top="1" bottom="0.5" header="0.5" footer="0.5"/>
  <pageSetup scale="84" orientation="portrait" blackAndWhite="1" horizontalDpi="120" verticalDpi="144" r:id="rId1"/>
  <headerFooter alignWithMargins="0">
    <oddHeader xml:space="preserve">&amp;RState of Kansas
City
</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30"/>
  <sheetViews>
    <sheetView workbookViewId="0">
      <selection activeCell="E23" sqref="E23"/>
    </sheetView>
  </sheetViews>
  <sheetFormatPr defaultRowHeight="15"/>
  <cols>
    <col min="1" max="1" width="2.44140625" style="83" customWidth="1"/>
    <col min="2" max="2" width="31.109375" style="83" customWidth="1"/>
    <col min="3" max="4" width="15.77734375" style="83" customWidth="1"/>
    <col min="5" max="5" width="16.109375" style="83" customWidth="1"/>
    <col min="6" max="16384" width="8.88671875" style="83"/>
  </cols>
  <sheetData>
    <row r="1" spans="2:5" ht="15.75">
      <c r="B1" s="151" t="str">
        <f>inputPrYr!D2</f>
        <v>City of St.Francis</v>
      </c>
      <c r="C1" s="22"/>
      <c r="D1" s="22"/>
      <c r="E1" s="185">
        <f>inputPrYr!$C$5</f>
        <v>2013</v>
      </c>
    </row>
    <row r="2" spans="2:5" ht="15.75">
      <c r="B2" s="22"/>
      <c r="C2" s="22"/>
      <c r="D2" s="22"/>
      <c r="E2" s="147"/>
    </row>
    <row r="3" spans="2:5" ht="15.75">
      <c r="B3" s="41" t="s">
        <v>91</v>
      </c>
      <c r="C3" s="264"/>
      <c r="D3" s="264"/>
      <c r="E3" s="265"/>
    </row>
    <row r="4" spans="2:5" ht="15.75">
      <c r="B4" s="29" t="s">
        <v>24</v>
      </c>
      <c r="C4" s="604" t="s">
        <v>808</v>
      </c>
      <c r="D4" s="605" t="s">
        <v>809</v>
      </c>
      <c r="E4" s="125" t="s">
        <v>810</v>
      </c>
    </row>
    <row r="5" spans="2:5" ht="15.75">
      <c r="B5" s="364" t="str">
        <f>inputPrYr!B44</f>
        <v>EMS Building Maintenance</v>
      </c>
      <c r="C5" s="351" t="str">
        <f>CONCATENATE("Actual for ",E1-2,"")</f>
        <v>Actual for 2011</v>
      </c>
      <c r="D5" s="351" t="str">
        <f>CONCATENATE("Estimate for ",E1-1,"")</f>
        <v>Estimate for 2012</v>
      </c>
      <c r="E5" s="222" t="str">
        <f>CONCATENATE("Year for ",E1,"")</f>
        <v>Year for 2013</v>
      </c>
    </row>
    <row r="6" spans="2:5" ht="15.75">
      <c r="B6" s="131" t="s">
        <v>145</v>
      </c>
      <c r="C6" s="50">
        <v>9513</v>
      </c>
      <c r="D6" s="193">
        <f>C25</f>
        <v>10866</v>
      </c>
      <c r="E6" s="193">
        <f>D25</f>
        <v>6126</v>
      </c>
    </row>
    <row r="7" spans="2:5" ht="15.75">
      <c r="B7" s="131" t="s">
        <v>147</v>
      </c>
      <c r="C7" s="68"/>
      <c r="D7" s="68"/>
      <c r="E7" s="68"/>
    </row>
    <row r="8" spans="2:5" ht="15.75">
      <c r="B8" s="262" t="s">
        <v>1083</v>
      </c>
      <c r="C8" s="230">
        <v>5400</v>
      </c>
      <c r="D8" s="230">
        <v>6000</v>
      </c>
      <c r="E8" s="230">
        <v>6000</v>
      </c>
    </row>
    <row r="9" spans="2:5" ht="15.75">
      <c r="B9" s="239" t="s">
        <v>1084</v>
      </c>
      <c r="C9" s="230">
        <v>2603</v>
      </c>
      <c r="D9" s="230">
        <v>3000</v>
      </c>
      <c r="E9" s="230">
        <v>3000</v>
      </c>
    </row>
    <row r="10" spans="2:5" ht="15.75">
      <c r="B10" s="266" t="s">
        <v>30</v>
      </c>
      <c r="C10" s="230">
        <v>7</v>
      </c>
      <c r="D10" s="230">
        <v>0</v>
      </c>
      <c r="E10" s="230">
        <v>0</v>
      </c>
    </row>
    <row r="11" spans="2:5" ht="15.75">
      <c r="B11" s="139" t="s">
        <v>270</v>
      </c>
      <c r="C11" s="230">
        <v>0</v>
      </c>
      <c r="D11" s="228">
        <v>0</v>
      </c>
      <c r="E11" s="228">
        <v>0</v>
      </c>
    </row>
    <row r="12" spans="2:5" ht="15.75">
      <c r="B12" s="223" t="s">
        <v>791</v>
      </c>
      <c r="C12" s="365" t="str">
        <f>IF(C13*0.1&lt;C11,"Exceed 10% Rule","")</f>
        <v/>
      </c>
      <c r="D12" s="254" t="str">
        <f>IF(D13*0.1&lt;D11,"Exceed 10% Rule","")</f>
        <v/>
      </c>
      <c r="E12" s="254" t="str">
        <f>IF(E13*0.1&lt;E11,"Exceed 10% Rule","")</f>
        <v/>
      </c>
    </row>
    <row r="13" spans="2:5" ht="15.75">
      <c r="B13" s="233" t="s">
        <v>31</v>
      </c>
      <c r="C13" s="258">
        <f>SUM(C8:C11)</f>
        <v>8010</v>
      </c>
      <c r="D13" s="258">
        <f>SUM(D8:D11)</f>
        <v>9000</v>
      </c>
      <c r="E13" s="258">
        <f>SUM(E8:E11)</f>
        <v>9000</v>
      </c>
    </row>
    <row r="14" spans="2:5" ht="15.75">
      <c r="B14" s="233" t="s">
        <v>32</v>
      </c>
      <c r="C14" s="258">
        <f>C6+C13</f>
        <v>17523</v>
      </c>
      <c r="D14" s="258">
        <f>D6+D13</f>
        <v>19866</v>
      </c>
      <c r="E14" s="258">
        <f>E6+E13</f>
        <v>15126</v>
      </c>
    </row>
    <row r="15" spans="2:5" ht="15.75">
      <c r="B15" s="131" t="s">
        <v>34</v>
      </c>
      <c r="C15" s="68"/>
      <c r="D15" s="68"/>
      <c r="E15" s="68"/>
    </row>
    <row r="16" spans="2:5" ht="15.75">
      <c r="B16" s="239" t="s">
        <v>1085</v>
      </c>
      <c r="C16" s="230">
        <v>209</v>
      </c>
      <c r="D16" s="230">
        <v>354</v>
      </c>
      <c r="E16" s="50">
        <f>ROUND(D16*inputPrYr!$E$100,0)</f>
        <v>365</v>
      </c>
    </row>
    <row r="17" spans="2:5" ht="15.75">
      <c r="B17" s="239" t="s">
        <v>1086</v>
      </c>
      <c r="C17" s="230">
        <v>1890</v>
      </c>
      <c r="D17" s="230">
        <v>2685</v>
      </c>
      <c r="E17" s="50">
        <f>ROUND(D17*inputPrYr!$E$100,0)</f>
        <v>2766</v>
      </c>
    </row>
    <row r="18" spans="2:5" ht="15.75">
      <c r="B18" s="239" t="s">
        <v>1087</v>
      </c>
      <c r="C18" s="88">
        <v>90</v>
      </c>
      <c r="D18" s="88">
        <v>90</v>
      </c>
      <c r="E18" s="50">
        <f>ROUND(D18*inputPrYr!$E$100,0)</f>
        <v>93</v>
      </c>
    </row>
    <row r="19" spans="2:5" ht="15.75">
      <c r="B19" s="239" t="s">
        <v>1088</v>
      </c>
      <c r="C19" s="88">
        <v>22</v>
      </c>
      <c r="D19" s="88">
        <v>150</v>
      </c>
      <c r="E19" s="50">
        <f>ROUND(D19*inputPrYr!$E$100,0)</f>
        <v>155</v>
      </c>
    </row>
    <row r="20" spans="2:5" ht="15.75">
      <c r="B20" s="239" t="s">
        <v>1089</v>
      </c>
      <c r="C20" s="88">
        <v>4428</v>
      </c>
      <c r="D20" s="88">
        <v>5961</v>
      </c>
      <c r="E20" s="50">
        <f>ROUND(D20*inputPrYr!$E$100,0)</f>
        <v>6140</v>
      </c>
    </row>
    <row r="21" spans="2:5" ht="15.75">
      <c r="B21" s="239" t="s">
        <v>1120</v>
      </c>
      <c r="C21" s="88">
        <v>0</v>
      </c>
      <c r="D21" s="702">
        <v>4500</v>
      </c>
      <c r="E21" s="50">
        <f>ROUND(D21*inputPrYr!$E$100,0)</f>
        <v>4635</v>
      </c>
    </row>
    <row r="22" spans="2:5" ht="15.75">
      <c r="B22" s="240" t="s">
        <v>270</v>
      </c>
      <c r="C22" s="88">
        <v>18</v>
      </c>
      <c r="D22" s="228">
        <v>0</v>
      </c>
      <c r="E22" s="50">
        <f>ROUND(D22*inputPrYr!$E$100,0)+972</f>
        <v>972</v>
      </c>
    </row>
    <row r="23" spans="2:5" ht="15.75">
      <c r="B23" s="240" t="s">
        <v>792</v>
      </c>
      <c r="C23" s="365" t="str">
        <f>IF(C24*0.1&lt;C22,"Exceed 10% Rule","")</f>
        <v/>
      </c>
      <c r="D23" s="254" t="str">
        <f>IF(D24*0.1&lt;D22,"Exceed 10% Rule","")</f>
        <v/>
      </c>
      <c r="E23" s="254" t="str">
        <f>IF(E24*0.1&lt;E22,"Exceed 10% Rule","")</f>
        <v/>
      </c>
    </row>
    <row r="24" spans="2:5" ht="15.75">
      <c r="B24" s="233" t="s">
        <v>38</v>
      </c>
      <c r="C24" s="258">
        <f>SUM(C16:C22)</f>
        <v>6657</v>
      </c>
      <c r="D24" s="258">
        <f>SUM(D16:D22)</f>
        <v>13740</v>
      </c>
      <c r="E24" s="258">
        <f>SUM(E16:E22)</f>
        <v>15126</v>
      </c>
    </row>
    <row r="25" spans="2:5" ht="15.75">
      <c r="B25" s="131" t="s">
        <v>146</v>
      </c>
      <c r="C25" s="193">
        <f>C14-C24</f>
        <v>10866</v>
      </c>
      <c r="D25" s="193">
        <f>D14-D24</f>
        <v>6126</v>
      </c>
      <c r="E25" s="193">
        <f>E14-E24</f>
        <v>0</v>
      </c>
    </row>
    <row r="26" spans="2:5" ht="15.75">
      <c r="B26" s="119" t="str">
        <f>CONCATENATE("",E1-2,"/",E1-1," Budget Authority Amount:")</f>
        <v>2011/2012 Budget Authority Amount:</v>
      </c>
      <c r="C26" s="183">
        <f>inputOth!B83</f>
        <v>10570</v>
      </c>
      <c r="D26" s="183">
        <f>inputPrYr!D44</f>
        <v>22941</v>
      </c>
      <c r="E26" s="391" t="str">
        <f>IF(E25&lt;0,"See Tab E","")</f>
        <v/>
      </c>
    </row>
    <row r="27" spans="2:5" ht="15.75">
      <c r="B27" s="119"/>
      <c r="C27" s="244" t="str">
        <f>IF(C24&gt;C26,"See Tab A","")</f>
        <v/>
      </c>
      <c r="D27" s="244" t="str">
        <f>IF(D24&gt;D26,"See Tab C","")</f>
        <v/>
      </c>
      <c r="E27" s="171"/>
    </row>
    <row r="28" spans="2:5" ht="15.75">
      <c r="B28" s="119"/>
      <c r="C28" s="244" t="str">
        <f>IF(C25&lt;0,"See Tab B","")</f>
        <v/>
      </c>
      <c r="D28" s="244" t="str">
        <f>IF(D25&lt;0,"See Tab D","")</f>
        <v/>
      </c>
      <c r="E28" s="171"/>
    </row>
    <row r="29" spans="2:5">
      <c r="B29" s="85"/>
      <c r="C29" s="85"/>
      <c r="D29" s="85"/>
      <c r="E29" s="85"/>
    </row>
    <row r="30" spans="2:5" ht="15.75">
      <c r="B30" s="119" t="s">
        <v>41</v>
      </c>
      <c r="C30" s="249">
        <v>14</v>
      </c>
      <c r="D30" s="85"/>
      <c r="E30" s="85"/>
    </row>
  </sheetData>
  <phoneticPr fontId="11" type="noConversion"/>
  <conditionalFormatting sqref="C11">
    <cfRule type="cellIs" dxfId="37" priority="2" stopIfTrue="1" operator="greaterThan">
      <formula>$C$13*0.1</formula>
    </cfRule>
  </conditionalFormatting>
  <conditionalFormatting sqref="D11">
    <cfRule type="cellIs" dxfId="36" priority="3" stopIfTrue="1" operator="greaterThan">
      <formula>$D$13*0.1</formula>
    </cfRule>
  </conditionalFormatting>
  <conditionalFormatting sqref="E11">
    <cfRule type="cellIs" dxfId="35" priority="4" stopIfTrue="1" operator="greaterThan">
      <formula>$E$13*0.1</formula>
    </cfRule>
  </conditionalFormatting>
  <conditionalFormatting sqref="D22">
    <cfRule type="cellIs" dxfId="34" priority="6" stopIfTrue="1" operator="greaterThan">
      <formula>$D$24*0.1</formula>
    </cfRule>
  </conditionalFormatting>
  <conditionalFormatting sqref="D24">
    <cfRule type="cellIs" dxfId="33" priority="8" stopIfTrue="1" operator="greaterThan">
      <formula>$D$26</formula>
    </cfRule>
  </conditionalFormatting>
  <conditionalFormatting sqref="C24">
    <cfRule type="cellIs" dxfId="32" priority="9" stopIfTrue="1" operator="greaterThan">
      <formula>$C$26</formula>
    </cfRule>
  </conditionalFormatting>
  <conditionalFormatting sqref="C25 E25">
    <cfRule type="cellIs" dxfId="31" priority="10" stopIfTrue="1" operator="lessThan">
      <formula>0</formula>
    </cfRule>
  </conditionalFormatting>
  <conditionalFormatting sqref="D25">
    <cfRule type="cellIs" dxfId="30" priority="1" stopIfTrue="1" operator="lessThan">
      <formula>0</formula>
    </cfRule>
  </conditionalFormatting>
  <pageMargins left="0.75" right="0.75" top="1" bottom="1" header="0.5" footer="0.5"/>
  <pageSetup scale="92"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topLeftCell="A36" workbookViewId="0">
      <selection activeCell="C53" sqref="C53"/>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St.Francis</v>
      </c>
      <c r="C1" s="22"/>
      <c r="D1" s="22"/>
      <c r="E1" s="185">
        <f>inputPrYr!$C$5</f>
        <v>2013</v>
      </c>
    </row>
    <row r="2" spans="2:5" ht="15.75">
      <c r="B2" s="22"/>
      <c r="C2" s="22"/>
      <c r="D2" s="22"/>
      <c r="E2" s="147"/>
    </row>
    <row r="3" spans="2:5" ht="15.75">
      <c r="B3" s="41" t="s">
        <v>91</v>
      </c>
      <c r="C3" s="264"/>
      <c r="D3" s="264"/>
      <c r="E3" s="265"/>
    </row>
    <row r="4" spans="2:5" ht="15.75">
      <c r="B4" s="29" t="s">
        <v>24</v>
      </c>
      <c r="C4" s="604" t="s">
        <v>808</v>
      </c>
      <c r="D4" s="605" t="s">
        <v>809</v>
      </c>
      <c r="E4" s="125" t="s">
        <v>810</v>
      </c>
    </row>
    <row r="5" spans="2:5" ht="15.75">
      <c r="B5" s="364">
        <f>inputPrYr!B45</f>
        <v>0</v>
      </c>
      <c r="C5" s="351" t="str">
        <f>CONCATENATE("Actual for ",E1-2,"")</f>
        <v>Actual for 2011</v>
      </c>
      <c r="D5" s="351" t="str">
        <f>CONCATENATE("Estimate for ",E1-1,"")</f>
        <v>Estimate for 2012</v>
      </c>
      <c r="E5" s="222" t="str">
        <f>CONCATENATE("Year for ",E1,"")</f>
        <v>Year for 2013</v>
      </c>
    </row>
    <row r="6" spans="2:5" ht="15.75">
      <c r="B6" s="131" t="s">
        <v>145</v>
      </c>
      <c r="C6" s="50"/>
      <c r="D6" s="193">
        <f>C48</f>
        <v>0</v>
      </c>
      <c r="E6" s="193">
        <f>D48</f>
        <v>0</v>
      </c>
    </row>
    <row r="7" spans="2:5" ht="15.75">
      <c r="B7" s="131" t="s">
        <v>147</v>
      </c>
      <c r="C7" s="68"/>
      <c r="D7" s="68"/>
      <c r="E7" s="68"/>
    </row>
    <row r="8" spans="2:5" ht="15.75">
      <c r="B8" s="262"/>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1"/>
      <c r="C14" s="88"/>
      <c r="D14" s="88"/>
      <c r="E14" s="88"/>
    </row>
    <row r="15" spans="2:5" ht="15.75">
      <c r="B15" s="239"/>
      <c r="C15" s="230"/>
      <c r="D15" s="230"/>
      <c r="E15" s="230"/>
    </row>
    <row r="16" spans="2:5" ht="15.75">
      <c r="B16" s="266" t="s">
        <v>30</v>
      </c>
      <c r="C16" s="230"/>
      <c r="D16" s="230"/>
      <c r="E16" s="230"/>
    </row>
    <row r="17" spans="2:5" ht="15.75">
      <c r="B17" s="139" t="s">
        <v>270</v>
      </c>
      <c r="C17" s="230"/>
      <c r="D17" s="228"/>
      <c r="E17" s="228"/>
    </row>
    <row r="18" spans="2:5" ht="15.75">
      <c r="B18" s="223" t="s">
        <v>791</v>
      </c>
      <c r="C18" s="365" t="str">
        <f>IF(C19*0.1&lt;C17,"Exceed 10% Rule","")</f>
        <v/>
      </c>
      <c r="D18" s="254" t="str">
        <f>IF(D19*0.1&lt;D17,"Exceed 10% Rule","")</f>
        <v/>
      </c>
      <c r="E18" s="254" t="str">
        <f>IF(E19*0.1&lt;E17,"Exceed 10% Rule","")</f>
        <v/>
      </c>
    </row>
    <row r="19" spans="2:5" ht="15.75">
      <c r="B19" s="233" t="s">
        <v>31</v>
      </c>
      <c r="C19" s="258">
        <f>SUM(C8:C17)</f>
        <v>0</v>
      </c>
      <c r="D19" s="258">
        <f>SUM(D8:D17)</f>
        <v>0</v>
      </c>
      <c r="E19" s="258">
        <f>SUM(E8:E17)</f>
        <v>0</v>
      </c>
    </row>
    <row r="20" spans="2:5" ht="15.75">
      <c r="B20" s="233" t="s">
        <v>32</v>
      </c>
      <c r="C20" s="258">
        <f>C6+C19</f>
        <v>0</v>
      </c>
      <c r="D20" s="258">
        <f>D6+D19</f>
        <v>0</v>
      </c>
      <c r="E20" s="258">
        <f>E6+E19</f>
        <v>0</v>
      </c>
    </row>
    <row r="21" spans="2:5" ht="15.75">
      <c r="B21" s="131" t="s">
        <v>34</v>
      </c>
      <c r="C21" s="68"/>
      <c r="D21" s="68"/>
      <c r="E21" s="68"/>
    </row>
    <row r="22" spans="2:5" ht="15.75">
      <c r="B22" s="239" t="s">
        <v>181</v>
      </c>
      <c r="C22" s="230"/>
      <c r="D22" s="230"/>
      <c r="E22" s="230"/>
    </row>
    <row r="23" spans="2:5" ht="15.75">
      <c r="B23" s="239" t="s">
        <v>280</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270</v>
      </c>
      <c r="C45" s="230"/>
      <c r="D45" s="228"/>
      <c r="E45" s="228"/>
    </row>
    <row r="46" spans="2:5" ht="15.75">
      <c r="B46" s="240" t="s">
        <v>792</v>
      </c>
      <c r="C46" s="365" t="str">
        <f>IF(C47*0.1&lt;C45,"Exceed 10% Rule","")</f>
        <v/>
      </c>
      <c r="D46" s="254" t="str">
        <f>IF(D47*0.1&lt;D45,"Exceed 10% Rule","")</f>
        <v/>
      </c>
      <c r="E46" s="254" t="str">
        <f>IF(E47*0.1&lt;E45,"Exceed 10% Rule","")</f>
        <v/>
      </c>
    </row>
    <row r="47" spans="2:5" ht="15.75">
      <c r="B47" s="233" t="s">
        <v>38</v>
      </c>
      <c r="C47" s="258">
        <f>SUM(C22:C45)</f>
        <v>0</v>
      </c>
      <c r="D47" s="258">
        <f>SUM(D22:D45)</f>
        <v>0</v>
      </c>
      <c r="E47" s="258">
        <f>SUM(E22:E45)</f>
        <v>0</v>
      </c>
    </row>
    <row r="48" spans="2:5" ht="15.75">
      <c r="B48" s="131" t="s">
        <v>146</v>
      </c>
      <c r="C48" s="193">
        <f>C20-C47</f>
        <v>0</v>
      </c>
      <c r="D48" s="193">
        <f>D20-D47</f>
        <v>0</v>
      </c>
      <c r="E48" s="193">
        <f>E20-E47</f>
        <v>0</v>
      </c>
    </row>
    <row r="49" spans="2:5" ht="15.75">
      <c r="B49" s="119" t="str">
        <f>CONCATENATE("",E1-2,"/",E1-1," Budget Authority Amount:")</f>
        <v>2011/2012 Budget Authority Amount:</v>
      </c>
      <c r="C49" s="183" t="e">
        <f>inputOth!#REF!</f>
        <v>#REF!</v>
      </c>
      <c r="D49" s="183">
        <f>inputPrYr!D45</f>
        <v>0</v>
      </c>
      <c r="E49" s="391" t="str">
        <f>IF(E48&lt;0,"See Tab E","")</f>
        <v/>
      </c>
    </row>
    <row r="50" spans="2:5" ht="15.75">
      <c r="B50" s="119"/>
      <c r="C50" s="244" t="e">
        <f>IF(C47&gt;C49,"See Tab A","")</f>
        <v>#REF!</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41</v>
      </c>
      <c r="C53" s="249"/>
      <c r="D53" s="85"/>
      <c r="E53" s="85"/>
    </row>
  </sheetData>
  <phoneticPr fontId="11" type="noConversion"/>
  <conditionalFormatting sqref="C17">
    <cfRule type="cellIs" dxfId="29" priority="2" stopIfTrue="1" operator="greaterThan">
      <formula>$C$19*0.1</formula>
    </cfRule>
  </conditionalFormatting>
  <conditionalFormatting sqref="D17">
    <cfRule type="cellIs" dxfId="28" priority="3" stopIfTrue="1" operator="greaterThan">
      <formula>$D$19*0.1</formula>
    </cfRule>
  </conditionalFormatting>
  <conditionalFormatting sqref="E17">
    <cfRule type="cellIs" dxfId="27" priority="4" stopIfTrue="1" operator="greaterThan">
      <formula>$E$19*0.1</formula>
    </cfRule>
  </conditionalFormatting>
  <conditionalFormatting sqref="C45">
    <cfRule type="cellIs" dxfId="26" priority="5" stopIfTrue="1" operator="greaterThan">
      <formula>$C$47*0.1</formula>
    </cfRule>
  </conditionalFormatting>
  <conditionalFormatting sqref="D45">
    <cfRule type="cellIs" dxfId="25" priority="6" stopIfTrue="1" operator="greaterThan">
      <formula>$D$47*0.1</formula>
    </cfRule>
  </conditionalFormatting>
  <conditionalFormatting sqref="E45">
    <cfRule type="cellIs" dxfId="24" priority="7" stopIfTrue="1" operator="greaterThan">
      <formula>$E$47*0.1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E53"/>
  <sheetViews>
    <sheetView topLeftCell="A24" workbookViewId="0">
      <selection activeCell="C41" sqref="C41"/>
    </sheetView>
  </sheetViews>
  <sheetFormatPr defaultRowHeight="15"/>
  <cols>
    <col min="1" max="1" width="2.44140625" style="83" customWidth="1"/>
    <col min="2" max="2" width="31.109375" style="83" customWidth="1"/>
    <col min="3" max="4" width="15.77734375" style="83" customWidth="1"/>
    <col min="5" max="5" width="16.44140625" style="83" customWidth="1"/>
    <col min="6" max="16384" width="8.88671875" style="83"/>
  </cols>
  <sheetData>
    <row r="1" spans="2:5" ht="15.75">
      <c r="B1" s="151" t="str">
        <f>inputPrYr!D2</f>
        <v>City of St.Francis</v>
      </c>
      <c r="C1" s="22"/>
      <c r="D1" s="22"/>
      <c r="E1" s="185">
        <f>inputPrYr!$C$5</f>
        <v>2013</v>
      </c>
    </row>
    <row r="2" spans="2:5" ht="15.75">
      <c r="B2" s="22"/>
      <c r="C2" s="22"/>
      <c r="D2" s="22"/>
      <c r="E2" s="147"/>
    </row>
    <row r="3" spans="2:5" ht="15.75">
      <c r="B3" s="41" t="s">
        <v>91</v>
      </c>
      <c r="C3" s="264"/>
      <c r="D3" s="264"/>
      <c r="E3" s="265"/>
    </row>
    <row r="4" spans="2:5" ht="15.75">
      <c r="B4" s="29" t="s">
        <v>24</v>
      </c>
      <c r="C4" s="604" t="s">
        <v>808</v>
      </c>
      <c r="D4" s="605" t="s">
        <v>809</v>
      </c>
      <c r="E4" s="125" t="s">
        <v>810</v>
      </c>
    </row>
    <row r="5" spans="2:5" ht="15.75">
      <c r="B5" s="364">
        <f>inputPrYr!B46</f>
        <v>0</v>
      </c>
      <c r="C5" s="351" t="str">
        <f>CONCATENATE("Actual for ",E1-2,"")</f>
        <v>Actual for 2011</v>
      </c>
      <c r="D5" s="351" t="str">
        <f>CONCATENATE("Estimate for ",E1-1,"")</f>
        <v>Estimate for 2012</v>
      </c>
      <c r="E5" s="222" t="str">
        <f>CONCATENATE("Year for ",E1,"")</f>
        <v>Year for 2013</v>
      </c>
    </row>
    <row r="6" spans="2:5" ht="15.75">
      <c r="B6" s="131" t="s">
        <v>145</v>
      </c>
      <c r="C6" s="50"/>
      <c r="D6" s="193">
        <f>C48</f>
        <v>0</v>
      </c>
      <c r="E6" s="193">
        <f>D48</f>
        <v>0</v>
      </c>
    </row>
    <row r="7" spans="2:5" ht="15.75">
      <c r="B7" s="131" t="s">
        <v>147</v>
      </c>
      <c r="C7" s="68"/>
      <c r="D7" s="68"/>
      <c r="E7" s="68"/>
    </row>
    <row r="8" spans="2:5" ht="15.75">
      <c r="B8" s="262"/>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1"/>
      <c r="C14" s="88"/>
      <c r="D14" s="88"/>
      <c r="E14" s="88"/>
    </row>
    <row r="15" spans="2:5" ht="15.75">
      <c r="B15" s="239"/>
      <c r="C15" s="230"/>
      <c r="D15" s="230"/>
      <c r="E15" s="230"/>
    </row>
    <row r="16" spans="2:5" ht="15.75">
      <c r="B16" s="266" t="s">
        <v>30</v>
      </c>
      <c r="C16" s="230"/>
      <c r="D16" s="230"/>
      <c r="E16" s="230"/>
    </row>
    <row r="17" spans="2:5" ht="15.75">
      <c r="B17" s="139" t="s">
        <v>270</v>
      </c>
      <c r="C17" s="230"/>
      <c r="D17" s="228"/>
      <c r="E17" s="228"/>
    </row>
    <row r="18" spans="2:5" ht="15.75">
      <c r="B18" s="223" t="s">
        <v>791</v>
      </c>
      <c r="C18" s="365" t="str">
        <f>IF(C19*0.1&lt;C17,"Exceed 10% Rule","")</f>
        <v/>
      </c>
      <c r="D18" s="254" t="str">
        <f>IF(D19*0.1&lt;D17,"Exceed 10% Rule","")</f>
        <v/>
      </c>
      <c r="E18" s="254" t="str">
        <f>IF(E19*0.1&lt;E17,"Exceed 10% Rule","")</f>
        <v/>
      </c>
    </row>
    <row r="19" spans="2:5" ht="15.75">
      <c r="B19" s="233" t="s">
        <v>31</v>
      </c>
      <c r="C19" s="258">
        <f>SUM(C8:C17)</f>
        <v>0</v>
      </c>
      <c r="D19" s="258">
        <f>SUM(D8:D17)</f>
        <v>0</v>
      </c>
      <c r="E19" s="258">
        <f>SUM(E8:E17)</f>
        <v>0</v>
      </c>
    </row>
    <row r="20" spans="2:5" ht="15.75">
      <c r="B20" s="233" t="s">
        <v>32</v>
      </c>
      <c r="C20" s="258">
        <f>C6+C19</f>
        <v>0</v>
      </c>
      <c r="D20" s="258">
        <f>D6+D19</f>
        <v>0</v>
      </c>
      <c r="E20" s="258">
        <f>E6+E19</f>
        <v>0</v>
      </c>
    </row>
    <row r="21" spans="2:5" ht="15.75">
      <c r="B21" s="131" t="s">
        <v>34</v>
      </c>
      <c r="C21" s="68"/>
      <c r="D21" s="68"/>
      <c r="E21" s="68"/>
    </row>
    <row r="22" spans="2:5" ht="15.75">
      <c r="B22" s="239" t="s">
        <v>181</v>
      </c>
      <c r="C22" s="230"/>
      <c r="D22" s="230"/>
      <c r="E22" s="230"/>
    </row>
    <row r="23" spans="2:5" ht="15.75">
      <c r="B23" s="239" t="s">
        <v>280</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270</v>
      </c>
      <c r="C45" s="230"/>
      <c r="D45" s="228"/>
      <c r="E45" s="228"/>
    </row>
    <row r="46" spans="2:5" ht="15.75">
      <c r="B46" s="240" t="s">
        <v>792</v>
      </c>
      <c r="C46" s="365" t="str">
        <f>IF(C47*0.1&lt;C45,"Exceed 10% Rule","")</f>
        <v/>
      </c>
      <c r="D46" s="254" t="str">
        <f>IF(D47*0.1&lt;D45,"Exceed 10% Rule","")</f>
        <v/>
      </c>
      <c r="E46" s="254" t="str">
        <f>IF(E47*0.1&lt;E45,"Exceed 10% Rule","")</f>
        <v/>
      </c>
    </row>
    <row r="47" spans="2:5" ht="15.75">
      <c r="B47" s="233" t="s">
        <v>38</v>
      </c>
      <c r="C47" s="258">
        <f>SUM(C22:C45)</f>
        <v>0</v>
      </c>
      <c r="D47" s="258">
        <f>SUM(D22:D45)</f>
        <v>0</v>
      </c>
      <c r="E47" s="258">
        <f>SUM(E22:E45)</f>
        <v>0</v>
      </c>
    </row>
    <row r="48" spans="2:5" ht="15.75">
      <c r="B48" s="131" t="s">
        <v>146</v>
      </c>
      <c r="C48" s="193">
        <f>C20-C47</f>
        <v>0</v>
      </c>
      <c r="D48" s="193">
        <f>D20-D47</f>
        <v>0</v>
      </c>
      <c r="E48" s="193">
        <f>E20-E47</f>
        <v>0</v>
      </c>
    </row>
    <row r="49" spans="2:5" ht="15.75">
      <c r="B49" s="119" t="str">
        <f>CONCATENATE("",E1-2,"/",E1-1," Budget Authority Amount:")</f>
        <v>2011/2012 Budget Authority Amount:</v>
      </c>
      <c r="C49" s="183">
        <f>inputOth!B85</f>
        <v>0</v>
      </c>
      <c r="D49" s="183">
        <f>inputPrYr!D46</f>
        <v>0</v>
      </c>
      <c r="E49" s="391" t="str">
        <f>IF(E48&lt;0,"See Tab E","")</f>
        <v/>
      </c>
    </row>
    <row r="50" spans="2:5" ht="15.75">
      <c r="B50" s="119"/>
      <c r="C50" s="244" t="str">
        <f>IF(C47&gt;C49,"See Tab A","")</f>
        <v/>
      </c>
      <c r="D50" s="244" t="str">
        <f>IF(D47&gt;D49,"See Tab C","")</f>
        <v/>
      </c>
      <c r="E50" s="85"/>
    </row>
    <row r="51" spans="2:5" ht="15.75">
      <c r="B51" s="119"/>
      <c r="C51" s="244" t="str">
        <f>IF(C48&lt;0,"See Tab B","")</f>
        <v/>
      </c>
      <c r="D51" s="244" t="str">
        <f>IF(D48&lt;0,"See Tab D","")</f>
        <v/>
      </c>
      <c r="E51" s="85"/>
    </row>
    <row r="52" spans="2:5">
      <c r="B52" s="85"/>
      <c r="C52" s="85"/>
      <c r="D52" s="85"/>
      <c r="E52" s="85"/>
    </row>
    <row r="53" spans="2:5" ht="15.75">
      <c r="B53" s="119" t="s">
        <v>41</v>
      </c>
      <c r="C53" s="249"/>
      <c r="D53" s="85"/>
      <c r="E53" s="85"/>
    </row>
  </sheetData>
  <phoneticPr fontId="11" type="noConversion"/>
  <conditionalFormatting sqref="C17">
    <cfRule type="cellIs" dxfId="19" priority="2" stopIfTrue="1" operator="greaterThan">
      <formula>$C$19*0.1</formula>
    </cfRule>
  </conditionalFormatting>
  <conditionalFormatting sqref="D17">
    <cfRule type="cellIs" dxfId="18" priority="3" stopIfTrue="1" operator="greaterThan">
      <formula>$D$19*0.1</formula>
    </cfRule>
  </conditionalFormatting>
  <conditionalFormatting sqref="E17">
    <cfRule type="cellIs" dxfId="17" priority="4" stopIfTrue="1" operator="greaterThan">
      <formula>$E$19*0.1</formula>
    </cfRule>
  </conditionalFormatting>
  <conditionalFormatting sqref="C45">
    <cfRule type="cellIs" dxfId="16" priority="5" stopIfTrue="1" operator="greaterThan">
      <formula>$C$47*0.1</formula>
    </cfRule>
  </conditionalFormatting>
  <conditionalFormatting sqref="D45">
    <cfRule type="cellIs" dxfId="15" priority="6" stopIfTrue="1" operator="greaterThan">
      <formula>$D$47*0.1</formula>
    </cfRule>
  </conditionalFormatting>
  <conditionalFormatting sqref="E45">
    <cfRule type="cellIs" dxfId="14" priority="7" stopIfTrue="1" operator="greaterThan">
      <formula>$E$47*0.1</formula>
    </cfRule>
  </conditionalFormatting>
  <conditionalFormatting sqref="E48 C48">
    <cfRule type="cellIs" dxfId="13" priority="8" stopIfTrue="1" operator="lessThan">
      <formula>0</formula>
    </cfRule>
  </conditionalFormatting>
  <conditionalFormatting sqref="D47">
    <cfRule type="cellIs" dxfId="12" priority="9" stopIfTrue="1" operator="greaterThan">
      <formula>$D$49</formula>
    </cfRule>
  </conditionalFormatting>
  <conditionalFormatting sqref="C47">
    <cfRule type="cellIs" dxfId="11" priority="10" stopIfTrue="1" operator="greaterThan">
      <formula>$C$49</formula>
    </cfRule>
  </conditionalFormatting>
  <conditionalFormatting sqref="D48">
    <cfRule type="cellIs" dxfId="1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86"/>
  <sheetViews>
    <sheetView topLeftCell="A36" workbookViewId="0">
      <selection activeCell="B71" sqref="B71"/>
    </sheetView>
  </sheetViews>
  <sheetFormatPr defaultRowHeight="15"/>
  <cols>
    <col min="1" max="1" width="19.77734375" style="83" customWidth="1"/>
    <col min="2" max="2" width="20.77734375" style="83" customWidth="1"/>
    <col min="3" max="3" width="9.77734375" style="83" customWidth="1"/>
    <col min="4" max="4" width="15.109375" style="83" customWidth="1"/>
    <col min="5" max="5" width="15.77734375" style="83" customWidth="1"/>
    <col min="6" max="16384" width="8.88671875" style="83"/>
  </cols>
  <sheetData>
    <row r="1" spans="1:5" ht="15.75">
      <c r="A1" s="84" t="str">
        <f>inputPrYr!$D$2</f>
        <v>City of St.Francis</v>
      </c>
      <c r="B1" s="85"/>
      <c r="C1" s="85"/>
      <c r="D1" s="85"/>
      <c r="E1" s="86">
        <f>inputPrYr!C5</f>
        <v>2013</v>
      </c>
    </row>
    <row r="2" spans="1:5">
      <c r="A2" s="85"/>
      <c r="B2" s="85"/>
      <c r="C2" s="85"/>
      <c r="D2" s="85"/>
      <c r="E2" s="85"/>
    </row>
    <row r="3" spans="1:5" ht="15.75">
      <c r="A3" s="706" t="s">
        <v>244</v>
      </c>
      <c r="B3" s="707"/>
      <c r="C3" s="707"/>
      <c r="D3" s="707"/>
      <c r="E3" s="707"/>
    </row>
    <row r="4" spans="1:5" ht="15.75">
      <c r="A4" s="35"/>
      <c r="B4" s="35"/>
      <c r="C4" s="35"/>
      <c r="D4" s="35"/>
      <c r="E4" s="35"/>
    </row>
    <row r="5" spans="1:5" ht="15.75">
      <c r="A5" s="35"/>
      <c r="B5" s="35"/>
      <c r="C5" s="35"/>
      <c r="D5" s="35"/>
      <c r="E5" s="35"/>
    </row>
    <row r="6" spans="1:5" ht="15.75">
      <c r="A6" s="38" t="str">
        <f>CONCATENATE("From the County Clerks ",E1," Budget Information:")</f>
        <v>From the County Clerks 2013 Budget Information:</v>
      </c>
      <c r="B6" s="39"/>
      <c r="C6" s="39"/>
      <c r="D6" s="22"/>
      <c r="E6" s="51"/>
    </row>
    <row r="7" spans="1:5" ht="15.75">
      <c r="A7" s="87" t="str">
        <f>CONCATENATE("Total Assessed Valuation for ",E1-1,"")</f>
        <v>Total Assessed Valuation for 2012</v>
      </c>
      <c r="B7" s="76"/>
      <c r="C7" s="76"/>
      <c r="D7" s="76"/>
      <c r="E7" s="50">
        <v>6596051</v>
      </c>
    </row>
    <row r="8" spans="1:5" ht="15.75">
      <c r="A8" s="87" t="str">
        <f>CONCATENATE("New Improvements for ",E1-1,"")</f>
        <v>New Improvements for 2012</v>
      </c>
      <c r="B8" s="76"/>
      <c r="C8" s="76"/>
      <c r="D8" s="76"/>
      <c r="E8" s="88">
        <v>40772</v>
      </c>
    </row>
    <row r="9" spans="1:5" ht="15.75">
      <c r="A9" s="87" t="str">
        <f>CONCATENATE("Personal Property  excluding oil, gas, and mobile homes - ",E1-1,"")</f>
        <v>Personal Property  excluding oil, gas, and mobile homes - 2012</v>
      </c>
      <c r="B9" s="76"/>
      <c r="C9" s="76"/>
      <c r="D9" s="76"/>
      <c r="E9" s="88">
        <v>341915</v>
      </c>
    </row>
    <row r="10" spans="1:5" ht="15.75">
      <c r="A10" s="89" t="s">
        <v>166</v>
      </c>
      <c r="B10" s="76"/>
      <c r="C10" s="76"/>
      <c r="D10" s="76"/>
      <c r="E10" s="68"/>
    </row>
    <row r="11" spans="1:5" ht="15.75">
      <c r="A11" s="87" t="s">
        <v>138</v>
      </c>
      <c r="B11" s="76"/>
      <c r="C11" s="76"/>
      <c r="D11" s="76"/>
      <c r="E11" s="88"/>
    </row>
    <row r="12" spans="1:5" ht="15.75">
      <c r="A12" s="87" t="s">
        <v>139</v>
      </c>
      <c r="B12" s="76"/>
      <c r="C12" s="76"/>
      <c r="D12" s="76"/>
      <c r="E12" s="88"/>
    </row>
    <row r="13" spans="1:5" ht="15.75">
      <c r="A13" s="87" t="s">
        <v>140</v>
      </c>
      <c r="B13" s="76"/>
      <c r="C13" s="76"/>
      <c r="D13" s="76"/>
      <c r="E13" s="88"/>
    </row>
    <row r="14" spans="1:5" ht="15.75">
      <c r="A14" s="87" t="str">
        <f>CONCATENATE("Property that has changed in use for ",E1-1,"")</f>
        <v>Property that has changed in use for 2012</v>
      </c>
      <c r="B14" s="76"/>
      <c r="C14" s="76"/>
      <c r="D14" s="76"/>
      <c r="E14" s="88">
        <v>814</v>
      </c>
    </row>
    <row r="15" spans="1:5" ht="15.75">
      <c r="A15" s="87" t="str">
        <f>CONCATENATE("Personal Property excluding oil, gas, and mobile homes - ",E1-2,"")</f>
        <v>Personal Property excluding oil, gas, and mobile homes - 2011</v>
      </c>
      <c r="B15" s="76"/>
      <c r="C15" s="76"/>
      <c r="D15" s="76"/>
      <c r="E15" s="88">
        <v>470712</v>
      </c>
    </row>
    <row r="16" spans="1:5" ht="15.75">
      <c r="A16" s="87" t="str">
        <f>CONCATENATE("Gross earnings (intangible) tax estimate for ",E1,"")</f>
        <v>Gross earnings (intangible) tax estimate for 2013</v>
      </c>
      <c r="B16" s="76"/>
      <c r="C16" s="76"/>
      <c r="D16" s="77"/>
      <c r="E16" s="50">
        <v>0</v>
      </c>
    </row>
    <row r="17" spans="1:5" ht="15.75">
      <c r="A17" s="87" t="s">
        <v>167</v>
      </c>
      <c r="B17" s="76"/>
      <c r="C17" s="76"/>
      <c r="D17" s="76"/>
      <c r="E17" s="49">
        <v>0</v>
      </c>
    </row>
    <row r="18" spans="1:5" ht="15.75">
      <c r="A18" s="61"/>
      <c r="B18" s="60"/>
      <c r="C18" s="60"/>
      <c r="D18" s="60"/>
      <c r="E18" s="63"/>
    </row>
    <row r="19" spans="1:5" ht="15.75">
      <c r="A19" s="61" t="str">
        <f>CONCATENATE("Actual Tax Rates for the ",E1-1," Budget:")</f>
        <v>Actual Tax Rates for the 2012 Budget:</v>
      </c>
      <c r="B19" s="60"/>
      <c r="C19" s="60"/>
      <c r="D19" s="60"/>
      <c r="E19" s="58"/>
    </row>
    <row r="20" spans="1:5" ht="15.75">
      <c r="A20" s="713" t="s">
        <v>10</v>
      </c>
      <c r="B20" s="714"/>
      <c r="C20" s="90"/>
      <c r="D20" s="91" t="s">
        <v>63</v>
      </c>
      <c r="E20" s="58"/>
    </row>
    <row r="21" spans="1:5" ht="15.75">
      <c r="A21" s="54" t="str">
        <f>inputPrYr!B17</f>
        <v>General</v>
      </c>
      <c r="B21" s="55"/>
      <c r="C21" s="60"/>
      <c r="D21" s="92">
        <v>37.729999999999997</v>
      </c>
      <c r="E21" s="63"/>
    </row>
    <row r="22" spans="1:5" ht="15.75">
      <c r="A22" s="87" t="str">
        <f>inputPrYr!B18</f>
        <v>Debt Service</v>
      </c>
      <c r="B22" s="76"/>
      <c r="C22" s="60"/>
      <c r="D22" s="93"/>
      <c r="E22" s="63"/>
    </row>
    <row r="23" spans="1:5" ht="15.75">
      <c r="A23" s="87" t="str">
        <f>inputPrYr!B19</f>
        <v>Library</v>
      </c>
      <c r="B23" s="76"/>
      <c r="C23" s="60"/>
      <c r="D23" s="93">
        <v>3.9569999999999999</v>
      </c>
      <c r="E23" s="63"/>
    </row>
    <row r="24" spans="1:5" ht="15.75">
      <c r="A24" s="87">
        <f>inputPrYr!B21</f>
        <v>0</v>
      </c>
      <c r="B24" s="76"/>
      <c r="C24" s="60"/>
      <c r="D24" s="93"/>
      <c r="E24" s="63"/>
    </row>
    <row r="25" spans="1:5" ht="15.75">
      <c r="A25" s="87">
        <f>inputPrYr!B22</f>
        <v>0</v>
      </c>
      <c r="B25" s="76"/>
      <c r="C25" s="60"/>
      <c r="D25" s="93"/>
      <c r="E25" s="63"/>
    </row>
    <row r="26" spans="1:5" ht="15.75">
      <c r="A26" s="87">
        <f>inputPrYr!B23</f>
        <v>0</v>
      </c>
      <c r="B26" s="94"/>
      <c r="C26" s="60"/>
      <c r="D26" s="95"/>
      <c r="E26" s="63"/>
    </row>
    <row r="27" spans="1:5" ht="15.75">
      <c r="A27" s="87">
        <f>inputPrYr!B24</f>
        <v>0</v>
      </c>
      <c r="B27" s="94"/>
      <c r="C27" s="60"/>
      <c r="D27" s="95"/>
      <c r="E27" s="63"/>
    </row>
    <row r="28" spans="1:5" ht="15.75">
      <c r="A28" s="87">
        <f>inputPrYr!B25</f>
        <v>0</v>
      </c>
      <c r="B28" s="94"/>
      <c r="C28" s="60"/>
      <c r="D28" s="95"/>
      <c r="E28" s="63"/>
    </row>
    <row r="29" spans="1:5" ht="15.75">
      <c r="A29" s="87">
        <f>inputPrYr!B26</f>
        <v>0</v>
      </c>
      <c r="B29" s="94"/>
      <c r="C29" s="60"/>
      <c r="D29" s="95"/>
      <c r="E29" s="63"/>
    </row>
    <row r="30" spans="1:5" ht="15.75">
      <c r="A30" s="87">
        <f>inputPrYr!B27</f>
        <v>0</v>
      </c>
      <c r="B30" s="94"/>
      <c r="C30" s="60"/>
      <c r="D30" s="95"/>
      <c r="E30" s="63"/>
    </row>
    <row r="31" spans="1:5" ht="15.75">
      <c r="A31" s="87">
        <f>inputPrYr!B28</f>
        <v>0</v>
      </c>
      <c r="B31" s="94"/>
      <c r="C31" s="60"/>
      <c r="D31" s="95"/>
      <c r="E31" s="63"/>
    </row>
    <row r="32" spans="1:5" ht="15.75">
      <c r="A32" s="87">
        <f>inputPrYr!B29</f>
        <v>0</v>
      </c>
      <c r="B32" s="76"/>
      <c r="C32" s="60"/>
      <c r="D32" s="95"/>
      <c r="E32" s="63"/>
    </row>
    <row r="33" spans="1:5" ht="15.75">
      <c r="A33" s="87">
        <f>inputPrYr!B30</f>
        <v>0</v>
      </c>
      <c r="B33" s="55"/>
      <c r="C33" s="60"/>
      <c r="D33" s="95"/>
      <c r="E33" s="63"/>
    </row>
    <row r="34" spans="1:5" ht="15.75">
      <c r="A34" s="90"/>
      <c r="B34" s="55" t="s">
        <v>335</v>
      </c>
      <c r="C34" s="96"/>
      <c r="D34" s="71">
        <f>SUM(D21:D33)</f>
        <v>41.686999999999998</v>
      </c>
      <c r="E34" s="90"/>
    </row>
    <row r="35" spans="1:5">
      <c r="A35" s="90"/>
      <c r="B35" s="90"/>
      <c r="C35" s="90"/>
      <c r="D35" s="90"/>
      <c r="E35" s="90"/>
    </row>
    <row r="36" spans="1:5" ht="15.75">
      <c r="A36" s="55" t="str">
        <f>CONCATENATE("Final Assessed Valuation from the November 1, ",E1-2," Abstract")</f>
        <v>Final Assessed Valuation from the November 1, 2011 Abstract</v>
      </c>
      <c r="B36" s="97"/>
      <c r="C36" s="97"/>
      <c r="D36" s="97"/>
      <c r="E36" s="49">
        <v>6725989</v>
      </c>
    </row>
    <row r="37" spans="1:5">
      <c r="A37" s="90"/>
      <c r="B37" s="90"/>
      <c r="C37" s="90"/>
      <c r="D37" s="90"/>
      <c r="E37" s="90"/>
    </row>
    <row r="38" spans="1:5" ht="15.75">
      <c r="A38" s="66" t="str">
        <f>CONCATENATE("From the County Treasurer's Budget Information - ",E1," Budget Year Estimates:")</f>
        <v>From the County Treasurer's Budget Information - 2013 Budget Year Estimates:</v>
      </c>
      <c r="B38" s="37"/>
      <c r="C38" s="37"/>
      <c r="D38" s="98"/>
      <c r="E38" s="51"/>
    </row>
    <row r="39" spans="1:5" ht="15.75">
      <c r="A39" s="54" t="s">
        <v>336</v>
      </c>
      <c r="B39" s="55"/>
      <c r="C39" s="55"/>
      <c r="D39" s="99"/>
      <c r="E39" s="50">
        <v>60856</v>
      </c>
    </row>
    <row r="40" spans="1:5" ht="15.75">
      <c r="A40" s="87" t="s">
        <v>337</v>
      </c>
      <c r="B40" s="76"/>
      <c r="C40" s="76"/>
      <c r="D40" s="100"/>
      <c r="E40" s="50">
        <v>1387</v>
      </c>
    </row>
    <row r="41" spans="1:5" ht="15.75">
      <c r="A41" s="87" t="s">
        <v>168</v>
      </c>
      <c r="B41" s="76"/>
      <c r="C41" s="76"/>
      <c r="D41" s="100"/>
      <c r="E41" s="50">
        <v>1510</v>
      </c>
    </row>
    <row r="42" spans="1:5" ht="15.75">
      <c r="A42" s="87" t="s">
        <v>169</v>
      </c>
      <c r="B42" s="76"/>
      <c r="C42" s="76"/>
      <c r="D42" s="100"/>
      <c r="E42" s="50"/>
    </row>
    <row r="43" spans="1:5" ht="15.75">
      <c r="A43" s="87" t="s">
        <v>170</v>
      </c>
      <c r="B43" s="76"/>
      <c r="C43" s="76"/>
      <c r="D43" s="100"/>
      <c r="E43" s="50"/>
    </row>
    <row r="44" spans="1:5" ht="15.75">
      <c r="A44" s="22" t="s">
        <v>171</v>
      </c>
      <c r="B44" s="22"/>
      <c r="C44" s="22"/>
      <c r="D44" s="22"/>
      <c r="E44" s="22"/>
    </row>
    <row r="45" spans="1:5" ht="15.75">
      <c r="A45" s="24" t="s">
        <v>18</v>
      </c>
      <c r="B45" s="33"/>
      <c r="C45" s="33"/>
      <c r="D45" s="22"/>
      <c r="E45" s="22"/>
    </row>
    <row r="46" spans="1:5" ht="15.75">
      <c r="A46" s="61" t="str">
        <f>CONCATENATE("Actual Delinquency for ",E1-3," Tax - (rate .01213 = 1.213%, key in 1.2)")</f>
        <v>Actual Delinquency for 2010 Tax - (rate .01213 = 1.213%, key in 1.2)</v>
      </c>
      <c r="B46" s="60"/>
      <c r="C46" s="22"/>
      <c r="D46" s="22"/>
      <c r="E46" s="536">
        <v>1.7999999999999999E-2</v>
      </c>
    </row>
    <row r="47" spans="1:5" ht="15.75">
      <c r="A47" s="372" t="s">
        <v>814</v>
      </c>
      <c r="B47" s="61"/>
      <c r="C47" s="60"/>
      <c r="D47" s="60"/>
      <c r="E47" s="537">
        <v>0.02</v>
      </c>
    </row>
    <row r="48" spans="1:5" ht="15.75">
      <c r="A48" s="101" t="s">
        <v>217</v>
      </c>
      <c r="B48" s="101"/>
      <c r="C48" s="102"/>
      <c r="D48" s="102"/>
      <c r="E48" s="103"/>
    </row>
    <row r="49" spans="1:5" ht="15.75">
      <c r="A49" s="22"/>
      <c r="B49" s="22"/>
      <c r="C49" s="22"/>
      <c r="D49" s="22"/>
      <c r="E49" s="22"/>
    </row>
    <row r="50" spans="1:5" ht="15.75">
      <c r="A50" s="104" t="s">
        <v>262</v>
      </c>
      <c r="B50" s="105"/>
      <c r="C50" s="106"/>
      <c r="D50" s="106"/>
      <c r="E50" s="106"/>
    </row>
    <row r="51" spans="1:5" ht="15.75">
      <c r="A51" s="107" t="str">
        <f>CONCATENATE("",E1," State Distribution for Kansas Gas Tax")</f>
        <v>2013 State Distribution for Kansas Gas Tax</v>
      </c>
      <c r="B51" s="108"/>
      <c r="C51" s="108"/>
      <c r="D51" s="109"/>
      <c r="E51" s="49">
        <v>34590</v>
      </c>
    </row>
    <row r="52" spans="1:5" ht="15.75">
      <c r="A52" s="110" t="str">
        <f>CONCATENATE("",E1," County Transfers for Gas***")</f>
        <v>2013 County Transfers for Gas***</v>
      </c>
      <c r="B52" s="111"/>
      <c r="C52" s="111"/>
      <c r="D52" s="112"/>
      <c r="E52" s="49">
        <v>0</v>
      </c>
    </row>
    <row r="53" spans="1:5" ht="15.75">
      <c r="A53" s="110" t="str">
        <f>CONCATENATE("Adjusted ",E1-1," State Distribution for Kansas Gas Tax")</f>
        <v>Adjusted 2012 State Distribution for Kansas Gas Tax</v>
      </c>
      <c r="B53" s="111"/>
      <c r="C53" s="111"/>
      <c r="D53" s="112"/>
      <c r="E53" s="49">
        <v>34330</v>
      </c>
    </row>
    <row r="54" spans="1:5" ht="15.75">
      <c r="A54" s="110" t="str">
        <f>CONCATENATE("Adjusted ",E1-1," County Transfers for Gas***")</f>
        <v>Adjusted 2012 County Transfers for Gas***</v>
      </c>
      <c r="B54" s="111"/>
      <c r="C54" s="111"/>
      <c r="D54" s="112"/>
      <c r="E54" s="49">
        <v>0</v>
      </c>
    </row>
    <row r="55" spans="1:5">
      <c r="A55" s="715" t="s">
        <v>238</v>
      </c>
      <c r="B55" s="716"/>
      <c r="C55" s="716"/>
      <c r="D55" s="716"/>
      <c r="E55" s="716"/>
    </row>
    <row r="56" spans="1:5">
      <c r="A56" s="113" t="s">
        <v>239</v>
      </c>
      <c r="B56" s="113"/>
      <c r="C56" s="113"/>
      <c r="D56" s="113"/>
      <c r="E56" s="113"/>
    </row>
    <row r="57" spans="1:5">
      <c r="A57" s="85"/>
      <c r="B57" s="85"/>
      <c r="C57" s="85"/>
      <c r="D57" s="85"/>
      <c r="E57" s="85"/>
    </row>
    <row r="58" spans="1:5" ht="15.75">
      <c r="A58" s="717" t="str">
        <f>CONCATENATE("From the ",E1-2," Budget Certificate Page")</f>
        <v>From the 2011 Budget Certificate Page</v>
      </c>
      <c r="B58" s="718"/>
      <c r="C58" s="85"/>
      <c r="D58" s="85"/>
      <c r="E58" s="85"/>
    </row>
    <row r="59" spans="1:5" ht="15.75">
      <c r="A59" s="114"/>
      <c r="B59" s="114" t="str">
        <f>CONCATENATE("",E1-2," Expenditure Amounts")</f>
        <v>2011 Expenditure Amounts</v>
      </c>
      <c r="C59" s="711" t="str">
        <f>CONCATENATE("Note: If the ",E1-2," budget was amended, then the")</f>
        <v>Note: If the 2011 budget was amended, then the</v>
      </c>
      <c r="D59" s="712"/>
      <c r="E59" s="712"/>
    </row>
    <row r="60" spans="1:5" ht="15.75">
      <c r="A60" s="115" t="s">
        <v>266</v>
      </c>
      <c r="B60" s="115" t="s">
        <v>267</v>
      </c>
      <c r="C60" s="116" t="s">
        <v>268</v>
      </c>
      <c r="D60" s="117"/>
      <c r="E60" s="117"/>
    </row>
    <row r="61" spans="1:5" ht="15.75">
      <c r="A61" s="118" t="str">
        <f>inputPrYr!B17</f>
        <v>General</v>
      </c>
      <c r="B61" s="49">
        <v>957430</v>
      </c>
      <c r="C61" s="116" t="s">
        <v>269</v>
      </c>
      <c r="D61" s="117"/>
      <c r="E61" s="117"/>
    </row>
    <row r="62" spans="1:5" ht="15.75">
      <c r="A62" s="118" t="str">
        <f>inputPrYr!B18</f>
        <v>Debt Service</v>
      </c>
      <c r="B62" s="49"/>
      <c r="C62" s="116"/>
      <c r="D62" s="117"/>
      <c r="E62" s="117"/>
    </row>
    <row r="63" spans="1:5" ht="15.75">
      <c r="A63" s="118" t="str">
        <f>inputPrYr!B19</f>
        <v>Library</v>
      </c>
      <c r="B63" s="49">
        <v>31245</v>
      </c>
      <c r="C63" s="85"/>
      <c r="D63" s="85"/>
      <c r="E63" s="85"/>
    </row>
    <row r="64" spans="1:5" ht="15.75">
      <c r="A64" s="118">
        <f>inputPrYr!B21</f>
        <v>0</v>
      </c>
      <c r="B64" s="49"/>
      <c r="C64" s="85"/>
      <c r="D64" s="85"/>
      <c r="E64" s="85"/>
    </row>
    <row r="65" spans="1:5" ht="15.75">
      <c r="A65" s="118">
        <f>inputPrYr!B22</f>
        <v>0</v>
      </c>
      <c r="B65" s="49"/>
      <c r="C65" s="85"/>
      <c r="D65" s="85"/>
      <c r="E65" s="85"/>
    </row>
    <row r="66" spans="1:5" ht="15.75">
      <c r="A66" s="118">
        <f>inputPrYr!B23</f>
        <v>0</v>
      </c>
      <c r="B66" s="49"/>
      <c r="C66" s="85"/>
      <c r="D66" s="85"/>
      <c r="E66" s="85"/>
    </row>
    <row r="67" spans="1:5" ht="15.75">
      <c r="A67" s="118">
        <f>inputPrYr!B24</f>
        <v>0</v>
      </c>
      <c r="B67" s="49"/>
      <c r="C67" s="85"/>
      <c r="D67" s="85"/>
      <c r="E67" s="85"/>
    </row>
    <row r="68" spans="1:5" ht="15.75">
      <c r="A68" s="118">
        <f>inputPrYr!B25</f>
        <v>0</v>
      </c>
      <c r="B68" s="49"/>
      <c r="C68" s="85"/>
      <c r="D68" s="85"/>
      <c r="E68" s="85"/>
    </row>
    <row r="69" spans="1:5" ht="15.75">
      <c r="A69" s="118">
        <f>inputPrYr!B26</f>
        <v>0</v>
      </c>
      <c r="B69" s="49"/>
      <c r="C69" s="85"/>
      <c r="D69" s="85"/>
      <c r="E69" s="85"/>
    </row>
    <row r="70" spans="1:5" ht="15.75">
      <c r="A70" s="118">
        <f>inputPrYr!B27</f>
        <v>0</v>
      </c>
      <c r="B70" s="49"/>
      <c r="C70" s="85"/>
      <c r="D70" s="85"/>
      <c r="E70" s="85"/>
    </row>
    <row r="71" spans="1:5" ht="15.75">
      <c r="A71" s="118">
        <f>inputPrYr!B28</f>
        <v>0</v>
      </c>
      <c r="B71" s="49"/>
      <c r="C71" s="85"/>
      <c r="D71" s="85"/>
      <c r="E71" s="85"/>
    </row>
    <row r="72" spans="1:5" ht="15.75">
      <c r="A72" s="118">
        <f>inputPrYr!B29</f>
        <v>0</v>
      </c>
      <c r="B72" s="49"/>
      <c r="C72" s="85"/>
      <c r="D72" s="85"/>
      <c r="E72" s="85"/>
    </row>
    <row r="73" spans="1:5" ht="15.75">
      <c r="A73" s="118">
        <f>inputPrYr!B30</f>
        <v>0</v>
      </c>
      <c r="B73" s="49"/>
      <c r="C73" s="85"/>
      <c r="D73" s="85"/>
      <c r="E73" s="85"/>
    </row>
    <row r="74" spans="1:5" ht="15.75">
      <c r="A74" s="118" t="str">
        <f>inputPrYr!B34</f>
        <v>Special Highway</v>
      </c>
      <c r="B74" s="49">
        <v>49003</v>
      </c>
      <c r="C74" s="85"/>
      <c r="D74" s="85"/>
      <c r="E74" s="85"/>
    </row>
    <row r="75" spans="1:5" ht="15.75">
      <c r="A75" s="118" t="str">
        <f>inputPrYr!B35</f>
        <v>Special Parks &amp; Recreation</v>
      </c>
      <c r="B75" s="49">
        <v>1948</v>
      </c>
      <c r="C75" s="85"/>
      <c r="D75" s="85"/>
      <c r="E75" s="85"/>
    </row>
    <row r="76" spans="1:5" ht="15.75">
      <c r="A76" s="118" t="str">
        <f>inputPrYr!B36</f>
        <v>Electric &amp; Water Utility</v>
      </c>
      <c r="B76" s="49">
        <v>1677968</v>
      </c>
      <c r="C76" s="85"/>
      <c r="D76" s="85"/>
      <c r="E76" s="85"/>
    </row>
    <row r="77" spans="1:5" ht="15.75">
      <c r="A77" s="118"/>
      <c r="B77" s="49"/>
      <c r="C77" s="85"/>
      <c r="D77" s="85"/>
      <c r="E77" s="85"/>
    </row>
    <row r="78" spans="1:5" ht="15.75">
      <c r="A78" s="118">
        <f>inputPrYr!B37</f>
        <v>0</v>
      </c>
      <c r="B78" s="49"/>
      <c r="C78" s="85"/>
      <c r="D78" s="85"/>
      <c r="E78" s="85"/>
    </row>
    <row r="79" spans="1:5" ht="15.75">
      <c r="A79" s="118" t="str">
        <f>inputPrYr!B38</f>
        <v>Sewer Utility</v>
      </c>
      <c r="B79" s="49">
        <v>160162</v>
      </c>
      <c r="C79" s="85"/>
      <c r="D79" s="85"/>
      <c r="E79" s="85"/>
    </row>
    <row r="80" spans="1:5" ht="15.75">
      <c r="A80" s="118" t="str">
        <f>inputPrYr!B39</f>
        <v>Refuse Utility</v>
      </c>
      <c r="B80" s="49">
        <v>160450</v>
      </c>
      <c r="C80" s="85"/>
      <c r="D80" s="85"/>
      <c r="E80" s="85"/>
    </row>
    <row r="81" spans="1:5" ht="15.75">
      <c r="A81" s="118" t="str">
        <f>inputPrYr!B40</f>
        <v>Theatre Enterprise</v>
      </c>
      <c r="B81" s="49">
        <v>62123</v>
      </c>
      <c r="C81" s="85"/>
      <c r="D81" s="85"/>
      <c r="E81" s="85"/>
    </row>
    <row r="82" spans="1:5" ht="15.75">
      <c r="A82" s="118" t="str">
        <f>inputPrYr!B41</f>
        <v>Tourism &amp; Convention</v>
      </c>
      <c r="B82" s="49">
        <v>13808</v>
      </c>
      <c r="C82" s="85"/>
      <c r="D82" s="85"/>
      <c r="E82" s="85"/>
    </row>
    <row r="83" spans="1:5" ht="15.75">
      <c r="A83" s="118" t="str">
        <f>inputPrYr!B44</f>
        <v>EMS Building Maintenance</v>
      </c>
      <c r="B83" s="49">
        <v>10570</v>
      </c>
      <c r="C83" s="85"/>
      <c r="D83" s="85"/>
      <c r="E83" s="85"/>
    </row>
    <row r="84" spans="1:5" ht="15.75">
      <c r="A84" s="118">
        <f>inputPrYr!B45</f>
        <v>0</v>
      </c>
      <c r="B84" s="49"/>
      <c r="C84" s="85"/>
      <c r="D84" s="85"/>
      <c r="E84" s="85"/>
    </row>
    <row r="85" spans="1:5" ht="15.75">
      <c r="A85" s="118">
        <f>inputPrYr!B46</f>
        <v>0</v>
      </c>
      <c r="B85" s="49"/>
      <c r="C85" s="85"/>
      <c r="D85" s="85"/>
      <c r="E85" s="85"/>
    </row>
    <row r="86" spans="1:5" ht="15.75">
      <c r="A86" s="118">
        <f>inputPrYr!B47</f>
        <v>0</v>
      </c>
      <c r="B86" s="49"/>
      <c r="C86" s="85"/>
      <c r="D86" s="85"/>
      <c r="E86" s="85"/>
    </row>
  </sheetData>
  <mergeCells count="5">
    <mergeCell ref="C59:E59"/>
    <mergeCell ref="A20:B20"/>
    <mergeCell ref="A55:E55"/>
    <mergeCell ref="A3:E3"/>
    <mergeCell ref="A58:B58"/>
  </mergeCells>
  <phoneticPr fontId="11" type="noConversion"/>
  <pageMargins left="0.75" right="0.75" top="1" bottom="1" header="0.5" footer="0.5"/>
  <pageSetup scale="4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B1:E53"/>
  <sheetViews>
    <sheetView topLeftCell="A25" workbookViewId="0">
      <selection activeCell="C42" sqref="C42"/>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St.Francis</v>
      </c>
      <c r="C1" s="22"/>
      <c r="D1" s="22"/>
      <c r="E1" s="185">
        <f>inputPrYr!$C$5</f>
        <v>2013</v>
      </c>
    </row>
    <row r="2" spans="2:5" ht="15.75">
      <c r="B2" s="22"/>
      <c r="C2" s="22"/>
      <c r="D2" s="22"/>
      <c r="E2" s="147"/>
    </row>
    <row r="3" spans="2:5" ht="15.75">
      <c r="B3" s="41" t="s">
        <v>91</v>
      </c>
      <c r="C3" s="264"/>
      <c r="D3" s="264"/>
      <c r="E3" s="265"/>
    </row>
    <row r="4" spans="2:5" ht="15.75">
      <c r="B4" s="29" t="s">
        <v>24</v>
      </c>
      <c r="C4" s="604" t="s">
        <v>808</v>
      </c>
      <c r="D4" s="605" t="s">
        <v>809</v>
      </c>
      <c r="E4" s="125" t="s">
        <v>810</v>
      </c>
    </row>
    <row r="5" spans="2:5" ht="15.75">
      <c r="B5" s="363">
        <f>inputPrYr!B47</f>
        <v>0</v>
      </c>
      <c r="C5" s="351" t="str">
        <f>CONCATENATE("Actual for ",E1-2,"")</f>
        <v>Actual for 2011</v>
      </c>
      <c r="D5" s="351" t="str">
        <f>CONCATENATE("Estimate for ",E1-1,"")</f>
        <v>Estimate for 2012</v>
      </c>
      <c r="E5" s="222" t="str">
        <f>CONCATENATE("Year for ",E1,"")</f>
        <v>Year for 2013</v>
      </c>
    </row>
    <row r="6" spans="2:5" ht="15.75">
      <c r="B6" s="131" t="s">
        <v>145</v>
      </c>
      <c r="C6" s="50"/>
      <c r="D6" s="193">
        <f>C48</f>
        <v>0</v>
      </c>
      <c r="E6" s="193">
        <f>D48</f>
        <v>0</v>
      </c>
    </row>
    <row r="7" spans="2:5" ht="15.75">
      <c r="B7" s="131" t="s">
        <v>147</v>
      </c>
      <c r="C7" s="68"/>
      <c r="D7" s="68"/>
      <c r="E7" s="68"/>
    </row>
    <row r="8" spans="2:5" ht="15.75">
      <c r="B8" s="262"/>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1"/>
      <c r="C14" s="88"/>
      <c r="D14" s="88"/>
      <c r="E14" s="88"/>
    </row>
    <row r="15" spans="2:5" ht="15.75">
      <c r="B15" s="239"/>
      <c r="C15" s="230"/>
      <c r="D15" s="230"/>
      <c r="E15" s="230"/>
    </row>
    <row r="16" spans="2:5" ht="15.75">
      <c r="B16" s="266" t="s">
        <v>30</v>
      </c>
      <c r="C16" s="230"/>
      <c r="D16" s="230"/>
      <c r="E16" s="230"/>
    </row>
    <row r="17" spans="2:5" ht="15.75">
      <c r="B17" s="139" t="s">
        <v>270</v>
      </c>
      <c r="C17" s="230"/>
      <c r="D17" s="228"/>
      <c r="E17" s="228"/>
    </row>
    <row r="18" spans="2:5" ht="15.75">
      <c r="B18" s="223" t="s">
        <v>791</v>
      </c>
      <c r="C18" s="365" t="str">
        <f>IF(C19*0.1&lt;C17,"Exceed 10% Rule","")</f>
        <v/>
      </c>
      <c r="D18" s="254" t="str">
        <f>IF(D19*0.1&lt;D17,"Exceed 10% Rule","")</f>
        <v/>
      </c>
      <c r="E18" s="254" t="str">
        <f>IF(E19*0.1&lt;E17,"Exceed 10% Rule","")</f>
        <v/>
      </c>
    </row>
    <row r="19" spans="2:5" ht="15.75">
      <c r="B19" s="233" t="s">
        <v>31</v>
      </c>
      <c r="C19" s="258">
        <f>SUM(C8:C17)</f>
        <v>0</v>
      </c>
      <c r="D19" s="258">
        <f>SUM(D8:D17)</f>
        <v>0</v>
      </c>
      <c r="E19" s="258">
        <f>SUM(E8:E17)</f>
        <v>0</v>
      </c>
    </row>
    <row r="20" spans="2:5" ht="15.75">
      <c r="B20" s="233" t="s">
        <v>32</v>
      </c>
      <c r="C20" s="258">
        <f>C6+C19</f>
        <v>0</v>
      </c>
      <c r="D20" s="258">
        <f>D6+D19</f>
        <v>0</v>
      </c>
      <c r="E20" s="258">
        <f>E6+E19</f>
        <v>0</v>
      </c>
    </row>
    <row r="21" spans="2:5" ht="15.75">
      <c r="B21" s="131" t="s">
        <v>34</v>
      </c>
      <c r="C21" s="68"/>
      <c r="D21" s="68"/>
      <c r="E21" s="68"/>
    </row>
    <row r="22" spans="2:5" ht="15.75">
      <c r="B22" s="239" t="s">
        <v>181</v>
      </c>
      <c r="C22" s="230"/>
      <c r="D22" s="230"/>
      <c r="E22" s="230"/>
    </row>
    <row r="23" spans="2:5" ht="15.75">
      <c r="B23" s="262" t="s">
        <v>280</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270</v>
      </c>
      <c r="C45" s="230"/>
      <c r="D45" s="228"/>
      <c r="E45" s="228"/>
    </row>
    <row r="46" spans="2:5" ht="15.75">
      <c r="B46" s="240" t="s">
        <v>792</v>
      </c>
      <c r="C46" s="365" t="str">
        <f>IF(C47*0.1&lt;C45,"Exceed 10% Rule","")</f>
        <v/>
      </c>
      <c r="D46" s="254" t="str">
        <f>IF(D47*0.1&lt;D45,"Exceed 10% Rule","")</f>
        <v/>
      </c>
      <c r="E46" s="254" t="str">
        <f>IF(E47*0.1&lt;E45,"Exceed 10% Rule","")</f>
        <v/>
      </c>
    </row>
    <row r="47" spans="2:5" ht="15.75">
      <c r="B47" s="233" t="s">
        <v>38</v>
      </c>
      <c r="C47" s="258">
        <f>SUM(C22:C45)</f>
        <v>0</v>
      </c>
      <c r="D47" s="258">
        <f>SUM(D22:D45)</f>
        <v>0</v>
      </c>
      <c r="E47" s="258">
        <f>SUM(E22:E45)</f>
        <v>0</v>
      </c>
    </row>
    <row r="48" spans="2:5" ht="15.75">
      <c r="B48" s="131" t="s">
        <v>146</v>
      </c>
      <c r="C48" s="193">
        <f>C20-C47</f>
        <v>0</v>
      </c>
      <c r="D48" s="193">
        <f>D20-D47</f>
        <v>0</v>
      </c>
      <c r="E48" s="193">
        <f>E20-E47</f>
        <v>0</v>
      </c>
    </row>
    <row r="49" spans="2:5" ht="15.75">
      <c r="B49" s="119" t="str">
        <f>CONCATENATE("",E1-2,"/",E1-1," Budget Authority Amount:")</f>
        <v>2011/2012 Budget Authority Amount:</v>
      </c>
      <c r="C49" s="183">
        <f>inputOth!B86</f>
        <v>0</v>
      </c>
      <c r="D49" s="183">
        <f>inputPrYr!D47</f>
        <v>0</v>
      </c>
      <c r="E49" s="391"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41</v>
      </c>
      <c r="C53" s="249"/>
      <c r="D53" s="85"/>
      <c r="E53" s="85"/>
    </row>
  </sheetData>
  <phoneticPr fontId="11" type="noConversion"/>
  <conditionalFormatting sqref="C17">
    <cfRule type="cellIs" dxfId="9" priority="2" stopIfTrue="1" operator="greaterThan">
      <formula>$C$19*0.1</formula>
    </cfRule>
  </conditionalFormatting>
  <conditionalFormatting sqref="D17">
    <cfRule type="cellIs" dxfId="8" priority="3" stopIfTrue="1" operator="greaterThan">
      <formula>$D$19*0.1</formula>
    </cfRule>
  </conditionalFormatting>
  <conditionalFormatting sqref="E17">
    <cfRule type="cellIs" dxfId="7" priority="4" stopIfTrue="1" operator="greaterThan">
      <formula>$E$19*0.1</formula>
    </cfRule>
  </conditionalFormatting>
  <conditionalFormatting sqref="C45">
    <cfRule type="cellIs" dxfId="6" priority="5" stopIfTrue="1" operator="greaterThan">
      <formula>$C$47*0.1</formula>
    </cfRule>
  </conditionalFormatting>
  <conditionalFormatting sqref="D45">
    <cfRule type="cellIs" dxfId="5" priority="6" stopIfTrue="1" operator="greaterThan">
      <formula>$D$47*0.1</formula>
    </cfRule>
  </conditionalFormatting>
  <conditionalFormatting sqref="E45">
    <cfRule type="cellIs" dxfId="4" priority="7" stopIfTrue="1" operator="greaterThan">
      <formula>$E$47*0.1</formula>
    </cfRule>
  </conditionalFormatting>
  <conditionalFormatting sqref="C48 E48">
    <cfRule type="cellIs" dxfId="3" priority="8" stopIfTrue="1" operator="lessThan">
      <formula>0</formula>
    </cfRule>
  </conditionalFormatting>
  <conditionalFormatting sqref="C47">
    <cfRule type="cellIs" dxfId="2" priority="9" stopIfTrue="1" operator="greaterThan">
      <formula>$C$49</formula>
    </cfRule>
  </conditionalFormatting>
  <conditionalFormatting sqref="D47">
    <cfRule type="cellIs" dxfId="1" priority="10" stopIfTrue="1" operator="greaterThan">
      <formula>$D$49</formula>
    </cfRule>
  </conditionalFormatting>
  <conditionalFormatting sqref="D48">
    <cfRule type="cellIs" dxfId="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A1:L41"/>
  <sheetViews>
    <sheetView topLeftCell="E4" workbookViewId="0">
      <selection activeCell="K33" sqref="K33"/>
    </sheetView>
  </sheetViews>
  <sheetFormatPr defaultRowHeight="15.75"/>
  <cols>
    <col min="1" max="1" width="24.88671875" style="8" bestFit="1" customWidth="1"/>
    <col min="2" max="2" width="7.44140625" style="8" customWidth="1"/>
    <col min="3" max="3" width="27.33203125" style="8" bestFit="1" customWidth="1"/>
    <col min="4" max="4" width="7.44140625" style="8" customWidth="1"/>
    <col min="5" max="5" width="11.5546875" style="8" customWidth="1"/>
    <col min="6" max="6" width="12.109375" style="8" customWidth="1"/>
    <col min="7" max="7" width="11.5546875" style="8" customWidth="1"/>
    <col min="8" max="8" width="10" style="8" customWidth="1"/>
    <col min="9" max="9" width="11.5546875" style="8" customWidth="1"/>
    <col min="10" max="16384" width="8.88671875" style="8"/>
  </cols>
  <sheetData>
    <row r="1" spans="1:11">
      <c r="A1" s="86">
        <f>inputPrYr!$C$2</f>
        <v>0</v>
      </c>
      <c r="B1" s="267"/>
      <c r="C1" s="86"/>
      <c r="D1" s="86"/>
      <c r="E1" s="86"/>
      <c r="F1" s="268" t="s">
        <v>184</v>
      </c>
      <c r="G1" s="86"/>
      <c r="H1" s="86"/>
      <c r="I1" s="86"/>
      <c r="J1" s="86"/>
      <c r="K1" s="86">
        <f>inputPrYr!$C$5</f>
        <v>2013</v>
      </c>
    </row>
    <row r="2" spans="1:11">
      <c r="A2" s="86"/>
      <c r="B2" s="86"/>
      <c r="C2" s="86"/>
      <c r="D2" s="86"/>
      <c r="E2" s="86"/>
      <c r="F2" s="269" t="str">
        <f>CONCATENATE("(Only the actual budget year for ",K1-2," is to be shown)")</f>
        <v>(Only the actual budget year for 2011 is to be shown)</v>
      </c>
      <c r="G2" s="86"/>
      <c r="H2" s="86"/>
      <c r="I2" s="86"/>
      <c r="J2" s="86"/>
      <c r="K2" s="86"/>
    </row>
    <row r="3" spans="1:11">
      <c r="A3" s="86" t="s">
        <v>215</v>
      </c>
      <c r="B3" s="86"/>
      <c r="C3" s="86"/>
      <c r="D3" s="86"/>
      <c r="E3" s="86"/>
      <c r="F3" s="267"/>
      <c r="G3" s="86"/>
      <c r="H3" s="86"/>
      <c r="I3" s="86"/>
      <c r="J3" s="86"/>
      <c r="K3" s="86"/>
    </row>
    <row r="4" spans="1:11">
      <c r="A4" s="86" t="s">
        <v>192</v>
      </c>
      <c r="B4" s="86"/>
      <c r="C4" s="86" t="s">
        <v>193</v>
      </c>
      <c r="D4" s="86"/>
      <c r="E4" s="86" t="s">
        <v>194</v>
      </c>
      <c r="F4" s="267"/>
      <c r="G4" s="86" t="s">
        <v>195</v>
      </c>
      <c r="H4" s="86"/>
      <c r="I4" s="86" t="s">
        <v>196</v>
      </c>
      <c r="J4" s="86"/>
      <c r="K4" s="86"/>
    </row>
    <row r="5" spans="1:11">
      <c r="A5" s="770" t="str">
        <f>inputPrYr!$B51</f>
        <v>Equipment Reserve</v>
      </c>
      <c r="B5" s="771"/>
      <c r="C5" s="770" t="str">
        <f>inputPrYr!$B52</f>
        <v>Capital Improvements</v>
      </c>
      <c r="D5" s="771"/>
      <c r="E5" s="770" t="str">
        <f>inputPrYr!$B53</f>
        <v>Swimming Pool Contributions</v>
      </c>
      <c r="F5" s="771"/>
      <c r="G5" s="770" t="str">
        <f>inputPrYr!$B54</f>
        <v>Digital Sign Contributions</v>
      </c>
      <c r="H5" s="771"/>
      <c r="I5" s="770">
        <f>inputPrYr!$B55</f>
        <v>0</v>
      </c>
      <c r="J5" s="771"/>
      <c r="K5" s="107"/>
    </row>
    <row r="6" spans="1:11">
      <c r="A6" s="271" t="s">
        <v>180</v>
      </c>
      <c r="B6" s="272"/>
      <c r="C6" s="273" t="s">
        <v>180</v>
      </c>
      <c r="D6" s="274"/>
      <c r="E6" s="273" t="s">
        <v>180</v>
      </c>
      <c r="F6" s="275"/>
      <c r="G6" s="273" t="s">
        <v>180</v>
      </c>
      <c r="H6" s="270"/>
      <c r="I6" s="273" t="s">
        <v>180</v>
      </c>
      <c r="J6" s="86"/>
      <c r="K6" s="276" t="s">
        <v>335</v>
      </c>
    </row>
    <row r="7" spans="1:11">
      <c r="A7" s="277" t="s">
        <v>278</v>
      </c>
      <c r="B7" s="278">
        <v>0</v>
      </c>
      <c r="C7" s="279" t="s">
        <v>278</v>
      </c>
      <c r="D7" s="278">
        <v>0</v>
      </c>
      <c r="E7" s="279" t="s">
        <v>278</v>
      </c>
      <c r="F7" s="278">
        <v>1186</v>
      </c>
      <c r="G7" s="279" t="s">
        <v>278</v>
      </c>
      <c r="H7" s="278">
        <v>0</v>
      </c>
      <c r="I7" s="279" t="s">
        <v>278</v>
      </c>
      <c r="J7" s="278"/>
      <c r="K7" s="280">
        <f>SUM(B7+D7+F7+H7+J7)</f>
        <v>1186</v>
      </c>
    </row>
    <row r="8" spans="1:11">
      <c r="A8" s="281" t="s">
        <v>147</v>
      </c>
      <c r="B8" s="282"/>
      <c r="C8" s="281" t="s">
        <v>147</v>
      </c>
      <c r="D8" s="283"/>
      <c r="E8" s="281" t="s">
        <v>147</v>
      </c>
      <c r="F8" s="267"/>
      <c r="G8" s="281" t="s">
        <v>147</v>
      </c>
      <c r="H8" s="86"/>
      <c r="I8" s="281" t="s">
        <v>147</v>
      </c>
      <c r="J8" s="86"/>
      <c r="K8" s="267"/>
    </row>
    <row r="9" spans="1:11">
      <c r="A9" s="284" t="s">
        <v>1096</v>
      </c>
      <c r="B9" s="278">
        <v>200024</v>
      </c>
      <c r="C9" s="284" t="s">
        <v>1097</v>
      </c>
      <c r="D9" s="278">
        <v>177764</v>
      </c>
      <c r="E9" s="284"/>
      <c r="F9" s="278"/>
      <c r="G9" s="284" t="s">
        <v>1102</v>
      </c>
      <c r="H9" s="278">
        <v>6893</v>
      </c>
      <c r="I9" s="284"/>
      <c r="J9" s="278"/>
      <c r="K9" s="267"/>
    </row>
    <row r="10" spans="1:11">
      <c r="A10" s="284" t="s">
        <v>1091</v>
      </c>
      <c r="B10" s="278">
        <v>41000</v>
      </c>
      <c r="C10" s="284" t="s">
        <v>1098</v>
      </c>
      <c r="D10" s="278"/>
      <c r="E10" s="284"/>
      <c r="F10" s="278"/>
      <c r="G10" s="284"/>
      <c r="H10" s="278"/>
      <c r="I10" s="284"/>
      <c r="J10" s="278"/>
      <c r="K10" s="267"/>
    </row>
    <row r="11" spans="1:11">
      <c r="A11" s="284" t="s">
        <v>1092</v>
      </c>
      <c r="B11" s="278">
        <v>97000</v>
      </c>
      <c r="C11" s="285" t="s">
        <v>1011</v>
      </c>
      <c r="D11" s="286">
        <v>75000</v>
      </c>
      <c r="E11" s="285"/>
      <c r="F11" s="286"/>
      <c r="G11" s="285"/>
      <c r="H11" s="286"/>
      <c r="I11" s="287"/>
      <c r="J11" s="278"/>
      <c r="K11" s="267"/>
    </row>
    <row r="12" spans="1:11">
      <c r="A12" s="284" t="s">
        <v>1093</v>
      </c>
      <c r="B12" s="278"/>
      <c r="C12" s="284" t="s">
        <v>74</v>
      </c>
      <c r="D12" s="289">
        <v>227</v>
      </c>
      <c r="E12" s="290"/>
      <c r="F12" s="289"/>
      <c r="G12" s="290"/>
      <c r="H12" s="289"/>
      <c r="I12" s="290"/>
      <c r="J12" s="278"/>
      <c r="K12" s="267"/>
    </row>
    <row r="13" spans="1:11">
      <c r="A13" s="284" t="s">
        <v>1094</v>
      </c>
      <c r="B13" s="288">
        <v>40000</v>
      </c>
      <c r="C13" s="293"/>
      <c r="D13" s="292"/>
      <c r="E13" s="293"/>
      <c r="F13" s="292"/>
      <c r="G13" s="293"/>
      <c r="H13" s="292"/>
      <c r="I13" s="287"/>
      <c r="J13" s="278"/>
      <c r="K13" s="267"/>
    </row>
    <row r="14" spans="1:11">
      <c r="A14" s="291" t="s">
        <v>1095</v>
      </c>
      <c r="B14" s="292">
        <v>20000</v>
      </c>
      <c r="C14" s="290"/>
      <c r="D14" s="289"/>
      <c r="E14" s="290"/>
      <c r="F14" s="289"/>
      <c r="G14" s="290"/>
      <c r="H14" s="289"/>
      <c r="I14" s="290"/>
      <c r="J14" s="278"/>
      <c r="K14" s="267"/>
    </row>
    <row r="15" spans="1:11">
      <c r="A15" s="284" t="s">
        <v>74</v>
      </c>
      <c r="B15" s="278">
        <v>73</v>
      </c>
      <c r="C15" s="290"/>
      <c r="D15" s="289"/>
      <c r="E15" s="290"/>
      <c r="F15" s="289"/>
      <c r="G15" s="290"/>
      <c r="H15" s="289"/>
      <c r="I15" s="290"/>
      <c r="J15" s="278"/>
      <c r="K15" s="267"/>
    </row>
    <row r="16" spans="1:11">
      <c r="A16" s="284"/>
      <c r="B16" s="292"/>
      <c r="C16" s="284"/>
      <c r="D16" s="292"/>
      <c r="E16" s="284"/>
      <c r="F16" s="278"/>
      <c r="G16" s="290"/>
      <c r="H16" s="292"/>
      <c r="I16" s="284"/>
      <c r="J16" s="289"/>
      <c r="K16" s="267"/>
    </row>
    <row r="17" spans="1:12">
      <c r="A17" s="281" t="s">
        <v>31</v>
      </c>
      <c r="B17" s="280">
        <f>SUM(B9:B16)</f>
        <v>398097</v>
      </c>
      <c r="C17" s="281" t="s">
        <v>31</v>
      </c>
      <c r="D17" s="294">
        <f>SUM(D9:D16)</f>
        <v>252991</v>
      </c>
      <c r="E17" s="281" t="s">
        <v>31</v>
      </c>
      <c r="F17" s="295">
        <f>SUM(F9:F16)</f>
        <v>0</v>
      </c>
      <c r="G17" s="281" t="s">
        <v>31</v>
      </c>
      <c r="H17" s="294">
        <f>SUM(H9:H16)</f>
        <v>6893</v>
      </c>
      <c r="I17" s="281" t="s">
        <v>31</v>
      </c>
      <c r="J17" s="294">
        <f>SUM(J9:J16)</f>
        <v>0</v>
      </c>
      <c r="K17" s="280">
        <f>SUM(B17+D17+F17+H17+J17)</f>
        <v>657981</v>
      </c>
    </row>
    <row r="18" spans="1:12">
      <c r="A18" s="281" t="s">
        <v>32</v>
      </c>
      <c r="B18" s="280">
        <f>SUM(B7+B17)</f>
        <v>398097</v>
      </c>
      <c r="C18" s="281" t="s">
        <v>32</v>
      </c>
      <c r="D18" s="280">
        <f>SUM(D7+D17)</f>
        <v>252991</v>
      </c>
      <c r="E18" s="281" t="s">
        <v>32</v>
      </c>
      <c r="F18" s="280">
        <f>SUM(F7+F17)</f>
        <v>1186</v>
      </c>
      <c r="G18" s="281" t="s">
        <v>32</v>
      </c>
      <c r="H18" s="280">
        <f>SUM(H7+H17)</f>
        <v>6893</v>
      </c>
      <c r="I18" s="281" t="s">
        <v>32</v>
      </c>
      <c r="J18" s="280">
        <f>SUM(J7+J17)</f>
        <v>0</v>
      </c>
      <c r="K18" s="280">
        <f>SUM(B18+D18+F18+H18+J18)</f>
        <v>659167</v>
      </c>
    </row>
    <row r="19" spans="1:12">
      <c r="A19" s="281" t="s">
        <v>34</v>
      </c>
      <c r="B19" s="282"/>
      <c r="C19" s="281" t="s">
        <v>34</v>
      </c>
      <c r="D19" s="283"/>
      <c r="E19" s="281" t="s">
        <v>34</v>
      </c>
      <c r="F19" s="267"/>
      <c r="G19" s="281" t="s">
        <v>34</v>
      </c>
      <c r="H19" s="86"/>
      <c r="I19" s="281" t="s">
        <v>34</v>
      </c>
      <c r="J19" s="86"/>
      <c r="K19" s="267"/>
    </row>
    <row r="20" spans="1:12">
      <c r="A20" s="284" t="s">
        <v>1032</v>
      </c>
      <c r="B20" s="278">
        <v>148358</v>
      </c>
      <c r="C20" s="290" t="s">
        <v>1099</v>
      </c>
      <c r="D20" s="278">
        <v>25000</v>
      </c>
      <c r="E20" s="290"/>
      <c r="F20" s="278"/>
      <c r="G20" s="290"/>
      <c r="H20" s="278"/>
      <c r="I20" s="290"/>
      <c r="J20" s="278"/>
      <c r="K20" s="267"/>
    </row>
    <row r="21" spans="1:12">
      <c r="A21" s="284"/>
      <c r="B21" s="278"/>
      <c r="C21" s="290" t="s">
        <v>1100</v>
      </c>
      <c r="D21" s="289">
        <v>36000</v>
      </c>
      <c r="E21" s="290"/>
      <c r="F21" s="289"/>
      <c r="G21" s="290"/>
      <c r="H21" s="289"/>
      <c r="I21" s="290"/>
      <c r="J21" s="296"/>
      <c r="K21" s="267"/>
    </row>
    <row r="22" spans="1:12">
      <c r="A22" s="284"/>
      <c r="B22" s="297"/>
      <c r="C22" s="293" t="s">
        <v>1101</v>
      </c>
      <c r="D22" s="292">
        <v>63118</v>
      </c>
      <c r="E22" s="293"/>
      <c r="F22" s="292"/>
      <c r="G22" s="293"/>
      <c r="H22" s="292"/>
      <c r="I22" s="287"/>
      <c r="J22" s="278"/>
      <c r="K22" s="267"/>
    </row>
    <row r="23" spans="1:12">
      <c r="A23" s="284"/>
      <c r="B23" s="278"/>
      <c r="C23" s="290"/>
      <c r="D23" s="289"/>
      <c r="E23" s="290"/>
      <c r="F23" s="289"/>
      <c r="G23" s="290"/>
      <c r="H23" s="289"/>
      <c r="I23" s="290"/>
      <c r="J23" s="278"/>
      <c r="K23" s="267"/>
    </row>
    <row r="24" spans="1:12">
      <c r="A24" s="284"/>
      <c r="B24" s="297"/>
      <c r="C24" s="293"/>
      <c r="D24" s="292"/>
      <c r="E24" s="293"/>
      <c r="F24" s="292"/>
      <c r="G24" s="293"/>
      <c r="H24" s="292"/>
      <c r="I24" s="287"/>
      <c r="J24" s="278"/>
      <c r="K24" s="267"/>
    </row>
    <row r="25" spans="1:12">
      <c r="A25" s="284"/>
      <c r="B25" s="278"/>
      <c r="C25" s="290"/>
      <c r="D25" s="289"/>
      <c r="E25" s="290"/>
      <c r="F25" s="289"/>
      <c r="G25" s="290"/>
      <c r="H25" s="289"/>
      <c r="I25" s="290"/>
      <c r="J25" s="278"/>
      <c r="K25" s="267"/>
    </row>
    <row r="26" spans="1:12">
      <c r="A26" s="284"/>
      <c r="B26" s="278"/>
      <c r="C26" s="290"/>
      <c r="D26" s="289"/>
      <c r="E26" s="290"/>
      <c r="F26" s="289"/>
      <c r="G26" s="290"/>
      <c r="H26" s="289"/>
      <c r="I26" s="290"/>
      <c r="J26" s="278"/>
      <c r="K26" s="267"/>
    </row>
    <row r="27" spans="1:12">
      <c r="A27" s="284"/>
      <c r="B27" s="296"/>
      <c r="C27" s="284"/>
      <c r="D27" s="288"/>
      <c r="E27" s="284"/>
      <c r="F27" s="289"/>
      <c r="G27" s="290"/>
      <c r="H27" s="289"/>
      <c r="I27" s="290"/>
      <c r="J27" s="278"/>
      <c r="K27" s="267"/>
    </row>
    <row r="28" spans="1:12">
      <c r="A28" s="281" t="s">
        <v>38</v>
      </c>
      <c r="B28" s="280">
        <f>SUM(B20:B27)</f>
        <v>148358</v>
      </c>
      <c r="C28" s="281" t="s">
        <v>38</v>
      </c>
      <c r="D28" s="280">
        <f>SUM(D20:D27)</f>
        <v>124118</v>
      </c>
      <c r="E28" s="281" t="s">
        <v>38</v>
      </c>
      <c r="F28" s="378">
        <f>SUM(F20:F27)</f>
        <v>0</v>
      </c>
      <c r="G28" s="281" t="s">
        <v>38</v>
      </c>
      <c r="H28" s="378">
        <f>SUM(H20:H27)</f>
        <v>0</v>
      </c>
      <c r="I28" s="281" t="s">
        <v>38</v>
      </c>
      <c r="J28" s="280">
        <f>SUM(J20:J27)</f>
        <v>0</v>
      </c>
      <c r="K28" s="280">
        <f>SUM(B28+D28+F28+H28+J28)</f>
        <v>272476</v>
      </c>
    </row>
    <row r="29" spans="1:12">
      <c r="A29" s="281" t="s">
        <v>179</v>
      </c>
      <c r="B29" s="280">
        <f>SUM(B18-B28)</f>
        <v>249739</v>
      </c>
      <c r="C29" s="281" t="s">
        <v>179</v>
      </c>
      <c r="D29" s="280">
        <f>SUM(D18-D28)</f>
        <v>128873</v>
      </c>
      <c r="E29" s="281" t="s">
        <v>179</v>
      </c>
      <c r="F29" s="280">
        <f>SUM(F18-F28)</f>
        <v>1186</v>
      </c>
      <c r="G29" s="281" t="s">
        <v>179</v>
      </c>
      <c r="H29" s="280">
        <f>SUM(H18-H28)</f>
        <v>6893</v>
      </c>
      <c r="I29" s="281" t="s">
        <v>179</v>
      </c>
      <c r="J29" s="280">
        <f>SUM(J18-J28)</f>
        <v>0</v>
      </c>
      <c r="K29" s="298">
        <f>SUM(B29+D29+F29+H29+J29)</f>
        <v>386691</v>
      </c>
      <c r="L29" s="299" t="s">
        <v>252</v>
      </c>
    </row>
    <row r="30" spans="1:12">
      <c r="A30" s="281"/>
      <c r="B30" s="322" t="str">
        <f>IF(B29&lt;0,"See Tab B","")</f>
        <v/>
      </c>
      <c r="C30" s="281"/>
      <c r="D30" s="322" t="str">
        <f>IF(D29&lt;0,"See Tab B","")</f>
        <v/>
      </c>
      <c r="E30" s="281"/>
      <c r="F30" s="322" t="str">
        <f>IF(F29&lt;0,"See Tab B","")</f>
        <v/>
      </c>
      <c r="G30" s="86"/>
      <c r="H30" s="322" t="str">
        <f>IF(H29&lt;0,"See Tab B","")</f>
        <v/>
      </c>
      <c r="I30" s="86"/>
      <c r="J30" s="322" t="str">
        <f>IF(J29&lt;0,"See Tab B","")</f>
        <v/>
      </c>
      <c r="K30" s="298">
        <f>SUM(K7+K17-K28)</f>
        <v>386691</v>
      </c>
      <c r="L30" s="299" t="s">
        <v>252</v>
      </c>
    </row>
    <row r="31" spans="1:12">
      <c r="A31" s="86"/>
      <c r="B31" s="300"/>
      <c r="C31" s="86"/>
      <c r="D31" s="267"/>
      <c r="E31" s="86"/>
      <c r="F31" s="86"/>
      <c r="G31" s="19" t="s">
        <v>253</v>
      </c>
      <c r="H31" s="19"/>
      <c r="I31" s="19"/>
      <c r="J31" s="19"/>
      <c r="K31" s="86"/>
    </row>
    <row r="32" spans="1:12">
      <c r="A32" s="86"/>
      <c r="B32" s="300"/>
      <c r="C32" s="86"/>
      <c r="D32" s="86"/>
      <c r="E32" s="86"/>
      <c r="F32" s="86"/>
      <c r="G32" s="86"/>
      <c r="H32" s="86"/>
      <c r="I32" s="86"/>
      <c r="J32" s="86"/>
      <c r="K32" s="86"/>
    </row>
    <row r="33" spans="1:11">
      <c r="A33" s="86"/>
      <c r="B33" s="300"/>
      <c r="C33" s="86"/>
      <c r="D33" s="86"/>
      <c r="E33" s="245" t="s">
        <v>41</v>
      </c>
      <c r="F33" s="249">
        <v>15</v>
      </c>
      <c r="G33" s="86"/>
      <c r="H33" s="86"/>
      <c r="I33" s="86"/>
      <c r="J33" s="86"/>
      <c r="K33" s="86"/>
    </row>
    <row r="34" spans="1:11">
      <c r="B34" s="301"/>
    </row>
    <row r="35" spans="1:11">
      <c r="B35" s="301"/>
    </row>
    <row r="36" spans="1:11">
      <c r="B36" s="301"/>
    </row>
    <row r="37" spans="1:11">
      <c r="B37" s="301"/>
    </row>
    <row r="38" spans="1:11">
      <c r="B38" s="301"/>
    </row>
    <row r="39" spans="1:11">
      <c r="B39" s="301"/>
    </row>
    <row r="40" spans="1:11">
      <c r="B40" s="301"/>
    </row>
    <row r="41" spans="1:11">
      <c r="B41" s="301"/>
    </row>
  </sheetData>
  <mergeCells count="5">
    <mergeCell ref="I5:J5"/>
    <mergeCell ref="A5:B5"/>
    <mergeCell ref="C5:D5"/>
    <mergeCell ref="E5:F5"/>
    <mergeCell ref="G5:H5"/>
  </mergeCells>
  <phoneticPr fontId="11" type="noConversion"/>
  <pageMargins left="0" right="0" top="1" bottom="1" header="0.5" footer="0.5"/>
  <pageSetup scale="79" orientation="landscape"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7"/>
      <c r="C1" s="86"/>
      <c r="D1" s="86"/>
      <c r="E1" s="86"/>
      <c r="F1" s="268" t="s">
        <v>185</v>
      </c>
      <c r="G1" s="86"/>
      <c r="H1" s="86"/>
      <c r="I1" s="86"/>
      <c r="J1" s="86"/>
      <c r="K1" s="86">
        <f>inputPrYr!$C$5</f>
        <v>2013</v>
      </c>
    </row>
    <row r="2" spans="1:11">
      <c r="A2" s="86"/>
      <c r="B2" s="86"/>
      <c r="C2" s="86"/>
      <c r="D2" s="86"/>
      <c r="E2" s="86"/>
      <c r="F2" s="267" t="str">
        <f>CONCATENATE("(Only the actual budget year for ",K1-2," is to be shown)")</f>
        <v>(Only the actual budget year for 2011 is to be shown)</v>
      </c>
      <c r="G2" s="86"/>
      <c r="H2" s="86"/>
      <c r="I2" s="86"/>
      <c r="J2" s="86"/>
      <c r="K2" s="86"/>
    </row>
    <row r="3" spans="1:11">
      <c r="A3" s="86" t="s">
        <v>216</v>
      </c>
      <c r="B3" s="86"/>
      <c r="C3" s="86"/>
      <c r="D3" s="86"/>
      <c r="E3" s="86"/>
      <c r="F3" s="267"/>
      <c r="G3" s="86"/>
      <c r="H3" s="86"/>
      <c r="I3" s="86"/>
      <c r="J3" s="86"/>
      <c r="K3" s="86"/>
    </row>
    <row r="4" spans="1:11">
      <c r="A4" s="86" t="s">
        <v>192</v>
      </c>
      <c r="B4" s="86"/>
      <c r="C4" s="86" t="s">
        <v>193</v>
      </c>
      <c r="D4" s="86"/>
      <c r="E4" s="86" t="s">
        <v>194</v>
      </c>
      <c r="F4" s="267"/>
      <c r="G4" s="86" t="s">
        <v>195</v>
      </c>
      <c r="H4" s="86"/>
      <c r="I4" s="86" t="s">
        <v>196</v>
      </c>
      <c r="J4" s="86"/>
      <c r="K4" s="86"/>
    </row>
    <row r="5" spans="1:11">
      <c r="A5" s="770">
        <f>inputPrYr!$B57</f>
        <v>0</v>
      </c>
      <c r="B5" s="771"/>
      <c r="C5" s="770">
        <f>inputPrYr!$B58</f>
        <v>0</v>
      </c>
      <c r="D5" s="771"/>
      <c r="E5" s="770">
        <f>inputPrYr!$B59</f>
        <v>0</v>
      </c>
      <c r="F5" s="771"/>
      <c r="G5" s="770">
        <f>inputPrYr!$B60</f>
        <v>0</v>
      </c>
      <c r="H5" s="771"/>
      <c r="I5" s="770">
        <f>inputPrYr!$B61</f>
        <v>0</v>
      </c>
      <c r="J5" s="771"/>
      <c r="K5" s="107"/>
    </row>
    <row r="6" spans="1:11">
      <c r="A6" s="271" t="s">
        <v>180</v>
      </c>
      <c r="B6" s="272"/>
      <c r="C6" s="273" t="s">
        <v>180</v>
      </c>
      <c r="D6" s="274"/>
      <c r="E6" s="273" t="s">
        <v>180</v>
      </c>
      <c r="F6" s="275"/>
      <c r="G6" s="273" t="s">
        <v>180</v>
      </c>
      <c r="H6" s="270"/>
      <c r="I6" s="273" t="s">
        <v>180</v>
      </c>
      <c r="J6" s="86"/>
      <c r="K6" s="276" t="s">
        <v>335</v>
      </c>
    </row>
    <row r="7" spans="1:11">
      <c r="A7" s="277" t="s">
        <v>179</v>
      </c>
      <c r="B7" s="278"/>
      <c r="C7" s="279" t="s">
        <v>179</v>
      </c>
      <c r="D7" s="278"/>
      <c r="E7" s="279" t="s">
        <v>179</v>
      </c>
      <c r="F7" s="278"/>
      <c r="G7" s="279" t="s">
        <v>179</v>
      </c>
      <c r="H7" s="278"/>
      <c r="I7" s="279" t="s">
        <v>179</v>
      </c>
      <c r="J7" s="278"/>
      <c r="K7" s="280">
        <f>SUM(B7+D7+F7+H7+J7)</f>
        <v>0</v>
      </c>
    </row>
    <row r="8" spans="1:11">
      <c r="A8" s="281" t="s">
        <v>147</v>
      </c>
      <c r="B8" s="282"/>
      <c r="C8" s="281" t="s">
        <v>147</v>
      </c>
      <c r="D8" s="283"/>
      <c r="E8" s="281" t="s">
        <v>147</v>
      </c>
      <c r="F8" s="267"/>
      <c r="G8" s="281" t="s">
        <v>147</v>
      </c>
      <c r="H8" s="86"/>
      <c r="I8" s="281" t="s">
        <v>147</v>
      </c>
      <c r="J8" s="86"/>
      <c r="K8" s="267"/>
    </row>
    <row r="9" spans="1:11">
      <c r="A9" s="284"/>
      <c r="B9" s="278"/>
      <c r="C9" s="284"/>
      <c r="D9" s="278"/>
      <c r="E9" s="284"/>
      <c r="F9" s="278"/>
      <c r="G9" s="284"/>
      <c r="H9" s="278"/>
      <c r="I9" s="284"/>
      <c r="J9" s="278"/>
      <c r="K9" s="267"/>
    </row>
    <row r="10" spans="1:11">
      <c r="A10" s="284"/>
      <c r="B10" s="278"/>
      <c r="C10" s="284"/>
      <c r="D10" s="278"/>
      <c r="E10" s="284"/>
      <c r="F10" s="278"/>
      <c r="G10" s="284"/>
      <c r="H10" s="278"/>
      <c r="I10" s="284"/>
      <c r="J10" s="278"/>
      <c r="K10" s="267"/>
    </row>
    <row r="11" spans="1:11">
      <c r="A11" s="284"/>
      <c r="B11" s="278"/>
      <c r="C11" s="285"/>
      <c r="D11" s="286"/>
      <c r="E11" s="285"/>
      <c r="F11" s="286"/>
      <c r="G11" s="285"/>
      <c r="H11" s="286"/>
      <c r="I11" s="287"/>
      <c r="J11" s="278"/>
      <c r="K11" s="267"/>
    </row>
    <row r="12" spans="1:11">
      <c r="A12" s="284"/>
      <c r="B12" s="288"/>
      <c r="C12" s="284"/>
      <c r="D12" s="289"/>
      <c r="E12" s="290"/>
      <c r="F12" s="289"/>
      <c r="G12" s="290"/>
      <c r="H12" s="289"/>
      <c r="I12" s="290"/>
      <c r="J12" s="278"/>
      <c r="K12" s="267"/>
    </row>
    <row r="13" spans="1:11">
      <c r="A13" s="291"/>
      <c r="B13" s="292"/>
      <c r="C13" s="293"/>
      <c r="D13" s="292"/>
      <c r="E13" s="293"/>
      <c r="F13" s="292"/>
      <c r="G13" s="293"/>
      <c r="H13" s="292"/>
      <c r="I13" s="287"/>
      <c r="J13" s="278"/>
      <c r="K13" s="267"/>
    </row>
    <row r="14" spans="1:11">
      <c r="A14" s="284"/>
      <c r="B14" s="278"/>
      <c r="C14" s="290"/>
      <c r="D14" s="289"/>
      <c r="E14" s="290"/>
      <c r="F14" s="289"/>
      <c r="G14" s="290"/>
      <c r="H14" s="289"/>
      <c r="I14" s="290"/>
      <c r="J14" s="278"/>
      <c r="K14" s="267"/>
    </row>
    <row r="15" spans="1:11">
      <c r="A15" s="284"/>
      <c r="B15" s="278"/>
      <c r="C15" s="290"/>
      <c r="D15" s="289"/>
      <c r="E15" s="290"/>
      <c r="F15" s="289"/>
      <c r="G15" s="290"/>
      <c r="H15" s="289"/>
      <c r="I15" s="290"/>
      <c r="J15" s="278"/>
      <c r="K15" s="267"/>
    </row>
    <row r="16" spans="1:11">
      <c r="A16" s="284"/>
      <c r="B16" s="292"/>
      <c r="C16" s="284"/>
      <c r="D16" s="292"/>
      <c r="E16" s="284"/>
      <c r="F16" s="278"/>
      <c r="G16" s="290"/>
      <c r="H16" s="292"/>
      <c r="I16" s="284"/>
      <c r="J16" s="289"/>
      <c r="K16" s="267"/>
    </row>
    <row r="17" spans="1:12">
      <c r="A17" s="281" t="s">
        <v>31</v>
      </c>
      <c r="B17" s="280">
        <f>SUM(B9:B16)</f>
        <v>0</v>
      </c>
      <c r="C17" s="281" t="s">
        <v>31</v>
      </c>
      <c r="D17" s="294">
        <f>SUM(D9:D16)</f>
        <v>0</v>
      </c>
      <c r="E17" s="281" t="s">
        <v>31</v>
      </c>
      <c r="F17" s="295">
        <f>SUM(F9:F16)</f>
        <v>0</v>
      </c>
      <c r="G17" s="281" t="s">
        <v>31</v>
      </c>
      <c r="H17" s="294">
        <f>SUM(H9:H16)</f>
        <v>0</v>
      </c>
      <c r="I17" s="281" t="s">
        <v>31</v>
      </c>
      <c r="J17" s="294">
        <f>SUM(J9:J16)</f>
        <v>0</v>
      </c>
      <c r="K17" s="280">
        <f>SUM(B17+D17+F17+H17+J17)</f>
        <v>0</v>
      </c>
    </row>
    <row r="18" spans="1:12">
      <c r="A18" s="281" t="s">
        <v>32</v>
      </c>
      <c r="B18" s="280">
        <f>SUM(B7+B17)</f>
        <v>0</v>
      </c>
      <c r="C18" s="281" t="s">
        <v>32</v>
      </c>
      <c r="D18" s="280">
        <f>SUM(D7+D17)</f>
        <v>0</v>
      </c>
      <c r="E18" s="281" t="s">
        <v>32</v>
      </c>
      <c r="F18" s="280">
        <f>SUM(F7+F17)</f>
        <v>0</v>
      </c>
      <c r="G18" s="281" t="s">
        <v>32</v>
      </c>
      <c r="H18" s="280">
        <f>SUM(H7+H17)</f>
        <v>0</v>
      </c>
      <c r="I18" s="281" t="s">
        <v>32</v>
      </c>
      <c r="J18" s="280">
        <f>SUM(J7+J17)</f>
        <v>0</v>
      </c>
      <c r="K18" s="280">
        <f>SUM(B18+D18+F18+H18+J18)</f>
        <v>0</v>
      </c>
    </row>
    <row r="19" spans="1:12">
      <c r="A19" s="281" t="s">
        <v>34</v>
      </c>
      <c r="B19" s="282"/>
      <c r="C19" s="281" t="s">
        <v>34</v>
      </c>
      <c r="D19" s="283"/>
      <c r="E19" s="281" t="s">
        <v>34</v>
      </c>
      <c r="F19" s="267"/>
      <c r="G19" s="281" t="s">
        <v>34</v>
      </c>
      <c r="H19" s="86"/>
      <c r="I19" s="281" t="s">
        <v>34</v>
      </c>
      <c r="J19" s="86"/>
      <c r="K19" s="267"/>
    </row>
    <row r="20" spans="1:12">
      <c r="A20" s="284"/>
      <c r="B20" s="278"/>
      <c r="C20" s="290"/>
      <c r="D20" s="278"/>
      <c r="E20" s="290"/>
      <c r="F20" s="278"/>
      <c r="G20" s="290"/>
      <c r="H20" s="278"/>
      <c r="I20" s="290"/>
      <c r="J20" s="278"/>
      <c r="K20" s="267"/>
    </row>
    <row r="21" spans="1:12">
      <c r="A21" s="284"/>
      <c r="B21" s="278"/>
      <c r="C21" s="290"/>
      <c r="D21" s="289"/>
      <c r="E21" s="290"/>
      <c r="F21" s="289"/>
      <c r="G21" s="290"/>
      <c r="H21" s="289"/>
      <c r="I21" s="290"/>
      <c r="J21" s="296"/>
      <c r="K21" s="267"/>
    </row>
    <row r="22" spans="1:12">
      <c r="A22" s="284"/>
      <c r="B22" s="297"/>
      <c r="C22" s="293"/>
      <c r="D22" s="292"/>
      <c r="E22" s="293"/>
      <c r="F22" s="292"/>
      <c r="G22" s="293"/>
      <c r="H22" s="292"/>
      <c r="I22" s="287"/>
      <c r="J22" s="278"/>
      <c r="K22" s="267"/>
    </row>
    <row r="23" spans="1:12">
      <c r="A23" s="284"/>
      <c r="B23" s="278"/>
      <c r="C23" s="290"/>
      <c r="D23" s="289"/>
      <c r="E23" s="290"/>
      <c r="F23" s="289"/>
      <c r="G23" s="290"/>
      <c r="H23" s="289"/>
      <c r="I23" s="290"/>
      <c r="J23" s="278"/>
      <c r="K23" s="267"/>
    </row>
    <row r="24" spans="1:12">
      <c r="A24" s="284"/>
      <c r="B24" s="297"/>
      <c r="C24" s="293"/>
      <c r="D24" s="292"/>
      <c r="E24" s="293"/>
      <c r="F24" s="292"/>
      <c r="G24" s="293"/>
      <c r="H24" s="292"/>
      <c r="I24" s="287"/>
      <c r="J24" s="278"/>
      <c r="K24" s="267"/>
    </row>
    <row r="25" spans="1:12">
      <c r="A25" s="284"/>
      <c r="B25" s="278"/>
      <c r="C25" s="290"/>
      <c r="D25" s="289"/>
      <c r="E25" s="290"/>
      <c r="F25" s="289"/>
      <c r="G25" s="290"/>
      <c r="H25" s="289"/>
      <c r="I25" s="290"/>
      <c r="J25" s="278"/>
      <c r="K25" s="267"/>
    </row>
    <row r="26" spans="1:12">
      <c r="A26" s="284"/>
      <c r="B26" s="278"/>
      <c r="C26" s="290"/>
      <c r="D26" s="289"/>
      <c r="E26" s="290"/>
      <c r="F26" s="289"/>
      <c r="G26" s="290"/>
      <c r="H26" s="289"/>
      <c r="I26" s="290"/>
      <c r="J26" s="278"/>
      <c r="K26" s="267"/>
    </row>
    <row r="27" spans="1:12">
      <c r="A27" s="284"/>
      <c r="B27" s="296"/>
      <c r="C27" s="284"/>
      <c r="D27" s="288"/>
      <c r="E27" s="284"/>
      <c r="F27" s="289"/>
      <c r="G27" s="290"/>
      <c r="H27" s="289"/>
      <c r="I27" s="290"/>
      <c r="J27" s="278"/>
      <c r="K27" s="267"/>
    </row>
    <row r="28" spans="1:12">
      <c r="A28" s="281" t="s">
        <v>38</v>
      </c>
      <c r="B28" s="280">
        <f>SUM(B20:B27)</f>
        <v>0</v>
      </c>
      <c r="C28" s="281" t="s">
        <v>38</v>
      </c>
      <c r="D28" s="280">
        <f>SUM(D20:D27)</f>
        <v>0</v>
      </c>
      <c r="E28" s="281" t="s">
        <v>38</v>
      </c>
      <c r="F28" s="378">
        <f>SUM(F20:F27)</f>
        <v>0</v>
      </c>
      <c r="G28" s="281" t="s">
        <v>38</v>
      </c>
      <c r="H28" s="378">
        <f>SUM(H20:H27)</f>
        <v>0</v>
      </c>
      <c r="I28" s="281" t="s">
        <v>38</v>
      </c>
      <c r="J28" s="280">
        <f>SUM(J20:J27)</f>
        <v>0</v>
      </c>
      <c r="K28" s="280">
        <f>SUM(B28+D28+F28+H28+J28)</f>
        <v>0</v>
      </c>
    </row>
    <row r="29" spans="1:12">
      <c r="A29" s="281" t="s">
        <v>179</v>
      </c>
      <c r="B29" s="280">
        <f>SUM(B18-B28)</f>
        <v>0</v>
      </c>
      <c r="C29" s="281" t="s">
        <v>179</v>
      </c>
      <c r="D29" s="280">
        <f>SUM(D18-D28)</f>
        <v>0</v>
      </c>
      <c r="E29" s="281" t="s">
        <v>179</v>
      </c>
      <c r="F29" s="280">
        <f>SUM(F18-F28)</f>
        <v>0</v>
      </c>
      <c r="G29" s="281" t="s">
        <v>179</v>
      </c>
      <c r="H29" s="280">
        <f>SUM(H18-H28)</f>
        <v>0</v>
      </c>
      <c r="I29" s="281" t="s">
        <v>179</v>
      </c>
      <c r="J29" s="280">
        <f>SUM(J18-J28)</f>
        <v>0</v>
      </c>
      <c r="K29" s="298">
        <f>SUM(B29+D29+F29+H29+J29)</f>
        <v>0</v>
      </c>
      <c r="L29" s="299" t="s">
        <v>252</v>
      </c>
    </row>
    <row r="30" spans="1:12">
      <c r="A30" s="281"/>
      <c r="B30" s="322" t="str">
        <f>IF(B29&lt;0,"See Tab B","")</f>
        <v/>
      </c>
      <c r="C30" s="281"/>
      <c r="D30" s="322" t="str">
        <f>IF(D29&lt;0,"See Tab B","")</f>
        <v/>
      </c>
      <c r="E30" s="281"/>
      <c r="F30" s="322" t="str">
        <f>IF(F29&lt;0,"See Tab B","")</f>
        <v/>
      </c>
      <c r="G30" s="86"/>
      <c r="H30" s="322" t="str">
        <f>IF(H29&lt;0,"See Tab B","")</f>
        <v/>
      </c>
      <c r="I30" s="86"/>
      <c r="J30" s="322" t="str">
        <f>IF(J29&lt;0,"See Tab B","")</f>
        <v/>
      </c>
      <c r="K30" s="298">
        <f>SUM(K7+K17-K28)</f>
        <v>0</v>
      </c>
      <c r="L30" s="299" t="s">
        <v>252</v>
      </c>
    </row>
    <row r="31" spans="1:12">
      <c r="A31" s="86"/>
      <c r="B31" s="300"/>
      <c r="C31" s="86"/>
      <c r="D31" s="267"/>
      <c r="E31" s="86"/>
      <c r="F31" s="86"/>
      <c r="G31" s="19" t="s">
        <v>253</v>
      </c>
      <c r="H31" s="19"/>
      <c r="I31" s="19"/>
      <c r="J31" s="19"/>
      <c r="K31" s="86"/>
    </row>
    <row r="32" spans="1:12">
      <c r="A32" s="86"/>
      <c r="B32" s="300"/>
      <c r="C32" s="86"/>
      <c r="D32" s="86"/>
      <c r="E32" s="86"/>
      <c r="F32" s="86"/>
      <c r="G32" s="86"/>
      <c r="H32" s="86"/>
      <c r="I32" s="86"/>
      <c r="J32" s="86"/>
      <c r="K32" s="86"/>
    </row>
    <row r="33" spans="1:11">
      <c r="A33" s="86"/>
      <c r="B33" s="300"/>
      <c r="C33" s="86"/>
      <c r="D33" s="86"/>
      <c r="E33" s="245" t="s">
        <v>41</v>
      </c>
      <c r="F33" s="249"/>
      <c r="G33" s="86"/>
      <c r="H33" s="86"/>
      <c r="I33" s="86"/>
      <c r="J33" s="86"/>
      <c r="K33" s="86"/>
    </row>
    <row r="34" spans="1:11">
      <c r="B34" s="301"/>
    </row>
    <row r="35" spans="1:11">
      <c r="B35" s="301"/>
    </row>
    <row r="36" spans="1:11">
      <c r="B36" s="301"/>
    </row>
    <row r="37" spans="1:11">
      <c r="B37" s="301"/>
    </row>
    <row r="38" spans="1:11">
      <c r="B38" s="301"/>
    </row>
    <row r="39" spans="1:11">
      <c r="B39" s="301"/>
    </row>
    <row r="40" spans="1:11">
      <c r="B40" s="301"/>
    </row>
    <row r="41" spans="1:11">
      <c r="B41" s="301"/>
    </row>
  </sheetData>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33.xml><?xml version="1.0" encoding="utf-8"?>
<worksheet xmlns="http://schemas.openxmlformats.org/spreadsheetml/2006/main" xmlns:r="http://schemas.openxmlformats.org/officeDocument/2006/relationships">
  <dimension ref="A1:A66"/>
  <sheetViews>
    <sheetView workbookViewId="0">
      <selection activeCell="B2" sqref="B2"/>
    </sheetView>
  </sheetViews>
  <sheetFormatPr defaultRowHeight="15"/>
  <cols>
    <col min="1" max="1" width="70.5546875" style="83" customWidth="1"/>
    <col min="2" max="16384" width="8.88671875" style="83"/>
  </cols>
  <sheetData>
    <row r="1" spans="1:1" ht="18.75">
      <c r="A1" s="443" t="s">
        <v>372</v>
      </c>
    </row>
    <row r="2" spans="1:1" ht="15.75">
      <c r="A2" s="1"/>
    </row>
    <row r="3" spans="1:1" ht="57" customHeight="1">
      <c r="A3" s="444" t="s">
        <v>720</v>
      </c>
    </row>
    <row r="4" spans="1:1" ht="15.75">
      <c r="A4" s="445"/>
    </row>
    <row r="5" spans="1:1" ht="15.75">
      <c r="A5" s="1"/>
    </row>
    <row r="6" spans="1:1" ht="44.25" customHeight="1">
      <c r="A6" s="444" t="s">
        <v>721</v>
      </c>
    </row>
    <row r="7" spans="1:1" ht="15.75">
      <c r="A7" s="1"/>
    </row>
    <row r="8" spans="1:1" ht="15.75">
      <c r="A8" s="445"/>
    </row>
    <row r="9" spans="1:1" ht="46.5" customHeight="1">
      <c r="A9" s="444" t="s">
        <v>722</v>
      </c>
    </row>
    <row r="10" spans="1:1" ht="15.75">
      <c r="A10" s="1"/>
    </row>
    <row r="11" spans="1:1" ht="15.75">
      <c r="A11" s="445"/>
    </row>
    <row r="12" spans="1:1" ht="60" customHeight="1">
      <c r="A12" s="444" t="s">
        <v>723</v>
      </c>
    </row>
    <row r="13" spans="1:1" ht="15.75">
      <c r="A13" s="1"/>
    </row>
    <row r="14" spans="1:1" ht="15.75">
      <c r="A14" s="1"/>
    </row>
    <row r="15" spans="1:1" ht="61.5" customHeight="1">
      <c r="A15" s="444" t="s">
        <v>724</v>
      </c>
    </row>
    <row r="16" spans="1:1" ht="15.75">
      <c r="A16" s="1"/>
    </row>
    <row r="17" spans="1:1" ht="15.75">
      <c r="A17" s="1"/>
    </row>
    <row r="18" spans="1:1" ht="59.25" customHeight="1">
      <c r="A18" s="444" t="s">
        <v>725</v>
      </c>
    </row>
    <row r="19" spans="1:1" ht="15.75">
      <c r="A19" s="1"/>
    </row>
    <row r="20" spans="1:1" ht="15.75">
      <c r="A20" s="1"/>
    </row>
    <row r="21" spans="1:1" ht="61.5" customHeight="1">
      <c r="A21" s="444" t="s">
        <v>726</v>
      </c>
    </row>
    <row r="22" spans="1:1" ht="15.75">
      <c r="A22" s="445"/>
    </row>
    <row r="23" spans="1:1" ht="15.75">
      <c r="A23" s="445"/>
    </row>
    <row r="24" spans="1:1" ht="63" customHeight="1">
      <c r="A24" s="444" t="s">
        <v>727</v>
      </c>
    </row>
    <row r="25" spans="1:1" ht="15.75">
      <c r="A25" s="1"/>
    </row>
    <row r="26" spans="1:1" ht="15.75">
      <c r="A26" s="1"/>
    </row>
    <row r="27" spans="1:1" ht="52.5" customHeight="1">
      <c r="A27" s="446" t="s">
        <v>728</v>
      </c>
    </row>
    <row r="28" spans="1:1" ht="15.75">
      <c r="A28" s="1"/>
    </row>
    <row r="29" spans="1:1" ht="15.75">
      <c r="A29" s="1"/>
    </row>
    <row r="30" spans="1:1" ht="44.25" customHeight="1">
      <c r="A30" s="444" t="s">
        <v>729</v>
      </c>
    </row>
    <row r="31" spans="1:1" ht="15.75">
      <c r="A31" s="1"/>
    </row>
    <row r="32" spans="1:1" ht="15.75">
      <c r="A32" s="1"/>
    </row>
    <row r="33" spans="1:1" ht="42.75" customHeight="1">
      <c r="A33" s="444" t="s">
        <v>730</v>
      </c>
    </row>
    <row r="34" spans="1:1" ht="15.75">
      <c r="A34" s="445"/>
    </row>
    <row r="35" spans="1:1" ht="15.75">
      <c r="A35" s="445"/>
    </row>
    <row r="36" spans="1:1" ht="38.25" customHeight="1">
      <c r="A36" s="444" t="s">
        <v>731</v>
      </c>
    </row>
    <row r="37" spans="1:1" ht="15.75">
      <c r="A37" s="445"/>
    </row>
    <row r="38" spans="1:1" ht="15.75">
      <c r="A38" s="1"/>
    </row>
    <row r="39" spans="1:1" ht="75.75" customHeight="1">
      <c r="A39" s="444" t="s">
        <v>732</v>
      </c>
    </row>
    <row r="40" spans="1:1" ht="15.75">
      <c r="A40" s="1"/>
    </row>
    <row r="41" spans="1:1" ht="15.75">
      <c r="A41" s="1"/>
    </row>
    <row r="42" spans="1:1" ht="57.75" customHeight="1">
      <c r="A42" s="444" t="s">
        <v>733</v>
      </c>
    </row>
    <row r="43" spans="1:1" ht="15.75">
      <c r="A43" s="445"/>
    </row>
    <row r="44" spans="1:1" ht="15.75">
      <c r="A44" s="1"/>
    </row>
    <row r="45" spans="1:1" ht="57.75" customHeight="1">
      <c r="A45" s="444" t="s">
        <v>734</v>
      </c>
    </row>
    <row r="46" spans="1:1" ht="15.75">
      <c r="A46" s="1"/>
    </row>
    <row r="47" spans="1:1" ht="15.75">
      <c r="A47" s="1"/>
    </row>
    <row r="48" spans="1:1" ht="41.25" customHeight="1">
      <c r="A48" s="444" t="s">
        <v>735</v>
      </c>
    </row>
    <row r="49" spans="1:1" ht="15.75">
      <c r="A49" s="1"/>
    </row>
    <row r="50" spans="1:1" ht="15.75">
      <c r="A50" s="1"/>
    </row>
    <row r="51" spans="1:1" ht="75" customHeight="1">
      <c r="A51" s="444" t="s">
        <v>736</v>
      </c>
    </row>
    <row r="52" spans="1:1" ht="15.75">
      <c r="A52" s="445"/>
    </row>
    <row r="53" spans="1:1" ht="15.75">
      <c r="A53" s="445"/>
    </row>
    <row r="54" spans="1:1" ht="57.75" customHeight="1">
      <c r="A54" s="444" t="s">
        <v>737</v>
      </c>
    </row>
    <row r="55" spans="1:1" ht="15.75">
      <c r="A55" s="1"/>
    </row>
    <row r="56" spans="1:1" ht="15.75">
      <c r="A56" s="1"/>
    </row>
    <row r="57" spans="1:1" ht="44.25" customHeight="1">
      <c r="A57" s="444" t="s">
        <v>738</v>
      </c>
    </row>
    <row r="58" spans="1:1" ht="15.75">
      <c r="A58" s="1"/>
    </row>
    <row r="59" spans="1:1" ht="15.75">
      <c r="A59" s="1"/>
    </row>
    <row r="60" spans="1:1" ht="60" customHeight="1">
      <c r="A60" s="444" t="s">
        <v>739</v>
      </c>
    </row>
    <row r="61" spans="1:1" ht="15.75">
      <c r="A61" s="445"/>
    </row>
    <row r="62" spans="1:1" ht="15.75">
      <c r="A62" s="445"/>
    </row>
    <row r="63" spans="1:1" ht="57.75" customHeight="1">
      <c r="A63" s="444" t="s">
        <v>740</v>
      </c>
    </row>
    <row r="64" spans="1:1" ht="15.75">
      <c r="A64" s="1"/>
    </row>
    <row r="65" spans="1:1" ht="15.75">
      <c r="A65" s="1"/>
    </row>
    <row r="66" spans="1:1" ht="60" customHeight="1">
      <c r="A66" s="444" t="s">
        <v>741</v>
      </c>
    </row>
  </sheetData>
  <pageMargins left="0.7" right="0.7" top="0.75" bottom="0.75" header="0.3" footer="0.3"/>
  <pageSetup orientation="portrait" r:id="rId1"/>
  <headerFooter>
    <oddFooter>&amp;Lrevised 10/2/09</oddFooter>
  </headerFooter>
</worksheet>
</file>

<file path=xl/worksheets/sheet34.xml><?xml version="1.0" encoding="utf-8"?>
<worksheet xmlns="http://schemas.openxmlformats.org/spreadsheetml/2006/main" xmlns:r="http://schemas.openxmlformats.org/officeDocument/2006/relationships">
  <sheetPr>
    <pageSetUpPr fitToPage="1"/>
  </sheetPr>
  <dimension ref="A1:U46"/>
  <sheetViews>
    <sheetView topLeftCell="A28" zoomScale="75" workbookViewId="0">
      <selection activeCell="K51" sqref="K51"/>
    </sheetView>
  </sheetViews>
  <sheetFormatPr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ustomWidth="1"/>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6"/>
      <c r="B1" s="86"/>
      <c r="C1" s="86"/>
      <c r="D1" s="86"/>
      <c r="E1" s="86"/>
      <c r="F1" s="86"/>
      <c r="G1" s="86"/>
      <c r="H1" s="86">
        <f>inputPrYr!$C$5</f>
        <v>2013</v>
      </c>
    </row>
    <row r="2" spans="1:9">
      <c r="A2" s="732" t="s">
        <v>87</v>
      </c>
      <c r="B2" s="732"/>
      <c r="C2" s="732"/>
      <c r="D2" s="732"/>
      <c r="E2" s="732"/>
      <c r="F2" s="732"/>
      <c r="G2" s="732"/>
      <c r="H2" s="732"/>
      <c r="I2" s="302"/>
    </row>
    <row r="3" spans="1:9">
      <c r="A3" s="22"/>
      <c r="B3" s="22"/>
      <c r="C3" s="22"/>
      <c r="D3" s="22"/>
      <c r="E3" s="22"/>
      <c r="F3" s="22"/>
      <c r="G3" s="22"/>
      <c r="H3" s="22"/>
    </row>
    <row r="4" spans="1:9">
      <c r="A4" s="724" t="s">
        <v>44</v>
      </c>
      <c r="B4" s="724"/>
      <c r="C4" s="724"/>
      <c r="D4" s="724"/>
      <c r="E4" s="724"/>
      <c r="F4" s="724"/>
      <c r="G4" s="724"/>
      <c r="H4" s="724"/>
    </row>
    <row r="5" spans="1:9">
      <c r="A5" s="722" t="str">
        <f>inputPrYr!D2</f>
        <v>City of St.Francis</v>
      </c>
      <c r="B5" s="722"/>
      <c r="C5" s="722"/>
      <c r="D5" s="722"/>
      <c r="E5" s="722"/>
      <c r="F5" s="722"/>
      <c r="G5" s="722"/>
      <c r="H5" s="722"/>
    </row>
    <row r="6" spans="1:9">
      <c r="A6" s="782" t="str">
        <f>CONCATENATE("will meet on ",inputBudSum!B7," at ",inputBudSum!B9," at ",inputBudSum!B11," for the purpose of")</f>
        <v>will meet on August 13, 2012 at 7:15 PM at City Hall for the purpose of</v>
      </c>
      <c r="B6" s="782"/>
      <c r="C6" s="782"/>
      <c r="D6" s="782"/>
      <c r="E6" s="782"/>
      <c r="F6" s="782"/>
      <c r="G6" s="782"/>
      <c r="H6" s="782"/>
    </row>
    <row r="7" spans="1:9">
      <c r="A7" s="724" t="s">
        <v>612</v>
      </c>
      <c r="B7" s="724"/>
      <c r="C7" s="724"/>
      <c r="D7" s="724"/>
      <c r="E7" s="724"/>
      <c r="F7" s="724"/>
      <c r="G7" s="724"/>
      <c r="H7" s="724"/>
    </row>
    <row r="8" spans="1:9">
      <c r="A8" s="781" t="str">
        <f>CONCATENATE("Detailed budget information is available at ",inputBudSum!B14," and will be available at this hearing.")</f>
        <v>Detailed budget information is available at City Hall and will be available at this hearing.</v>
      </c>
      <c r="B8" s="781"/>
      <c r="C8" s="781"/>
      <c r="D8" s="781"/>
      <c r="E8" s="781"/>
      <c r="F8" s="781"/>
      <c r="G8" s="781"/>
      <c r="H8" s="781"/>
    </row>
    <row r="9" spans="1:9">
      <c r="A9" s="32" t="s">
        <v>88</v>
      </c>
      <c r="B9" s="33"/>
      <c r="C9" s="33"/>
      <c r="D9" s="33"/>
      <c r="E9" s="33"/>
      <c r="F9" s="33"/>
      <c r="G9" s="33"/>
      <c r="H9" s="33"/>
    </row>
    <row r="10" spans="1:9">
      <c r="A10" s="34" t="str">
        <f>CONCATENATE("Proposed Budget ",H1," Expenditures and Amount of  ",H1-1," Ad Valorem Tax establish the maximum limits of the ",H1," budget.")</f>
        <v>Proposed Budget 2013 Expenditures and Amount of  2012 Ad Valorem Tax establish the maximum limits of the 2013 budget.</v>
      </c>
      <c r="B10" s="33"/>
      <c r="C10" s="33"/>
      <c r="D10" s="33"/>
      <c r="E10" s="33"/>
      <c r="F10" s="33"/>
      <c r="G10" s="33"/>
      <c r="H10" s="33"/>
    </row>
    <row r="11" spans="1:9">
      <c r="A11" s="34" t="s">
        <v>151</v>
      </c>
      <c r="B11" s="33"/>
      <c r="C11" s="33"/>
      <c r="D11" s="33"/>
      <c r="E11" s="33"/>
      <c r="F11" s="33"/>
      <c r="G11" s="33"/>
      <c r="H11" s="33"/>
    </row>
    <row r="12" spans="1:9">
      <c r="A12" s="22"/>
      <c r="B12" s="257"/>
      <c r="C12" s="257"/>
      <c r="D12" s="257"/>
      <c r="E12" s="257"/>
      <c r="F12" s="257"/>
      <c r="G12" s="257"/>
      <c r="H12" s="257"/>
    </row>
    <row r="13" spans="1:9">
      <c r="A13" s="22"/>
      <c r="B13" s="303" t="str">
        <f>CONCATENATE("Prior Year Actual for ",H1-2,"")</f>
        <v>Prior Year Actual for 2011</v>
      </c>
      <c r="C13" s="122"/>
      <c r="D13" s="303" t="str">
        <f>CONCATENATE("Current Year Estimate for ",H1-1,"")</f>
        <v>Current Year Estimate for 2012</v>
      </c>
      <c r="E13" s="122"/>
      <c r="F13" s="120" t="str">
        <f>CONCATENATE("Proposed Budget for ",H1,"")</f>
        <v>Proposed Budget for 2013</v>
      </c>
      <c r="G13" s="121"/>
      <c r="H13" s="122"/>
    </row>
    <row r="14" spans="1:9" ht="21" customHeight="1">
      <c r="A14" s="22"/>
      <c r="B14" s="247"/>
      <c r="C14" s="125" t="s">
        <v>45</v>
      </c>
      <c r="D14" s="125"/>
      <c r="E14" s="125" t="s">
        <v>45</v>
      </c>
      <c r="F14" s="385" t="s">
        <v>267</v>
      </c>
      <c r="G14" s="125" t="str">
        <f>CONCATENATE("Amount of ",H1-1,"")</f>
        <v>Amount of 2012</v>
      </c>
      <c r="H14" s="125" t="s">
        <v>214</v>
      </c>
    </row>
    <row r="15" spans="1:9">
      <c r="A15" s="47" t="s">
        <v>46</v>
      </c>
      <c r="B15" s="129" t="s">
        <v>47</v>
      </c>
      <c r="C15" s="129" t="s">
        <v>48</v>
      </c>
      <c r="D15" s="129" t="s">
        <v>47</v>
      </c>
      <c r="E15" s="129" t="s">
        <v>48</v>
      </c>
      <c r="F15" s="386" t="s">
        <v>635</v>
      </c>
      <c r="G15" s="130" t="s">
        <v>25</v>
      </c>
      <c r="H15" s="129" t="s">
        <v>48</v>
      </c>
    </row>
    <row r="16" spans="1:9">
      <c r="A16" s="68" t="str">
        <f>inputPrYr!B17</f>
        <v>General</v>
      </c>
      <c r="B16" s="193">
        <f>IF(general!$C$79&lt;&gt;0,general!$C$79,"  ")</f>
        <v>851358</v>
      </c>
      <c r="C16" s="59">
        <f>IF(inputPrYr!D64&gt;0,inputPrYr!D64,"  ")</f>
        <v>37.758000000000003</v>
      </c>
      <c r="D16" s="193">
        <f>IF(general!$D$79&lt;&gt;0,general!$D$79,"  ")</f>
        <v>863924.94000000006</v>
      </c>
      <c r="E16" s="59">
        <f>IF(inputOth!D21&gt;0,inputOth!D21,"  ")</f>
        <v>37.729999999999997</v>
      </c>
      <c r="F16" s="193">
        <f>IF(general!$E$79&lt;&gt;0,general!$E$79,"  ")</f>
        <v>930484.28249999997</v>
      </c>
      <c r="G16" s="193">
        <f>IF(general!$E$86&lt;&gt;0,general!$E$86,"  ")</f>
        <v>255766.22250000003</v>
      </c>
      <c r="H16" s="59">
        <f>IF(general!E86&gt;0,ROUND(G16/$F$33*1000,3),"  ")</f>
        <v>38.776000000000003</v>
      </c>
    </row>
    <row r="17" spans="1:21">
      <c r="A17" s="68" t="str">
        <f>IF(inputPrYr!$B19&gt;"  ",(inputPrYr!$B19),"  ")</f>
        <v>Library</v>
      </c>
      <c r="B17" s="193">
        <f>IF('DebtSvs-Library'!C21&lt;&gt;0,'DebtSvs-Library'!C21,"  ")</f>
        <v>31092</v>
      </c>
      <c r="C17" s="59">
        <f>IF(inputPrYr!D66&gt;0,inputPrYr!D66,"  ")</f>
        <v>3.9929999999999999</v>
      </c>
      <c r="D17" s="193">
        <f>IF('DebtSvs-Library'!D21&lt;&gt;0,'DebtSvs-Library'!D21,"  ")</f>
        <v>32281</v>
      </c>
      <c r="E17" s="59">
        <f>IF(inputOth!D23&gt;0,inputOth!D23,"  ")</f>
        <v>3.9569999999999999</v>
      </c>
      <c r="F17" s="193">
        <f>IF('DebtSvs-Library'!E21&lt;&gt;0,'DebtSvs-Library'!E21,"  ")</f>
        <v>32486</v>
      </c>
      <c r="G17" s="193">
        <f>IF('DebtSvs-Library'!E28&lt;&gt;0,'DebtSvs-Library'!E28," ")</f>
        <v>26380</v>
      </c>
      <c r="H17" s="59">
        <f>IF('DebtSvs-Library'!E28&gt;0,ROUND(G17/$F$33*1000,3)," ")</f>
        <v>3.9990000000000001</v>
      </c>
    </row>
    <row r="18" spans="1:21">
      <c r="A18" s="68" t="str">
        <f>IF(inputPrYr!$B34&gt;"  ",(inputPrYr!$B34),"  ")</f>
        <v>Special Highway</v>
      </c>
      <c r="B18" s="193">
        <f>IF('Sp Hiway &amp; Sp Parks'!$C$18&gt;0,'Sp Hiway &amp; Sp Parks'!$C$18,"  ")</f>
        <v>2136</v>
      </c>
      <c r="C18" s="48"/>
      <c r="D18" s="193">
        <f>IF('Sp Hiway &amp; Sp Parks'!$D$18&gt;0,'Sp Hiway &amp; Sp Parks'!$D$18,"  ")</f>
        <v>25000</v>
      </c>
      <c r="E18" s="48"/>
      <c r="F18" s="193">
        <f>IF('Sp Hiway &amp; Sp Parks'!$E$18&gt;0,'Sp Hiway &amp; Sp Parks'!$E$18,"  ")</f>
        <v>84374</v>
      </c>
      <c r="G18" s="193"/>
      <c r="H18" s="48"/>
    </row>
    <row r="19" spans="1:21">
      <c r="A19" s="68" t="str">
        <f>IF(inputPrYr!$B35&gt;"  ",(inputPrYr!$B35),"  ")</f>
        <v>Special Parks &amp; Recreation</v>
      </c>
      <c r="B19" s="193">
        <f>IF('Sp Hiway &amp; Sp Parks'!$C$38&gt;0,'Sp Hiway &amp; Sp Parks'!$C$38,"  ")</f>
        <v>704</v>
      </c>
      <c r="C19" s="48"/>
      <c r="D19" s="193">
        <f>IF('Sp Hiway &amp; Sp Parks'!$D$38&gt;0,'Sp Hiway &amp; Sp Parks'!$D$38,"  ")</f>
        <v>800</v>
      </c>
      <c r="E19" s="48"/>
      <c r="F19" s="193">
        <f>IF('Sp Hiway &amp; Sp Parks'!$E$38&gt;0,'Sp Hiway &amp; Sp Parks'!$E$38,"  ")</f>
        <v>1480</v>
      </c>
      <c r="G19" s="193"/>
      <c r="H19" s="48"/>
    </row>
    <row r="20" spans="1:21">
      <c r="A20" s="68" t="str">
        <f>IF(inputPrYr!$B36&gt;"  ",(inputPrYr!$B36),"  ")</f>
        <v>Electric &amp; Water Utility</v>
      </c>
      <c r="B20" s="193">
        <f>IF('Electric &amp; Water Utility'!$C$49&gt;0,'Electric &amp; Water Utility'!$C$49,"  ")</f>
        <v>1677968</v>
      </c>
      <c r="C20" s="48"/>
      <c r="D20" s="193">
        <f>IF('Electric &amp; Water Utility'!$D$49&gt;0,'Electric &amp; Water Utility'!$D$49,"  ")</f>
        <v>1833343</v>
      </c>
      <c r="E20" s="48"/>
      <c r="F20" s="193">
        <f>IF('Electric &amp; Water Utility'!$E$49&gt;0,'Electric &amp; Water Utility'!$E$49,"  ")</f>
        <v>1974284</v>
      </c>
      <c r="G20" s="193"/>
      <c r="H20" s="48"/>
      <c r="J20" s="772" t="str">
        <f>CONCATENATE("Estimated Value Of One Mill For ",H1,"")</f>
        <v>Estimated Value Of One Mill For 2013</v>
      </c>
      <c r="K20" s="773"/>
      <c r="L20" s="773"/>
      <c r="M20" s="774"/>
    </row>
    <row r="21" spans="1:21">
      <c r="A21" s="68" t="str">
        <f>IF(inputPrYr!$B38&gt;"  ",(inputPrYr!$B38),"  ")</f>
        <v>Sewer Utility</v>
      </c>
      <c r="B21" s="193">
        <f>IF('Sewer &amp; Refuse Utility'!$C$21&gt;0,'Sewer &amp; Refuse Utility'!$C$21,"  ")</f>
        <v>134567</v>
      </c>
      <c r="C21" s="48"/>
      <c r="D21" s="193">
        <f>IF('Sewer &amp; Refuse Utility'!$D$21&gt;0,'Sewer &amp; Refuse Utility'!$D$21,"  ")</f>
        <v>155804</v>
      </c>
      <c r="E21" s="48"/>
      <c r="F21" s="193">
        <f>IF('Sewer &amp; Refuse Utility'!$E$21&gt;0,'Sewer &amp; Refuse Utility'!$E$21,"  ")</f>
        <v>175632</v>
      </c>
      <c r="G21" s="193"/>
      <c r="H21" s="48"/>
      <c r="J21" s="462"/>
      <c r="K21" s="463"/>
      <c r="L21" s="463"/>
      <c r="M21" s="464"/>
    </row>
    <row r="22" spans="1:21">
      <c r="A22" s="68" t="str">
        <f>IF(inputPrYr!$B39&gt;"  ",(inputPrYr!$B39),"  ")</f>
        <v>Refuse Utility</v>
      </c>
      <c r="B22" s="193">
        <f>IF('Sewer &amp; Refuse Utility'!$C$48&gt;0,'Sewer &amp; Refuse Utility'!$C$48,"  ")</f>
        <v>153891</v>
      </c>
      <c r="C22" s="48"/>
      <c r="D22" s="193">
        <f>IF('Sewer &amp; Refuse Utility'!$D$48&gt;0,'Sewer &amp; Refuse Utility'!$D$48,"  ")</f>
        <v>168481</v>
      </c>
      <c r="E22" s="48"/>
      <c r="F22" s="193">
        <f>IF('Sewer &amp; Refuse Utility'!$E$48&gt;0,'Sewer &amp; Refuse Utility'!$E$48,"  ")</f>
        <v>198646</v>
      </c>
      <c r="G22" s="193"/>
      <c r="H22" s="48"/>
      <c r="J22" s="465" t="s">
        <v>749</v>
      </c>
      <c r="K22" s="466"/>
      <c r="L22" s="466"/>
      <c r="M22" s="467">
        <f>ROUND(F33/1000,0)</f>
        <v>6596</v>
      </c>
    </row>
    <row r="23" spans="1:21">
      <c r="A23" s="68" t="str">
        <f>IF(inputPrYr!$B40&gt;"  ",(inputPrYr!$B40),"  ")</f>
        <v>Theatre Enterprise</v>
      </c>
      <c r="B23" s="193">
        <f>IF('Theater &amp; Tourism'!$C$29&gt;0,'Theater &amp; Tourism'!$C$29,"  ")</f>
        <v>58705</v>
      </c>
      <c r="C23" s="48"/>
      <c r="D23" s="193">
        <f>IF('Theater &amp; Tourism'!$D$29&gt;0,'Theater &amp; Tourism'!$D$29,"  ")</f>
        <v>59292.049999999988</v>
      </c>
      <c r="E23" s="48"/>
      <c r="F23" s="193">
        <f>IF('Theater &amp; Tourism'!$E$29&gt;0,'Theater &amp; Tourism'!$E$29,"  ")</f>
        <v>79264</v>
      </c>
      <c r="G23" s="193"/>
      <c r="H23" s="48"/>
    </row>
    <row r="24" spans="1:21">
      <c r="A24" s="68" t="str">
        <f>IF(inputPrYr!$B41&gt;"  ",(inputPrYr!$B41),"  ")</f>
        <v>Tourism &amp; Convention</v>
      </c>
      <c r="B24" s="193">
        <f>IF('Theater &amp; Tourism'!$C$50&gt;0,'Theater &amp; Tourism'!$C$50,"  ")</f>
        <v>1888</v>
      </c>
      <c r="C24" s="48"/>
      <c r="D24" s="193">
        <f>IF('Theater &amp; Tourism'!$D$50&gt;0,'Theater &amp; Tourism'!$D$50,"  ")</f>
        <v>7534</v>
      </c>
      <c r="E24" s="48"/>
      <c r="F24" s="193">
        <f>IF('Theater &amp; Tourism'!$E$50&gt;0,'Theater &amp; Tourism'!$E$50,"  ")</f>
        <v>14664</v>
      </c>
      <c r="G24" s="193"/>
      <c r="H24" s="48"/>
      <c r="J24" s="772" t="str">
        <f>CONCATENATE("Want The Mill Rate The Same As For ",H1-1,"?")</f>
        <v>Want The Mill Rate The Same As For 2012?</v>
      </c>
      <c r="K24" s="773"/>
      <c r="L24" s="773"/>
      <c r="M24" s="774"/>
    </row>
    <row r="25" spans="1:21">
      <c r="A25" s="68" t="str">
        <f>IF(inputPrYr!$B44&gt;"  ",(inputPrYr!$B44),"  ")</f>
        <v>EMS Building Maintenance</v>
      </c>
      <c r="B25" s="193">
        <f>IF('EMS Building'!$C$24&gt;0,'EMS Building'!$C$24,"  ")</f>
        <v>6657</v>
      </c>
      <c r="C25" s="48"/>
      <c r="D25" s="193">
        <f>IF('EMS Building'!$D$24&gt;0,'EMS Building'!$D$24,"  ")</f>
        <v>13740</v>
      </c>
      <c r="E25" s="48"/>
      <c r="F25" s="193">
        <f>IF('EMS Building'!$E$24&gt;0,'EMS Building'!$E$24,"  ")</f>
        <v>15126</v>
      </c>
      <c r="G25" s="193"/>
      <c r="H25" s="48"/>
      <c r="J25" s="469"/>
      <c r="K25" s="463"/>
      <c r="L25" s="463"/>
      <c r="M25" s="470"/>
      <c r="R25" s="692"/>
      <c r="S25" s="693"/>
      <c r="T25" s="693"/>
      <c r="U25" s="693"/>
    </row>
    <row r="26" spans="1:21">
      <c r="A26" s="68" t="str">
        <f>IF(inputPrYr!$B51&gt;" ",(NonBudA!$A3),"  ")</f>
        <v>Non-Budgeted Funds-A</v>
      </c>
      <c r="B26" s="193">
        <f>IF(NonBudA!$K$28&gt;0,NonBudA!$K$28,"  ")</f>
        <v>272476</v>
      </c>
      <c r="C26" s="48"/>
      <c r="D26" s="193"/>
      <c r="E26" s="48"/>
      <c r="F26" s="193"/>
      <c r="G26" s="193"/>
      <c r="H26" s="48"/>
      <c r="J26" s="469" t="str">
        <f>CONCATENATE("",H1-1," Mill Rate Was:")</f>
        <v>2012 Mill Rate Was:</v>
      </c>
      <c r="K26" s="463"/>
      <c r="L26" s="463"/>
      <c r="M26" s="471">
        <f>E28</f>
        <v>41.686999999999998</v>
      </c>
    </row>
    <row r="27" spans="1:21">
      <c r="A27" s="68" t="str">
        <f>IF(inputPrYr!$B57&gt;" ",(NonBudB!$A3),"  ")</f>
        <v xml:space="preserve">  </v>
      </c>
      <c r="B27" s="394" t="str">
        <f>IF(NonBudB!$K$28&gt;0,NonBudB!$K$28,"  ")</f>
        <v xml:space="preserve">  </v>
      </c>
      <c r="C27" s="133"/>
      <c r="D27" s="394"/>
      <c r="E27" s="133"/>
      <c r="F27" s="394"/>
      <c r="G27" s="394"/>
      <c r="H27" s="133"/>
      <c r="J27" s="472" t="str">
        <f>CONCATENATE("",H1," Tax Levy Fund Expenditures Must Be")</f>
        <v>2013 Tax Levy Fund Expenditures Must Be</v>
      </c>
      <c r="K27" s="473"/>
      <c r="L27" s="473"/>
      <c r="M27" s="470"/>
    </row>
    <row r="28" spans="1:21">
      <c r="A28" s="124" t="s">
        <v>756</v>
      </c>
      <c r="B28" s="375">
        <f>SUM(B16:B27)</f>
        <v>3191442</v>
      </c>
      <c r="C28" s="379">
        <f>SUM(C16:C17)</f>
        <v>41.751000000000005</v>
      </c>
      <c r="D28" s="375">
        <f>SUM(D16:D27)</f>
        <v>3160199.9899999998</v>
      </c>
      <c r="E28" s="379">
        <f>SUM(E16:E17)</f>
        <v>41.686999999999998</v>
      </c>
      <c r="F28" s="375">
        <f>SUM(F16:F27)</f>
        <v>3506440.2824999997</v>
      </c>
      <c r="G28" s="375">
        <f>SUM(G16:G27)</f>
        <v>282146.22250000003</v>
      </c>
      <c r="H28" s="387">
        <f>SUM(H16:H17)</f>
        <v>42.775000000000006</v>
      </c>
      <c r="J28" s="472" t="str">
        <f>IF(M28&gt;0,"Increased By:","")</f>
        <v/>
      </c>
      <c r="K28" s="473"/>
      <c r="L28" s="473"/>
      <c r="M28" s="511">
        <f>IF(M35&lt;0,M35*-1,0)</f>
        <v>0</v>
      </c>
    </row>
    <row r="29" spans="1:21">
      <c r="A29" s="29" t="s">
        <v>49</v>
      </c>
      <c r="B29" s="393">
        <f>transfers!C29</f>
        <v>852788</v>
      </c>
      <c r="C29" s="483"/>
      <c r="D29" s="393">
        <f>transfers!D29</f>
        <v>561000</v>
      </c>
      <c r="E29" s="483"/>
      <c r="F29" s="393">
        <f>transfers!E29</f>
        <v>664000</v>
      </c>
      <c r="G29" s="58"/>
      <c r="H29" s="52"/>
      <c r="J29" s="512" t="str">
        <f>IF(M29&lt;0,"Reduced By:","")</f>
        <v>Reduced By:</v>
      </c>
      <c r="K29" s="513"/>
      <c r="L29" s="513"/>
      <c r="M29" s="514">
        <f>IF(M35&gt;0,M35*-1,0)</f>
        <v>-7176.2225000000326</v>
      </c>
    </row>
    <row r="30" spans="1:21" ht="16.5" thickBot="1">
      <c r="A30" s="29" t="s">
        <v>50</v>
      </c>
      <c r="B30" s="376">
        <f>B28-B29</f>
        <v>2338654</v>
      </c>
      <c r="C30" s="22"/>
      <c r="D30" s="376">
        <f>D28-D29</f>
        <v>2599199.9899999998</v>
      </c>
      <c r="E30" s="22"/>
      <c r="F30" s="376">
        <f>F28-F29</f>
        <v>2842440.2824999997</v>
      </c>
      <c r="G30" s="22"/>
      <c r="H30" s="22"/>
      <c r="J30" s="476"/>
      <c r="K30" s="476"/>
      <c r="L30" s="476"/>
      <c r="M30" s="476"/>
    </row>
    <row r="31" spans="1:21" ht="16.5" thickTop="1">
      <c r="A31" s="29" t="s">
        <v>51</v>
      </c>
      <c r="B31" s="393">
        <f>inputPrYr!E79</f>
        <v>275391</v>
      </c>
      <c r="C31" s="151"/>
      <c r="D31" s="393">
        <f>inputPrYr!E31</f>
        <v>280368</v>
      </c>
      <c r="E31" s="151"/>
      <c r="F31" s="304" t="s">
        <v>13</v>
      </c>
      <c r="G31" s="22"/>
      <c r="H31" s="22"/>
      <c r="J31" s="772" t="str">
        <f>CONCATENATE("Impact On Keeping The Same Mill Rate As For ",H1-1,"")</f>
        <v>Impact On Keeping The Same Mill Rate As For 2012</v>
      </c>
      <c r="K31" s="777"/>
      <c r="L31" s="777"/>
      <c r="M31" s="778"/>
    </row>
    <row r="32" spans="1:21">
      <c r="A32" s="29" t="s">
        <v>52</v>
      </c>
      <c r="B32" s="394"/>
      <c r="C32" s="22"/>
      <c r="D32" s="394"/>
      <c r="E32" s="169"/>
      <c r="F32" s="133"/>
      <c r="G32" s="22"/>
      <c r="H32" s="22"/>
      <c r="I32" s="460"/>
      <c r="J32" s="469"/>
      <c r="K32" s="463"/>
      <c r="L32" s="463"/>
      <c r="M32" s="470"/>
    </row>
    <row r="33" spans="1:13">
      <c r="A33" s="29" t="s">
        <v>53</v>
      </c>
      <c r="B33" s="393">
        <f>inputPrYr!E80</f>
        <v>6482270</v>
      </c>
      <c r="C33" s="60"/>
      <c r="D33" s="393">
        <f>inputOth!E36</f>
        <v>6725989</v>
      </c>
      <c r="E33" s="60"/>
      <c r="F33" s="393">
        <f>inputOth!E7</f>
        <v>6596051</v>
      </c>
      <c r="G33" s="22"/>
      <c r="H33" s="22"/>
      <c r="J33" s="469" t="str">
        <f>CONCATENATE("",H1," Ad Valorem Tax Revenue:")</f>
        <v>2013 Ad Valorem Tax Revenue:</v>
      </c>
      <c r="K33" s="463"/>
      <c r="L33" s="463"/>
      <c r="M33" s="464">
        <f>G28</f>
        <v>282146.22250000003</v>
      </c>
    </row>
    <row r="34" spans="1:13">
      <c r="A34" s="29" t="s">
        <v>54</v>
      </c>
      <c r="B34" s="22"/>
      <c r="C34" s="22"/>
      <c r="D34" s="22"/>
      <c r="E34" s="22"/>
      <c r="F34" s="22"/>
      <c r="G34" s="22"/>
      <c r="H34" s="22"/>
      <c r="J34" s="469" t="str">
        <f>CONCATENATE("",H1-1," Ad Valorem Tax Revenue:")</f>
        <v>2012 Ad Valorem Tax Revenue:</v>
      </c>
      <c r="K34" s="463"/>
      <c r="L34" s="463"/>
      <c r="M34" s="477">
        <f>ROUND(F33*M26/1000,0)</f>
        <v>274970</v>
      </c>
    </row>
    <row r="35" spans="1:13">
      <c r="A35" s="29" t="s">
        <v>55</v>
      </c>
      <c r="B35" s="305">
        <f>$H$1-3</f>
        <v>2010</v>
      </c>
      <c r="C35" s="22"/>
      <c r="D35" s="305">
        <f>$H$1-2</f>
        <v>2011</v>
      </c>
      <c r="E35" s="22"/>
      <c r="F35" s="305">
        <f>$H$1-1</f>
        <v>2012</v>
      </c>
      <c r="G35" s="22"/>
      <c r="H35" s="22"/>
      <c r="J35" s="474" t="s">
        <v>750</v>
      </c>
      <c r="K35" s="475"/>
      <c r="L35" s="475"/>
      <c r="M35" s="467">
        <f>SUM(M33-M34)</f>
        <v>7176.2225000000326</v>
      </c>
    </row>
    <row r="36" spans="1:13">
      <c r="A36" s="29" t="s">
        <v>56</v>
      </c>
      <c r="B36" s="183">
        <f>inputPrYr!D83</f>
        <v>0</v>
      </c>
      <c r="C36" s="22"/>
      <c r="D36" s="183">
        <f>inputPrYr!E83</f>
        <v>0</v>
      </c>
      <c r="E36" s="22"/>
      <c r="F36" s="183">
        <f>debt!G20</f>
        <v>0</v>
      </c>
      <c r="G36" s="22"/>
      <c r="H36" s="22"/>
      <c r="J36" s="468"/>
      <c r="K36" s="468"/>
      <c r="L36" s="468"/>
      <c r="M36" s="476"/>
    </row>
    <row r="37" spans="1:13">
      <c r="A37" s="29" t="s">
        <v>57</v>
      </c>
      <c r="B37" s="183">
        <f>inputPrYr!D84</f>
        <v>0</v>
      </c>
      <c r="C37" s="22"/>
      <c r="D37" s="183">
        <f>inputPrYr!E84</f>
        <v>0</v>
      </c>
      <c r="E37" s="22"/>
      <c r="F37" s="183">
        <f>debt!G32</f>
        <v>0</v>
      </c>
      <c r="G37" s="22"/>
      <c r="H37" s="22"/>
      <c r="J37" s="772" t="s">
        <v>751</v>
      </c>
      <c r="K37" s="775"/>
      <c r="L37" s="775"/>
      <c r="M37" s="776"/>
    </row>
    <row r="38" spans="1:13">
      <c r="A38" s="22" t="s">
        <v>75</v>
      </c>
      <c r="B38" s="183">
        <f>inputPrYr!D85</f>
        <v>377990</v>
      </c>
      <c r="C38" s="22"/>
      <c r="D38" s="183">
        <f>inputPrYr!E85</f>
        <v>357564</v>
      </c>
      <c r="E38" s="22"/>
      <c r="F38" s="183">
        <f>debt!G42</f>
        <v>336539</v>
      </c>
      <c r="G38" s="22"/>
      <c r="H38" s="22"/>
      <c r="J38" s="469"/>
      <c r="K38" s="463"/>
      <c r="L38" s="463"/>
      <c r="M38" s="470"/>
    </row>
    <row r="39" spans="1:13">
      <c r="A39" s="29" t="s">
        <v>152</v>
      </c>
      <c r="B39" s="183">
        <f>inputPrYr!D86</f>
        <v>0</v>
      </c>
      <c r="C39" s="22"/>
      <c r="D39" s="183">
        <f>inputPrYr!E86</f>
        <v>0</v>
      </c>
      <c r="E39" s="22"/>
      <c r="F39" s="183">
        <f>lpform!G28</f>
        <v>43500</v>
      </c>
      <c r="G39" s="22"/>
      <c r="H39" s="22"/>
      <c r="J39" s="469" t="str">
        <f>CONCATENATE("Current ",H1," Estimated Mill Rate:")</f>
        <v>Current 2013 Estimated Mill Rate:</v>
      </c>
      <c r="K39" s="463"/>
      <c r="L39" s="463"/>
      <c r="M39" s="471">
        <f>H28</f>
        <v>42.775000000000006</v>
      </c>
    </row>
    <row r="40" spans="1:13" ht="16.5" thickBot="1">
      <c r="A40" s="29" t="s">
        <v>58</v>
      </c>
      <c r="B40" s="478">
        <f>SUM(B36:B39)</f>
        <v>377990</v>
      </c>
      <c r="C40" s="22"/>
      <c r="D40" s="478">
        <f>SUM(D36:D39)</f>
        <v>357564</v>
      </c>
      <c r="E40" s="22"/>
      <c r="F40" s="478">
        <f>SUM(F36:F39)</f>
        <v>380039</v>
      </c>
      <c r="G40" s="22"/>
      <c r="H40" s="22"/>
      <c r="J40" s="469" t="str">
        <f>CONCATENATE("Desired ",H1," Mill Rate:")</f>
        <v>Desired 2013 Mill Rate:</v>
      </c>
      <c r="K40" s="463"/>
      <c r="L40" s="463"/>
      <c r="M40" s="461"/>
    </row>
    <row r="41" spans="1:13" ht="16.5" thickTop="1">
      <c r="A41" s="29" t="s">
        <v>59</v>
      </c>
      <c r="B41" s="22"/>
      <c r="C41" s="22"/>
      <c r="D41" s="22"/>
      <c r="E41" s="22"/>
      <c r="F41" s="22"/>
      <c r="G41" s="22"/>
      <c r="H41" s="22"/>
      <c r="J41" s="469" t="s">
        <v>752</v>
      </c>
      <c r="K41" s="463"/>
      <c r="L41" s="463"/>
      <c r="M41" s="477">
        <f>ROUND(F33*M40/1000,0)</f>
        <v>0</v>
      </c>
    </row>
    <row r="42" spans="1:13">
      <c r="A42" s="22"/>
      <c r="B42" s="22"/>
      <c r="C42" s="22"/>
      <c r="D42" s="22"/>
      <c r="E42" s="22"/>
      <c r="F42" s="22"/>
      <c r="G42" s="22"/>
      <c r="H42" s="22"/>
      <c r="J42" s="474" t="str">
        <f>CONCATENATE("",H1," Tax Levy Fund Exp. Changed By:")</f>
        <v>2013 Tax Levy Fund Exp. Changed By:</v>
      </c>
      <c r="K42" s="475"/>
      <c r="L42" s="475"/>
      <c r="M42" s="467">
        <f>IF(M40=0,0,(M41-G28))</f>
        <v>0</v>
      </c>
    </row>
    <row r="43" spans="1:13">
      <c r="A43" s="779" t="str">
        <f>inputBudSum!B3</f>
        <v>Scott Schultz</v>
      </c>
      <c r="B43" s="780"/>
      <c r="C43" s="22"/>
      <c r="D43" s="22"/>
      <c r="E43" s="22"/>
      <c r="F43" s="22"/>
      <c r="G43" s="22"/>
      <c r="H43" s="22"/>
    </row>
    <row r="44" spans="1:13">
      <c r="A44" s="147" t="s">
        <v>213</v>
      </c>
      <c r="B44" s="607" t="str">
        <f>inputBudSum!B5</f>
        <v>Mayor</v>
      </c>
      <c r="C44" s="383"/>
      <c r="D44" s="22"/>
      <c r="E44" s="22"/>
      <c r="F44" s="22"/>
      <c r="G44" s="22"/>
      <c r="H44" s="22"/>
    </row>
    <row r="45" spans="1:13">
      <c r="A45" s="22"/>
      <c r="B45" s="22"/>
      <c r="C45" s="22"/>
      <c r="D45" s="22"/>
      <c r="E45" s="22"/>
      <c r="F45" s="22"/>
      <c r="G45" s="22"/>
      <c r="H45" s="22"/>
    </row>
    <row r="46" spans="1:13">
      <c r="A46" s="22"/>
      <c r="B46" s="22"/>
      <c r="C46" s="119" t="s">
        <v>33</v>
      </c>
      <c r="D46" s="249">
        <v>16</v>
      </c>
      <c r="E46" s="22"/>
      <c r="F46" s="22"/>
      <c r="G46" s="22"/>
      <c r="H46" s="22"/>
    </row>
  </sheetData>
  <mergeCells count="11">
    <mergeCell ref="A2:H2"/>
    <mergeCell ref="A5:H5"/>
    <mergeCell ref="A7:H7"/>
    <mergeCell ref="A8:H8"/>
    <mergeCell ref="A4:H4"/>
    <mergeCell ref="A6:H6"/>
    <mergeCell ref="J20:M20"/>
    <mergeCell ref="J24:M24"/>
    <mergeCell ref="J37:M37"/>
    <mergeCell ref="J31:M31"/>
    <mergeCell ref="A43:B43"/>
  </mergeCells>
  <phoneticPr fontId="0" type="noConversion"/>
  <pageMargins left="0.5" right="0.5" top="1" bottom="0.5" header="0.5" footer="0.5"/>
  <pageSetup scale="62" orientation="portrait" blackAndWhite="1" horizontalDpi="120" verticalDpi="144" r:id="rId1"/>
  <headerFooter alignWithMargins="0">
    <oddHeader xml:space="preserve">&amp;RState of Kansas
City
</oddHeader>
  </headerFooter>
</worksheet>
</file>

<file path=xl/worksheets/sheet35.xml><?xml version="1.0" encoding="utf-8"?>
<worksheet xmlns="http://schemas.openxmlformats.org/spreadsheetml/2006/main" xmlns:r="http://schemas.openxmlformats.org/officeDocument/2006/relationships">
  <sheetPr>
    <pageSetUpPr fitToPage="1"/>
  </sheetPr>
  <dimension ref="A1:F41"/>
  <sheetViews>
    <sheetView workbookViewId="0">
      <selection activeCell="A33" sqref="A33"/>
    </sheetView>
  </sheetViews>
  <sheetFormatPr defaultRowHeight="15"/>
  <cols>
    <col min="1" max="1" width="10.77734375" style="83" customWidth="1"/>
    <col min="2" max="2" width="15.5546875" style="83" customWidth="1"/>
    <col min="3" max="4" width="12.77734375" style="83" customWidth="1"/>
    <col min="5" max="5" width="11.77734375" style="83" customWidth="1"/>
    <col min="6" max="16384" width="8.88671875" style="83"/>
  </cols>
  <sheetData>
    <row r="1" spans="1:6" ht="15.75">
      <c r="A1" s="151" t="str">
        <f>inputPrYr!D2</f>
        <v>City of St.Francis</v>
      </c>
      <c r="B1" s="22"/>
      <c r="C1" s="22"/>
      <c r="D1" s="22"/>
      <c r="E1" s="22"/>
      <c r="F1" s="22">
        <f>inputPrYr!C5</f>
        <v>2013</v>
      </c>
    </row>
    <row r="2" spans="1:6" ht="15.75">
      <c r="A2" s="22"/>
      <c r="B2" s="22"/>
      <c r="C2" s="22"/>
      <c r="D2" s="22"/>
      <c r="E2" s="22"/>
      <c r="F2" s="22"/>
    </row>
    <row r="3" spans="1:6" ht="15.75">
      <c r="A3" s="22"/>
      <c r="B3" s="733" t="str">
        <f>CONCATENATE("",F1," Neighborhood Revitalization Rebate")</f>
        <v>2013 Neighborhood Revitalization Rebate</v>
      </c>
      <c r="C3" s="784"/>
      <c r="D3" s="784"/>
      <c r="E3" s="784"/>
      <c r="F3" s="22"/>
    </row>
    <row r="4" spans="1:6" ht="15.75">
      <c r="A4" s="22"/>
      <c r="B4" s="22"/>
      <c r="C4" s="22"/>
      <c r="D4" s="22"/>
      <c r="E4" s="22"/>
      <c r="F4" s="78"/>
    </row>
    <row r="5" spans="1:6" ht="51.75" customHeight="1">
      <c r="A5" s="22"/>
      <c r="B5" s="307" t="str">
        <f>CONCATENATE("Budgeted Funds          for ",F1,"")</f>
        <v>Budgeted Funds          for 2013</v>
      </c>
      <c r="C5" s="307" t="str">
        <f>CONCATENATE("",F1-1," Ad Valorem before Rebate**")</f>
        <v>2012 Ad Valorem before Rebate**</v>
      </c>
      <c r="D5" s="308" t="str">
        <f>CONCATENATE("",F1-1," Mil Rate before Rebate")</f>
        <v>2012 Mil Rate before Rebate</v>
      </c>
      <c r="E5" s="309" t="str">
        <f>CONCATENATE("Estimate ",F1," NR Rebate")</f>
        <v>Estimate 2013 NR Rebate</v>
      </c>
      <c r="F5" s="78"/>
    </row>
    <row r="6" spans="1:6" ht="18" customHeight="1">
      <c r="A6" s="22"/>
      <c r="B6" s="47" t="s">
        <v>334</v>
      </c>
      <c r="C6" s="310"/>
      <c r="D6" s="311" t="str">
        <f>IF(C6&gt;0,C6/$D$24,"")</f>
        <v/>
      </c>
      <c r="E6" s="183" t="str">
        <f t="shared" ref="E6:E17" si="0">IF(C6&gt;0,ROUND(D6*$D$28,0),"")</f>
        <v/>
      </c>
      <c r="F6" s="78"/>
    </row>
    <row r="7" spans="1:6" ht="15.75">
      <c r="A7" s="22"/>
      <c r="B7" s="47" t="str">
        <f>inputPrYr!B18</f>
        <v>Debt Service</v>
      </c>
      <c r="C7" s="310"/>
      <c r="D7" s="311" t="str">
        <f t="shared" ref="D7:D17" si="1">IF(C7&gt;0,C7/$D$24,"")</f>
        <v/>
      </c>
      <c r="E7" s="183" t="str">
        <f t="shared" si="0"/>
        <v/>
      </c>
      <c r="F7" s="78"/>
    </row>
    <row r="8" spans="1:6" ht="15.75">
      <c r="A8" s="22"/>
      <c r="B8" s="68" t="str">
        <f>IF((inputPrYr!$B19&gt;"  "),(inputPrYr!$B19),"  ")</f>
        <v>Library</v>
      </c>
      <c r="C8" s="310"/>
      <c r="D8" s="311" t="str">
        <f t="shared" si="1"/>
        <v/>
      </c>
      <c r="E8" s="183" t="str">
        <f t="shared" si="0"/>
        <v/>
      </c>
      <c r="F8" s="78"/>
    </row>
    <row r="9" spans="1:6" ht="15.75">
      <c r="A9" s="22"/>
      <c r="B9" s="68" t="str">
        <f>IF((inputPrYr!$B21&gt;"  "),(inputPrYr!$B21),"  ")</f>
        <v xml:space="preserve">  </v>
      </c>
      <c r="C9" s="310"/>
      <c r="D9" s="311" t="str">
        <f t="shared" si="1"/>
        <v/>
      </c>
      <c r="E9" s="183" t="str">
        <f t="shared" si="0"/>
        <v/>
      </c>
      <c r="F9" s="78"/>
    </row>
    <row r="10" spans="1:6" ht="15.75">
      <c r="A10" s="22"/>
      <c r="B10" s="68" t="str">
        <f>IF((inputPrYr!$B22&gt;"  "),(inputPrYr!$B22),"  ")</f>
        <v xml:space="preserve">  </v>
      </c>
      <c r="C10" s="310"/>
      <c r="D10" s="311" t="str">
        <f t="shared" si="1"/>
        <v/>
      </c>
      <c r="E10" s="183" t="str">
        <f t="shared" si="0"/>
        <v/>
      </c>
      <c r="F10" s="78"/>
    </row>
    <row r="11" spans="1:6" ht="15.75">
      <c r="A11" s="22"/>
      <c r="B11" s="68" t="str">
        <f>IF((inputPrYr!$B23&gt;"  "),(inputPrYr!$B23),"  ")</f>
        <v xml:space="preserve">  </v>
      </c>
      <c r="C11" s="310"/>
      <c r="D11" s="311" t="str">
        <f t="shared" si="1"/>
        <v/>
      </c>
      <c r="E11" s="183" t="str">
        <f t="shared" si="0"/>
        <v/>
      </c>
      <c r="F11" s="78"/>
    </row>
    <row r="12" spans="1:6" ht="15.75">
      <c r="A12" s="22"/>
      <c r="B12" s="68" t="str">
        <f>IF((inputPrYr!$B24&gt;"  "),(inputPrYr!$B24),"  ")</f>
        <v xml:space="preserve">  </v>
      </c>
      <c r="C12" s="312"/>
      <c r="D12" s="311" t="str">
        <f t="shared" si="1"/>
        <v/>
      </c>
      <c r="E12" s="183" t="str">
        <f t="shared" si="0"/>
        <v/>
      </c>
      <c r="F12" s="78"/>
    </row>
    <row r="13" spans="1:6" ht="15.75">
      <c r="A13" s="22"/>
      <c r="B13" s="68" t="str">
        <f>IF((inputPrYr!$B25&gt;"  "),(inputPrYr!$B25),"  ")</f>
        <v xml:space="preserve">  </v>
      </c>
      <c r="C13" s="312"/>
      <c r="D13" s="311" t="str">
        <f t="shared" si="1"/>
        <v/>
      </c>
      <c r="E13" s="183" t="str">
        <f t="shared" si="0"/>
        <v/>
      </c>
      <c r="F13" s="78"/>
    </row>
    <row r="14" spans="1:6" ht="15.75">
      <c r="A14" s="22"/>
      <c r="B14" s="68" t="str">
        <f>IF((inputPrYr!$B26&gt;"  "),(inputPrYr!$B26),"  ")</f>
        <v xml:space="preserve">  </v>
      </c>
      <c r="C14" s="312"/>
      <c r="D14" s="311" t="str">
        <f t="shared" si="1"/>
        <v/>
      </c>
      <c r="E14" s="183" t="str">
        <f t="shared" si="0"/>
        <v/>
      </c>
      <c r="F14" s="78"/>
    </row>
    <row r="15" spans="1:6" ht="15.75">
      <c r="A15" s="22"/>
      <c r="B15" s="68" t="str">
        <f>IF((inputPrYr!$B27&gt;"  "),(inputPrYr!$B27),"  ")</f>
        <v xml:space="preserve">  </v>
      </c>
      <c r="C15" s="312"/>
      <c r="D15" s="311" t="str">
        <f t="shared" si="1"/>
        <v/>
      </c>
      <c r="E15" s="183" t="str">
        <f t="shared" si="0"/>
        <v/>
      </c>
      <c r="F15" s="78"/>
    </row>
    <row r="16" spans="1:6" ht="15.75">
      <c r="A16" s="22"/>
      <c r="B16" s="68" t="str">
        <f>IF((inputPrYr!$B28&gt;"  "),(inputPrYr!$B28),"  ")</f>
        <v xml:space="preserve">  </v>
      </c>
      <c r="C16" s="312"/>
      <c r="D16" s="311" t="str">
        <f t="shared" si="1"/>
        <v/>
      </c>
      <c r="E16" s="183" t="str">
        <f t="shared" si="0"/>
        <v/>
      </c>
      <c r="F16" s="78"/>
    </row>
    <row r="17" spans="1:6" ht="15.75">
      <c r="A17" s="22"/>
      <c r="B17" s="68" t="str">
        <f>IF((inputPrYr!$B29&gt;"  "),(inputPrYr!$B29),"  ")</f>
        <v xml:space="preserve">  </v>
      </c>
      <c r="C17" s="312"/>
      <c r="D17" s="311" t="str">
        <f t="shared" si="1"/>
        <v/>
      </c>
      <c r="E17" s="183" t="str">
        <f t="shared" si="0"/>
        <v/>
      </c>
      <c r="F17" s="78"/>
    </row>
    <row r="18" spans="1:6" ht="15.75">
      <c r="A18" s="22"/>
      <c r="B18" s="68" t="str">
        <f>IF((inputPrYr!$B30&gt;"  "),(inputPrYr!$B30),"  ")</f>
        <v xml:space="preserve">  </v>
      </c>
      <c r="C18" s="312"/>
      <c r="D18" s="311" t="str">
        <f>IF(C18&gt;0,C18/$D$24,"")</f>
        <v/>
      </c>
      <c r="E18" s="183" t="str">
        <f>IF(C18&gt;0,ROUND(D18*$D$28,0),"")</f>
        <v/>
      </c>
      <c r="F18" s="78"/>
    </row>
    <row r="19" spans="1:6" ht="17.25" customHeight="1" thickBot="1">
      <c r="A19" s="22"/>
      <c r="B19" s="48" t="s">
        <v>19</v>
      </c>
      <c r="C19" s="313">
        <f>SUM(C6:C18)</f>
        <v>0</v>
      </c>
      <c r="D19" s="314">
        <f>SUM(D6:D18)</f>
        <v>0</v>
      </c>
      <c r="E19" s="313">
        <f>SUM(E6:E18)</f>
        <v>0</v>
      </c>
      <c r="F19" s="78"/>
    </row>
    <row r="20" spans="1:6" ht="16.5" thickTop="1">
      <c r="A20" s="22"/>
      <c r="B20" s="22"/>
      <c r="C20" s="22"/>
      <c r="D20" s="22"/>
      <c r="E20" s="22"/>
      <c r="F20" s="78"/>
    </row>
    <row r="21" spans="1:6" ht="15.75">
      <c r="A21" s="22"/>
      <c r="B21" s="22"/>
      <c r="C21" s="22"/>
      <c r="D21" s="22"/>
      <c r="E21" s="22"/>
      <c r="F21" s="78"/>
    </row>
    <row r="22" spans="1:6" ht="18.75" customHeight="1">
      <c r="A22" s="785" t="str">
        <f>CONCATENATE("",F1-1," July 1 Valuation:")</f>
        <v>2012 July 1 Valuation:</v>
      </c>
      <c r="B22" s="751"/>
      <c r="C22" s="785"/>
      <c r="D22" s="306">
        <f>inputOth!E7</f>
        <v>6596051</v>
      </c>
      <c r="E22" s="22"/>
      <c r="F22" s="78"/>
    </row>
    <row r="23" spans="1:6" ht="15.75">
      <c r="A23" s="22"/>
      <c r="B23" s="22"/>
      <c r="C23" s="22"/>
      <c r="D23" s="22"/>
      <c r="E23" s="22"/>
      <c r="F23" s="78"/>
    </row>
    <row r="24" spans="1:6" ht="15.75">
      <c r="A24" s="22"/>
      <c r="B24" s="785" t="s">
        <v>368</v>
      </c>
      <c r="C24" s="785"/>
      <c r="D24" s="315">
        <f>IF(D22&gt;0,(D22*0.001),"")</f>
        <v>6596.0510000000004</v>
      </c>
      <c r="E24" s="22"/>
      <c r="F24" s="78"/>
    </row>
    <row r="25" spans="1:6" ht="15.75">
      <c r="A25" s="22"/>
      <c r="B25" s="119"/>
      <c r="C25" s="119"/>
      <c r="D25" s="316"/>
      <c r="E25" s="22"/>
      <c r="F25" s="78"/>
    </row>
    <row r="26" spans="1:6" ht="15.75">
      <c r="A26" s="783" t="s">
        <v>369</v>
      </c>
      <c r="B26" s="726"/>
      <c r="C26" s="726"/>
      <c r="D26" s="317">
        <f>inputOth!E17</f>
        <v>0</v>
      </c>
      <c r="E26" s="85"/>
      <c r="F26" s="85"/>
    </row>
    <row r="27" spans="1:6">
      <c r="A27" s="85"/>
      <c r="B27" s="85"/>
      <c r="C27" s="85"/>
      <c r="D27" s="318"/>
      <c r="E27" s="85"/>
      <c r="F27" s="85"/>
    </row>
    <row r="28" spans="1:6" ht="15.75">
      <c r="A28" s="85"/>
      <c r="B28" s="783" t="s">
        <v>370</v>
      </c>
      <c r="C28" s="751"/>
      <c r="D28" s="319" t="str">
        <f>IF(D26&gt;0,(D26*0.001),"")</f>
        <v/>
      </c>
      <c r="E28" s="85"/>
      <c r="F28" s="85"/>
    </row>
    <row r="29" spans="1:6">
      <c r="A29" s="85"/>
      <c r="B29" s="85"/>
      <c r="C29" s="85"/>
      <c r="D29" s="85"/>
      <c r="E29" s="85"/>
      <c r="F29" s="85"/>
    </row>
    <row r="30" spans="1:6">
      <c r="A30" s="85"/>
      <c r="B30" s="85"/>
      <c r="C30" s="85"/>
      <c r="D30" s="85"/>
      <c r="E30" s="85"/>
      <c r="F30" s="85"/>
    </row>
    <row r="31" spans="1:6">
      <c r="A31" s="85"/>
      <c r="B31" s="85"/>
      <c r="C31" s="85"/>
      <c r="D31" s="85"/>
      <c r="E31" s="85"/>
      <c r="F31" s="85"/>
    </row>
    <row r="32" spans="1:6" ht="15.75">
      <c r="A32" s="345" t="str">
        <f>CONCATENATE("**This information comes from the ",F1," Budget Summary page.  See instructions tab #13 for completing")</f>
        <v>**This information comes from the 2013 Budget Summary page.  See instructions tab #13 for completing</v>
      </c>
      <c r="B32" s="85"/>
      <c r="C32" s="85"/>
      <c r="D32" s="85"/>
      <c r="E32" s="85"/>
      <c r="F32" s="85"/>
    </row>
    <row r="33" spans="1:6" ht="15.75">
      <c r="A33" s="345" t="s">
        <v>613</v>
      </c>
      <c r="B33" s="85"/>
      <c r="C33" s="85"/>
      <c r="D33" s="85"/>
      <c r="E33" s="85"/>
      <c r="F33" s="85"/>
    </row>
    <row r="34" spans="1:6" ht="15.75">
      <c r="A34" s="345"/>
      <c r="B34" s="85"/>
      <c r="C34" s="85"/>
      <c r="D34" s="85"/>
      <c r="E34" s="85"/>
      <c r="F34" s="85"/>
    </row>
    <row r="35" spans="1:6" ht="15.75">
      <c r="A35" s="345"/>
      <c r="B35" s="85"/>
      <c r="C35" s="85"/>
      <c r="D35" s="85"/>
      <c r="E35" s="85"/>
      <c r="F35" s="85"/>
    </row>
    <row r="36" spans="1:6" ht="15.75">
      <c r="A36" s="345"/>
      <c r="B36" s="85"/>
      <c r="C36" s="85"/>
      <c r="D36" s="85"/>
      <c r="E36" s="85"/>
      <c r="F36" s="85"/>
    </row>
    <row r="37" spans="1:6" ht="15.75">
      <c r="A37" s="345"/>
      <c r="B37" s="85"/>
      <c r="C37" s="85"/>
      <c r="D37" s="85"/>
      <c r="E37" s="85"/>
      <c r="F37" s="85"/>
    </row>
    <row r="38" spans="1:6" ht="15.75">
      <c r="A38" s="345"/>
      <c r="B38" s="85"/>
      <c r="C38" s="85"/>
      <c r="D38" s="85"/>
      <c r="E38" s="85"/>
      <c r="F38" s="85"/>
    </row>
    <row r="39" spans="1:6">
      <c r="A39" s="85"/>
      <c r="B39" s="85"/>
      <c r="C39" s="85"/>
      <c r="D39" s="85"/>
      <c r="E39" s="85"/>
      <c r="F39" s="85"/>
    </row>
    <row r="40" spans="1:6" ht="15.75">
      <c r="A40" s="85"/>
      <c r="B40" s="245" t="s">
        <v>41</v>
      </c>
      <c r="C40" s="249"/>
      <c r="D40" s="85"/>
      <c r="E40" s="85"/>
      <c r="F40" s="85"/>
    </row>
    <row r="41" spans="1:6" ht="15.75">
      <c r="A41" s="78"/>
      <c r="B41" s="22"/>
      <c r="C41" s="22"/>
      <c r="D41" s="52"/>
      <c r="E41" s="78"/>
      <c r="F41" s="78"/>
    </row>
  </sheetData>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dimension ref="A1:N41"/>
  <sheetViews>
    <sheetView workbookViewId="0">
      <selection activeCell="A6" sqref="A6:G6"/>
    </sheetView>
  </sheetViews>
  <sheetFormatPr defaultRowHeight="15"/>
  <sheetData>
    <row r="1" spans="1:14" ht="16.5" customHeight="1">
      <c r="A1" s="787" t="s">
        <v>154</v>
      </c>
      <c r="B1" s="787"/>
      <c r="C1" s="787"/>
      <c r="D1" s="787"/>
      <c r="E1" s="787"/>
      <c r="F1" s="787"/>
      <c r="G1" s="787"/>
    </row>
    <row r="2" spans="1:14" ht="16.5" customHeight="1">
      <c r="A2" s="787"/>
      <c r="B2" s="787"/>
      <c r="C2" s="787"/>
      <c r="D2" s="787"/>
      <c r="E2" s="787"/>
      <c r="F2" s="787"/>
      <c r="G2" s="787"/>
    </row>
    <row r="3" spans="1:14" ht="16.5" customHeight="1">
      <c r="A3" s="788"/>
      <c r="B3" s="788"/>
      <c r="C3" s="788"/>
      <c r="D3" s="788"/>
      <c r="E3" s="788"/>
      <c r="F3" s="788"/>
      <c r="G3" s="788"/>
    </row>
    <row r="4" spans="1:14" ht="16.5" customHeight="1">
      <c r="A4" s="786" t="str">
        <f>CONCATENATE("AN ORDINANCE ATTESTING TO AN INCREASE IN TAX REVENUES FOR BUDGET YEAR ",(inputPrYr!C5)," FOR THE  ",(inputPrYr!$D$2),".")</f>
        <v>AN ORDINANCE ATTESTING TO AN INCREASE IN TAX REVENUES FOR BUDGET YEAR 2013 FOR THE  City of St.Francis.</v>
      </c>
      <c r="B4" s="786"/>
      <c r="C4" s="786"/>
      <c r="D4" s="786"/>
      <c r="E4" s="786"/>
      <c r="F4" s="786"/>
      <c r="G4" s="786"/>
    </row>
    <row r="5" spans="1:14" ht="16.5" customHeight="1">
      <c r="A5" s="786"/>
      <c r="B5" s="786"/>
      <c r="C5" s="786"/>
      <c r="D5" s="786"/>
      <c r="E5" s="786"/>
      <c r="F5" s="786"/>
      <c r="G5" s="786"/>
    </row>
    <row r="6" spans="1:14" ht="16.5" customHeight="1">
      <c r="A6" s="787"/>
      <c r="B6" s="787"/>
      <c r="C6" s="787"/>
      <c r="D6" s="787"/>
      <c r="E6" s="787"/>
      <c r="F6" s="787"/>
      <c r="G6" s="787"/>
    </row>
    <row r="7" spans="1:14" ht="16.5" customHeight="1">
      <c r="A7" s="786" t="str">
        <f>CONCATENATE("WHEREAS ",(inputPrYr!$D$2)," must continue to provide services to protect the health, safety, and welfare of the citizens of this community; and")</f>
        <v>WHEREAS City of St.Francis must continue to provide services to protect the health, safety, and welfare of the citizens of this community; and</v>
      </c>
      <c r="B7" s="786"/>
      <c r="C7" s="786"/>
      <c r="D7" s="786"/>
      <c r="E7" s="786"/>
      <c r="F7" s="786"/>
      <c r="G7" s="786"/>
      <c r="H7" s="2"/>
      <c r="I7" s="2"/>
      <c r="J7" s="2"/>
      <c r="K7" s="2"/>
      <c r="L7" s="2"/>
      <c r="M7" s="2"/>
      <c r="N7" s="2"/>
    </row>
    <row r="8" spans="1:14" ht="16.5" customHeight="1">
      <c r="A8" s="786"/>
      <c r="B8" s="786"/>
      <c r="C8" s="786"/>
      <c r="D8" s="786"/>
      <c r="E8" s="786"/>
      <c r="F8" s="786"/>
      <c r="G8" s="786"/>
      <c r="H8" s="2"/>
      <c r="I8" s="2"/>
      <c r="J8" s="2"/>
      <c r="K8" s="2"/>
      <c r="L8" s="2"/>
      <c r="M8" s="2"/>
      <c r="N8" s="2"/>
    </row>
    <row r="9" spans="1:14" ht="16.5" customHeight="1">
      <c r="A9" s="4"/>
      <c r="B9" s="4"/>
      <c r="C9" s="4"/>
      <c r="D9" s="4"/>
      <c r="E9" s="4"/>
      <c r="F9" s="4"/>
      <c r="G9" s="4"/>
    </row>
    <row r="10" spans="1:14" ht="16.5" customHeight="1">
      <c r="A10" s="786" t="s">
        <v>155</v>
      </c>
      <c r="B10" s="786"/>
      <c r="C10" s="786"/>
      <c r="D10" s="786"/>
      <c r="E10" s="786"/>
      <c r="F10" s="786"/>
      <c r="G10" s="786"/>
    </row>
    <row r="11" spans="1:14" ht="16.5" customHeight="1">
      <c r="A11" s="786"/>
      <c r="B11" s="786"/>
      <c r="C11" s="786"/>
      <c r="D11" s="786"/>
      <c r="E11" s="786"/>
      <c r="F11" s="786"/>
      <c r="G11" s="786"/>
    </row>
    <row r="12" spans="1:14" ht="16.5" customHeight="1">
      <c r="A12" s="4"/>
      <c r="B12" s="4"/>
      <c r="C12" s="4"/>
      <c r="D12" s="4"/>
      <c r="E12" s="4"/>
      <c r="F12" s="4"/>
      <c r="G12" s="4"/>
    </row>
    <row r="13" spans="1:14" ht="16.5" customHeight="1">
      <c r="A13" s="786" t="str">
        <f>CONCATENATE("NOW THEREFORE, be it ordained by the Governing Body of the ",(inputPrYr!$D$2),":")</f>
        <v>NOW THEREFORE, be it ordained by the Governing Body of the City of St.Francis:</v>
      </c>
      <c r="B13" s="786"/>
      <c r="C13" s="786"/>
      <c r="D13" s="786"/>
      <c r="E13" s="786"/>
      <c r="F13" s="786"/>
      <c r="G13" s="786"/>
      <c r="H13" s="2"/>
      <c r="I13" s="2"/>
      <c r="J13" s="2"/>
      <c r="K13" s="2"/>
      <c r="L13" s="2"/>
      <c r="M13" s="2"/>
      <c r="N13" s="2"/>
    </row>
    <row r="14" spans="1:14" ht="16.5" customHeight="1">
      <c r="A14" s="786"/>
      <c r="B14" s="786"/>
      <c r="C14" s="786"/>
      <c r="D14" s="786"/>
      <c r="E14" s="786"/>
      <c r="F14" s="786"/>
      <c r="G14" s="786"/>
      <c r="H14" s="2"/>
      <c r="I14" s="2"/>
      <c r="J14" s="2"/>
      <c r="K14" s="2"/>
      <c r="L14" s="2"/>
      <c r="M14" s="2"/>
      <c r="N14" s="2"/>
    </row>
    <row r="15" spans="1:14" ht="16.5" customHeight="1">
      <c r="A15" s="786"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St.Francis  has scheduled a public hearing and has prepared the proposed budget necessary to fund city services from January 1, 2013 until December 31, 2013.</v>
      </c>
      <c r="B15" s="786"/>
      <c r="C15" s="786"/>
      <c r="D15" s="786"/>
      <c r="E15" s="786"/>
      <c r="F15" s="786"/>
      <c r="G15" s="786"/>
      <c r="H15" s="2"/>
      <c r="I15" s="2"/>
      <c r="J15" s="2"/>
      <c r="K15" s="2"/>
      <c r="L15" s="2"/>
      <c r="M15" s="2"/>
      <c r="N15" s="2"/>
    </row>
    <row r="16" spans="1:14" ht="16.5" customHeight="1">
      <c r="A16" s="786"/>
      <c r="B16" s="786"/>
      <c r="C16" s="786"/>
      <c r="D16" s="786"/>
      <c r="E16" s="786"/>
      <c r="F16" s="786"/>
      <c r="G16" s="786"/>
      <c r="H16" s="2"/>
      <c r="I16" s="2"/>
      <c r="J16" s="2"/>
      <c r="K16" s="2"/>
      <c r="L16" s="2"/>
      <c r="M16" s="2"/>
      <c r="N16" s="2"/>
    </row>
    <row r="17" spans="1:14" ht="16.5" customHeight="1">
      <c r="A17" s="786"/>
      <c r="B17" s="786"/>
      <c r="C17" s="786"/>
      <c r="D17" s="786"/>
      <c r="E17" s="786"/>
      <c r="F17" s="786"/>
      <c r="G17" s="786"/>
      <c r="H17" s="3"/>
      <c r="I17" s="3"/>
      <c r="J17" s="3"/>
      <c r="K17" s="3"/>
      <c r="L17" s="3"/>
      <c r="M17" s="3"/>
      <c r="N17" s="3"/>
    </row>
    <row r="18" spans="1:14" ht="16.5" customHeight="1">
      <c r="A18" s="6"/>
      <c r="B18" s="6"/>
      <c r="C18" s="6"/>
      <c r="D18" s="6"/>
      <c r="E18" s="6"/>
      <c r="F18" s="6"/>
      <c r="G18" s="6"/>
    </row>
    <row r="19" spans="1:14" ht="16.5" customHeight="1">
      <c r="A19" s="790" t="s">
        <v>220</v>
      </c>
      <c r="B19" s="790"/>
      <c r="C19" s="790"/>
      <c r="D19" s="790"/>
      <c r="E19" s="790"/>
      <c r="F19" s="790"/>
      <c r="G19" s="790"/>
    </row>
    <row r="20" spans="1:14" ht="16.5" customHeight="1">
      <c r="A20" s="790" t="s">
        <v>221</v>
      </c>
      <c r="B20" s="790"/>
      <c r="C20" s="790"/>
      <c r="D20" s="790"/>
      <c r="E20" s="790"/>
      <c r="F20" s="790"/>
      <c r="G20" s="790"/>
    </row>
    <row r="21" spans="1:14" ht="16.5" customHeight="1">
      <c r="A21" s="790" t="str">
        <f>CONCATENATE("necessary to budget property tax revenues in an amount exceeding the levy in the ",(inputPrYr!C5-1),"")</f>
        <v>necessary to budget property tax revenues in an amount exceeding the levy in the 2012</v>
      </c>
      <c r="B21" s="790"/>
      <c r="C21" s="790"/>
      <c r="D21" s="790"/>
      <c r="E21" s="790"/>
      <c r="F21" s="790"/>
      <c r="G21" s="790"/>
    </row>
    <row r="22" spans="1:14" ht="16.5" customHeight="1">
      <c r="A22" s="5" t="s">
        <v>222</v>
      </c>
      <c r="B22" s="5"/>
      <c r="C22" s="5"/>
      <c r="D22" s="5"/>
      <c r="E22" s="5"/>
      <c r="F22" s="5"/>
      <c r="G22" s="5"/>
    </row>
    <row r="23" spans="1:14" ht="16.5" customHeight="1">
      <c r="A23" s="6"/>
      <c r="B23" s="6"/>
      <c r="C23" s="6"/>
      <c r="D23" s="6"/>
      <c r="E23" s="6"/>
      <c r="F23" s="6"/>
      <c r="G23" s="6"/>
    </row>
    <row r="24" spans="1:14" ht="16.5" customHeight="1">
      <c r="A24" s="786" t="s">
        <v>156</v>
      </c>
      <c r="B24" s="786"/>
      <c r="C24" s="786"/>
      <c r="D24" s="786"/>
      <c r="E24" s="786"/>
      <c r="F24" s="786"/>
      <c r="G24" s="786"/>
    </row>
    <row r="25" spans="1:14" ht="16.5" customHeight="1">
      <c r="A25" s="786"/>
      <c r="B25" s="786"/>
      <c r="C25" s="786"/>
      <c r="D25" s="786"/>
      <c r="E25" s="786"/>
      <c r="F25" s="786"/>
      <c r="G25" s="786"/>
    </row>
    <row r="26" spans="1:14" ht="16.5" customHeight="1">
      <c r="A26" s="6"/>
      <c r="B26" s="6"/>
      <c r="C26" s="6"/>
      <c r="D26" s="6"/>
      <c r="E26" s="6"/>
      <c r="F26" s="6"/>
      <c r="G26" s="6"/>
    </row>
    <row r="27" spans="1:14" ht="16.5" customHeight="1">
      <c r="A27" s="786" t="str">
        <f>CONCATENATE("Passed and approved by the Governing Body on this ______ day of __________, ",(inputPrYr!C5-1),".")</f>
        <v>Passed and approved by the Governing Body on this ______ day of __________, 2012.</v>
      </c>
      <c r="B27" s="786"/>
      <c r="C27" s="786"/>
      <c r="D27" s="786"/>
      <c r="E27" s="786"/>
      <c r="F27" s="786"/>
      <c r="G27" s="786"/>
    </row>
    <row r="28" spans="1:14" ht="16.5" customHeight="1">
      <c r="A28" s="786"/>
      <c r="B28" s="786"/>
      <c r="C28" s="786"/>
      <c r="D28" s="786"/>
      <c r="E28" s="786"/>
      <c r="F28" s="786"/>
      <c r="G28" s="786"/>
    </row>
    <row r="29" spans="1:14" ht="16.5" customHeight="1">
      <c r="A29" s="1"/>
      <c r="B29" s="1"/>
      <c r="C29" s="1"/>
      <c r="D29" s="1"/>
      <c r="E29" s="1"/>
      <c r="F29" s="1"/>
      <c r="G29" s="1"/>
    </row>
    <row r="30" spans="1:14" ht="16.5" customHeight="1">
      <c r="A30" s="789" t="s">
        <v>157</v>
      </c>
      <c r="B30" s="789"/>
      <c r="C30" s="789"/>
      <c r="D30" s="789"/>
      <c r="E30" s="789"/>
      <c r="F30" s="789"/>
      <c r="G30" s="789"/>
    </row>
    <row r="31" spans="1:14" ht="16.5" customHeight="1">
      <c r="A31" s="789" t="s">
        <v>158</v>
      </c>
      <c r="B31" s="789"/>
      <c r="C31" s="789"/>
      <c r="D31" s="789"/>
      <c r="E31" s="789"/>
      <c r="F31" s="789"/>
      <c r="G31" s="789"/>
    </row>
    <row r="32" spans="1:14" ht="16.5" customHeight="1">
      <c r="A32" s="1" t="s">
        <v>159</v>
      </c>
      <c r="B32" s="1"/>
      <c r="C32" s="1"/>
      <c r="D32" s="1"/>
      <c r="E32" s="1"/>
      <c r="F32" s="1"/>
      <c r="G32" s="1"/>
    </row>
    <row r="33" spans="1:7" ht="16.5" customHeight="1">
      <c r="A33" s="1"/>
      <c r="B33" s="1" t="s">
        <v>160</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161</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162</v>
      </c>
      <c r="B40" s="1"/>
      <c r="C40" s="1"/>
      <c r="D40" s="1"/>
      <c r="E40" s="1"/>
      <c r="F40" s="1"/>
      <c r="G40" s="1"/>
    </row>
    <row r="41" spans="1:7" ht="15.75">
      <c r="A41" s="1"/>
      <c r="B41" s="1"/>
      <c r="C41" s="1"/>
      <c r="D41" s="1"/>
      <c r="E41" s="1"/>
      <c r="F41" s="1"/>
      <c r="G41" s="1"/>
    </row>
  </sheetData>
  <mergeCells count="16">
    <mergeCell ref="A10:G11"/>
    <mergeCell ref="A13:G14"/>
    <mergeCell ref="A30:G30"/>
    <mergeCell ref="A31:G31"/>
    <mergeCell ref="A15:G17"/>
    <mergeCell ref="A24:G25"/>
    <mergeCell ref="A27:G28"/>
    <mergeCell ref="A19:G19"/>
    <mergeCell ref="A20:G20"/>
    <mergeCell ref="A21:G21"/>
    <mergeCell ref="A7:G8"/>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7.xml><?xml version="1.0" encoding="utf-8"?>
<worksheet xmlns="http://schemas.openxmlformats.org/spreadsheetml/2006/main" xmlns:r="http://schemas.openxmlformats.org/officeDocument/2006/relationships">
  <sheetPr>
    <tabColor rgb="FFFF0000"/>
  </sheetPr>
  <dimension ref="A3:L85"/>
  <sheetViews>
    <sheetView topLeftCell="A61" workbookViewId="0">
      <selection activeCell="A37" sqref="A37"/>
    </sheetView>
  </sheetViews>
  <sheetFormatPr defaultRowHeight="15"/>
  <cols>
    <col min="1" max="1" width="71.33203125" customWidth="1"/>
  </cols>
  <sheetData>
    <row r="3" spans="1:12">
      <c r="A3" s="332" t="s">
        <v>391</v>
      </c>
      <c r="B3" s="332"/>
      <c r="C3" s="332"/>
      <c r="D3" s="332"/>
      <c r="E3" s="332"/>
      <c r="F3" s="332"/>
      <c r="G3" s="332"/>
      <c r="H3" s="332"/>
      <c r="I3" s="332"/>
      <c r="J3" s="332"/>
      <c r="K3" s="332"/>
      <c r="L3" s="332"/>
    </row>
    <row r="5" spans="1:12">
      <c r="A5" s="333" t="s">
        <v>392</v>
      </c>
    </row>
    <row r="6" spans="1:12">
      <c r="A6" s="333" t="str">
        <f>CONCATENATE(inputPrYr!C5-2," 'total expenditures' exceed your ",inputPrYr!C5-2," 'budget authority.'")</f>
        <v>2011 'total expenditures' exceed your 2011 'budget authority.'</v>
      </c>
    </row>
    <row r="7" spans="1:12">
      <c r="A7" s="333"/>
    </row>
    <row r="8" spans="1:12">
      <c r="A8" s="333" t="s">
        <v>393</v>
      </c>
    </row>
    <row r="9" spans="1:12">
      <c r="A9" s="333" t="s">
        <v>394</v>
      </c>
    </row>
    <row r="10" spans="1:12">
      <c r="A10" s="333" t="s">
        <v>395</v>
      </c>
    </row>
    <row r="11" spans="1:12">
      <c r="A11" s="333"/>
    </row>
    <row r="12" spans="1:12">
      <c r="A12" s="333"/>
    </row>
    <row r="13" spans="1:12">
      <c r="A13" s="334" t="s">
        <v>396</v>
      </c>
    </row>
    <row r="15" spans="1:12">
      <c r="A15" s="333" t="s">
        <v>397</v>
      </c>
    </row>
    <row r="16" spans="1:12">
      <c r="A16" s="333" t="str">
        <f>CONCATENATE("(i.e. an audit has not been completed, or the ",inputPrYr!C5," adopted")</f>
        <v>(i.e. an audit has not been completed, or the 2013 adopted</v>
      </c>
    </row>
    <row r="17" spans="1:1">
      <c r="A17" s="333" t="s">
        <v>398</v>
      </c>
    </row>
    <row r="18" spans="1:1">
      <c r="A18" s="333" t="s">
        <v>399</v>
      </c>
    </row>
    <row r="19" spans="1:1">
      <c r="A19" s="333" t="s">
        <v>400</v>
      </c>
    </row>
    <row r="21" spans="1:1">
      <c r="A21" s="334" t="s">
        <v>401</v>
      </c>
    </row>
    <row r="22" spans="1:1">
      <c r="A22" s="334"/>
    </row>
    <row r="23" spans="1:1">
      <c r="A23" s="333" t="s">
        <v>402</v>
      </c>
    </row>
    <row r="24" spans="1:1">
      <c r="A24" s="333" t="s">
        <v>403</v>
      </c>
    </row>
    <row r="25" spans="1:1">
      <c r="A25" s="333" t="str">
        <f>CONCATENATE("particular fund.  If your ",inputPrYr!C5-2," budget was amended, did you")</f>
        <v>particular fund.  If your 2011 budget was amended, did you</v>
      </c>
    </row>
    <row r="26" spans="1:1">
      <c r="A26" s="333" t="s">
        <v>404</v>
      </c>
    </row>
    <row r="27" spans="1:1">
      <c r="A27" s="333"/>
    </row>
    <row r="28" spans="1:1">
      <c r="A28" s="333" t="str">
        <f>CONCATENATE("Next, look to see if any of your ",inputPrYr!C5-2," expenditures can be")</f>
        <v>Next, look to see if any of your 2011 expenditures can be</v>
      </c>
    </row>
    <row r="29" spans="1:1">
      <c r="A29" s="333" t="s">
        <v>405</v>
      </c>
    </row>
    <row r="30" spans="1:1">
      <c r="A30" s="333" t="s">
        <v>406</v>
      </c>
    </row>
    <row r="31" spans="1:1">
      <c r="A31" s="333" t="s">
        <v>407</v>
      </c>
    </row>
    <row r="32" spans="1:1">
      <c r="A32" s="333"/>
    </row>
    <row r="33" spans="1:1">
      <c r="A33" s="333" t="str">
        <f>CONCATENATE("Additionally, do your ",inputPrYr!C5-2," receipts contain a reimbursement")</f>
        <v>Additionally, do your 2011 receipts contain a reimbursement</v>
      </c>
    </row>
    <row r="34" spans="1:1">
      <c r="A34" s="333" t="s">
        <v>408</v>
      </c>
    </row>
    <row r="35" spans="1:1">
      <c r="A35" s="333" t="s">
        <v>409</v>
      </c>
    </row>
    <row r="36" spans="1:1">
      <c r="A36" s="333"/>
    </row>
    <row r="37" spans="1:1">
      <c r="A37" s="333" t="s">
        <v>410</v>
      </c>
    </row>
    <row r="38" spans="1:1">
      <c r="A38" s="333" t="s">
        <v>411</v>
      </c>
    </row>
    <row r="39" spans="1:1">
      <c r="A39" s="333" t="s">
        <v>412</v>
      </c>
    </row>
    <row r="40" spans="1:1">
      <c r="A40" s="333" t="s">
        <v>413</v>
      </c>
    </row>
    <row r="41" spans="1:1">
      <c r="A41" s="333" t="s">
        <v>414</v>
      </c>
    </row>
    <row r="42" spans="1:1">
      <c r="A42" s="333" t="s">
        <v>415</v>
      </c>
    </row>
    <row r="43" spans="1:1">
      <c r="A43" s="333" t="s">
        <v>416</v>
      </c>
    </row>
    <row r="44" spans="1:1">
      <c r="A44" s="333" t="s">
        <v>417</v>
      </c>
    </row>
    <row r="45" spans="1:1">
      <c r="A45" s="333"/>
    </row>
    <row r="46" spans="1:1">
      <c r="A46" s="333" t="s">
        <v>418</v>
      </c>
    </row>
    <row r="47" spans="1:1">
      <c r="A47" s="333" t="s">
        <v>419</v>
      </c>
    </row>
    <row r="48" spans="1:1">
      <c r="A48" s="333" t="s">
        <v>420</v>
      </c>
    </row>
    <row r="49" spans="1:1">
      <c r="A49" s="333"/>
    </row>
    <row r="50" spans="1:1">
      <c r="A50" s="333" t="s">
        <v>421</v>
      </c>
    </row>
    <row r="51" spans="1:1">
      <c r="A51" s="333" t="s">
        <v>422</v>
      </c>
    </row>
    <row r="52" spans="1:1">
      <c r="A52" s="333" t="s">
        <v>423</v>
      </c>
    </row>
    <row r="53" spans="1:1">
      <c r="A53" s="333"/>
    </row>
    <row r="54" spans="1:1">
      <c r="A54" s="334" t="s">
        <v>424</v>
      </c>
    </row>
    <row r="55" spans="1:1">
      <c r="A55" s="333"/>
    </row>
    <row r="56" spans="1:1">
      <c r="A56" s="333" t="s">
        <v>425</v>
      </c>
    </row>
    <row r="57" spans="1:1">
      <c r="A57" s="333" t="s">
        <v>426</v>
      </c>
    </row>
    <row r="58" spans="1:1">
      <c r="A58" s="333" t="s">
        <v>427</v>
      </c>
    </row>
    <row r="59" spans="1:1">
      <c r="A59" s="333" t="s">
        <v>428</v>
      </c>
    </row>
    <row r="60" spans="1:1">
      <c r="A60" s="333" t="s">
        <v>429</v>
      </c>
    </row>
    <row r="61" spans="1:1">
      <c r="A61" s="333" t="s">
        <v>430</v>
      </c>
    </row>
    <row r="62" spans="1:1">
      <c r="A62" s="333" t="s">
        <v>431</v>
      </c>
    </row>
    <row r="63" spans="1:1">
      <c r="A63" s="333" t="s">
        <v>432</v>
      </c>
    </row>
    <row r="64" spans="1:1">
      <c r="A64" s="333" t="s">
        <v>433</v>
      </c>
    </row>
    <row r="65" spans="1:1">
      <c r="A65" s="333" t="s">
        <v>434</v>
      </c>
    </row>
    <row r="66" spans="1:1">
      <c r="A66" s="333" t="s">
        <v>435</v>
      </c>
    </row>
    <row r="67" spans="1:1">
      <c r="A67" s="333" t="s">
        <v>436</v>
      </c>
    </row>
    <row r="68" spans="1:1">
      <c r="A68" s="333" t="s">
        <v>437</v>
      </c>
    </row>
    <row r="69" spans="1:1">
      <c r="A69" s="333"/>
    </row>
    <row r="70" spans="1:1">
      <c r="A70" s="333" t="s">
        <v>438</v>
      </c>
    </row>
    <row r="71" spans="1:1">
      <c r="A71" s="333" t="s">
        <v>439</v>
      </c>
    </row>
    <row r="72" spans="1:1">
      <c r="A72" s="333" t="s">
        <v>440</v>
      </c>
    </row>
    <row r="73" spans="1:1">
      <c r="A73" s="333"/>
    </row>
    <row r="74" spans="1:1">
      <c r="A74" s="334" t="str">
        <f>CONCATENATE("What if the ",inputPrYr!C5-2," financial records have been closed?")</f>
        <v>What if the 2011 financial records have been closed?</v>
      </c>
    </row>
    <row r="76" spans="1:1">
      <c r="A76" s="333" t="s">
        <v>441</v>
      </c>
    </row>
    <row r="77" spans="1:1">
      <c r="A77" s="333" t="str">
        <f>CONCATENATE("(i.e. an audit for ",inputPrYr!C5-2," has been completed, or the ",inputPrYr!C5)</f>
        <v>(i.e. an audit for 2011 has been completed, or the 2013</v>
      </c>
    </row>
    <row r="78" spans="1:1">
      <c r="A78" s="333" t="s">
        <v>442</v>
      </c>
    </row>
    <row r="79" spans="1:1">
      <c r="A79" s="333" t="s">
        <v>443</v>
      </c>
    </row>
    <row r="80" spans="1:1">
      <c r="A80" s="333"/>
    </row>
    <row r="81" spans="1:1">
      <c r="A81" s="333" t="s">
        <v>444</v>
      </c>
    </row>
    <row r="82" spans="1:1">
      <c r="A82" s="333" t="s">
        <v>445</v>
      </c>
    </row>
    <row r="83" spans="1:1">
      <c r="A83" s="333" t="s">
        <v>446</v>
      </c>
    </row>
    <row r="84" spans="1:1">
      <c r="A84" s="333"/>
    </row>
    <row r="85" spans="1:1">
      <c r="A85" s="333" t="s">
        <v>447</v>
      </c>
    </row>
  </sheetData>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32" t="s">
        <v>448</v>
      </c>
      <c r="B3" s="332"/>
      <c r="C3" s="332"/>
      <c r="D3" s="332"/>
      <c r="E3" s="332"/>
      <c r="F3" s="332"/>
      <c r="G3" s="332"/>
      <c r="H3" s="335"/>
      <c r="I3" s="335"/>
      <c r="J3" s="335"/>
    </row>
    <row r="5" spans="1:10">
      <c r="A5" s="333" t="s">
        <v>449</v>
      </c>
    </row>
    <row r="6" spans="1:10">
      <c r="A6" t="str">
        <f>CONCATENATE(inputPrYr!C5-2," expenditures show that you finished the year with a ")</f>
        <v xml:space="preserve">2011 expenditures show that you finished the year with a </v>
      </c>
    </row>
    <row r="7" spans="1:10">
      <c r="A7" t="s">
        <v>450</v>
      </c>
    </row>
    <row r="9" spans="1:10">
      <c r="A9" t="s">
        <v>451</v>
      </c>
    </row>
    <row r="10" spans="1:10">
      <c r="A10" t="s">
        <v>452</v>
      </c>
    </row>
    <row r="11" spans="1:10">
      <c r="A11" t="s">
        <v>453</v>
      </c>
    </row>
    <row r="13" spans="1:10">
      <c r="A13" s="334" t="s">
        <v>454</v>
      </c>
    </row>
    <row r="14" spans="1:10">
      <c r="A14" s="334"/>
    </row>
    <row r="15" spans="1:10">
      <c r="A15" s="333" t="s">
        <v>455</v>
      </c>
    </row>
    <row r="16" spans="1:10">
      <c r="A16" s="333" t="s">
        <v>456</v>
      </c>
    </row>
    <row r="17" spans="1:1">
      <c r="A17" s="333" t="s">
        <v>457</v>
      </c>
    </row>
    <row r="18" spans="1:1">
      <c r="A18" s="333"/>
    </row>
    <row r="19" spans="1:1">
      <c r="A19" s="334" t="s">
        <v>458</v>
      </c>
    </row>
    <row r="20" spans="1:1">
      <c r="A20" s="334"/>
    </row>
    <row r="21" spans="1:1">
      <c r="A21" s="333" t="s">
        <v>459</v>
      </c>
    </row>
    <row r="22" spans="1:1">
      <c r="A22" s="333" t="s">
        <v>460</v>
      </c>
    </row>
    <row r="23" spans="1:1">
      <c r="A23" s="333" t="s">
        <v>461</v>
      </c>
    </row>
    <row r="24" spans="1:1">
      <c r="A24" s="333"/>
    </row>
    <row r="25" spans="1:1">
      <c r="A25" s="334" t="s">
        <v>462</v>
      </c>
    </row>
    <row r="26" spans="1:1">
      <c r="A26" s="334"/>
    </row>
    <row r="27" spans="1:1">
      <c r="A27" s="333" t="s">
        <v>463</v>
      </c>
    </row>
    <row r="28" spans="1:1">
      <c r="A28" s="333" t="s">
        <v>464</v>
      </c>
    </row>
    <row r="29" spans="1:1">
      <c r="A29" s="333" t="s">
        <v>465</v>
      </c>
    </row>
    <row r="30" spans="1:1">
      <c r="A30" s="333"/>
    </row>
    <row r="31" spans="1:1">
      <c r="A31" s="334" t="s">
        <v>466</v>
      </c>
    </row>
    <row r="32" spans="1:1">
      <c r="A32" s="334"/>
    </row>
    <row r="33" spans="1:8">
      <c r="A33" s="333" t="str">
        <f>CONCATENATE("If your financial records for ",inputPrYr!C5-2," are not closed")</f>
        <v>If your financial records for 2011 are not closed</v>
      </c>
      <c r="B33" s="333"/>
      <c r="C33" s="333"/>
      <c r="D33" s="333"/>
      <c r="E33" s="333"/>
      <c r="F33" s="333"/>
      <c r="G33" s="333"/>
      <c r="H33" s="333"/>
    </row>
    <row r="34" spans="1:8">
      <c r="A34" s="333" t="str">
        <f>CONCATENATE("(i.e. an audit has not been completed, or the ",inputPrYr!C5," adopted ")</f>
        <v xml:space="preserve">(i.e. an audit has not been completed, or the 2013 adopted </v>
      </c>
      <c r="B34" s="333"/>
      <c r="C34" s="333"/>
      <c r="D34" s="333"/>
      <c r="E34" s="333"/>
      <c r="F34" s="333"/>
      <c r="G34" s="333"/>
      <c r="H34" s="333"/>
    </row>
    <row r="35" spans="1:8">
      <c r="A35" s="333" t="s">
        <v>467</v>
      </c>
      <c r="B35" s="333"/>
      <c r="C35" s="333"/>
      <c r="D35" s="333"/>
      <c r="E35" s="333"/>
      <c r="F35" s="333"/>
      <c r="G35" s="333"/>
      <c r="H35" s="333"/>
    </row>
    <row r="36" spans="1:8">
      <c r="A36" s="333" t="s">
        <v>468</v>
      </c>
      <c r="B36" s="333"/>
      <c r="C36" s="333"/>
      <c r="D36" s="333"/>
      <c r="E36" s="333"/>
      <c r="F36" s="333"/>
      <c r="G36" s="333"/>
      <c r="H36" s="333"/>
    </row>
    <row r="37" spans="1:8">
      <c r="A37" s="333" t="s">
        <v>469</v>
      </c>
      <c r="B37" s="333"/>
      <c r="C37" s="333"/>
      <c r="D37" s="333"/>
      <c r="E37" s="333"/>
      <c r="F37" s="333"/>
      <c r="G37" s="333"/>
      <c r="H37" s="333"/>
    </row>
    <row r="38" spans="1:8">
      <c r="A38" s="333" t="s">
        <v>470</v>
      </c>
      <c r="B38" s="333"/>
      <c r="C38" s="333"/>
      <c r="D38" s="333"/>
      <c r="E38" s="333"/>
      <c r="F38" s="333"/>
      <c r="G38" s="333"/>
      <c r="H38" s="333"/>
    </row>
    <row r="39" spans="1:8">
      <c r="A39" s="333" t="s">
        <v>471</v>
      </c>
      <c r="B39" s="333"/>
      <c r="C39" s="333"/>
      <c r="D39" s="333"/>
      <c r="E39" s="333"/>
      <c r="F39" s="333"/>
      <c r="G39" s="333"/>
      <c r="H39" s="333"/>
    </row>
    <row r="40" spans="1:8">
      <c r="A40" s="333"/>
      <c r="B40" s="333"/>
      <c r="C40" s="333"/>
      <c r="D40" s="333"/>
      <c r="E40" s="333"/>
      <c r="F40" s="333"/>
      <c r="G40" s="333"/>
      <c r="H40" s="333"/>
    </row>
    <row r="41" spans="1:8">
      <c r="A41" s="333" t="s">
        <v>472</v>
      </c>
      <c r="B41" s="333"/>
      <c r="C41" s="333"/>
      <c r="D41" s="333"/>
      <c r="E41" s="333"/>
      <c r="F41" s="333"/>
      <c r="G41" s="333"/>
      <c r="H41" s="333"/>
    </row>
    <row r="42" spans="1:8">
      <c r="A42" s="333" t="s">
        <v>473</v>
      </c>
      <c r="B42" s="333"/>
      <c r="C42" s="333"/>
      <c r="D42" s="333"/>
      <c r="E42" s="333"/>
      <c r="F42" s="333"/>
      <c r="G42" s="333"/>
      <c r="H42" s="333"/>
    </row>
    <row r="43" spans="1:8">
      <c r="A43" s="333" t="s">
        <v>474</v>
      </c>
      <c r="B43" s="333"/>
      <c r="C43" s="333"/>
      <c r="D43" s="333"/>
      <c r="E43" s="333"/>
      <c r="F43" s="333"/>
      <c r="G43" s="333"/>
      <c r="H43" s="333"/>
    </row>
    <row r="44" spans="1:8">
      <c r="A44" s="333" t="s">
        <v>475</v>
      </c>
      <c r="B44" s="333"/>
      <c r="C44" s="333"/>
      <c r="D44" s="333"/>
      <c r="E44" s="333"/>
      <c r="F44" s="333"/>
      <c r="G44" s="333"/>
      <c r="H44" s="333"/>
    </row>
    <row r="45" spans="1:8">
      <c r="A45" s="333"/>
      <c r="B45" s="333"/>
      <c r="C45" s="333"/>
      <c r="D45" s="333"/>
      <c r="E45" s="333"/>
      <c r="F45" s="333"/>
      <c r="G45" s="333"/>
      <c r="H45" s="333"/>
    </row>
    <row r="46" spans="1:8">
      <c r="A46" s="333" t="s">
        <v>476</v>
      </c>
      <c r="B46" s="333"/>
      <c r="C46" s="333"/>
      <c r="D46" s="333"/>
      <c r="E46" s="333"/>
      <c r="F46" s="333"/>
      <c r="G46" s="333"/>
      <c r="H46" s="333"/>
    </row>
    <row r="47" spans="1:8">
      <c r="A47" s="333" t="s">
        <v>477</v>
      </c>
      <c r="B47" s="333"/>
      <c r="C47" s="333"/>
      <c r="D47" s="333"/>
      <c r="E47" s="333"/>
      <c r="F47" s="333"/>
      <c r="G47" s="333"/>
      <c r="H47" s="333"/>
    </row>
    <row r="48" spans="1:8">
      <c r="A48" s="333" t="s">
        <v>478</v>
      </c>
      <c r="B48" s="333"/>
      <c r="C48" s="333"/>
      <c r="D48" s="333"/>
      <c r="E48" s="333"/>
      <c r="F48" s="333"/>
      <c r="G48" s="333"/>
      <c r="H48" s="333"/>
    </row>
    <row r="49" spans="1:8">
      <c r="A49" s="333" t="s">
        <v>479</v>
      </c>
      <c r="B49" s="333"/>
      <c r="C49" s="333"/>
      <c r="D49" s="333"/>
      <c r="E49" s="333"/>
      <c r="F49" s="333"/>
      <c r="G49" s="333"/>
      <c r="H49" s="333"/>
    </row>
    <row r="50" spans="1:8">
      <c r="A50" s="333" t="s">
        <v>480</v>
      </c>
      <c r="B50" s="333"/>
      <c r="C50" s="333"/>
      <c r="D50" s="333"/>
      <c r="E50" s="333"/>
      <c r="F50" s="333"/>
      <c r="G50" s="333"/>
      <c r="H50" s="333"/>
    </row>
    <row r="51" spans="1:8">
      <c r="A51" s="333"/>
      <c r="B51" s="333"/>
      <c r="C51" s="333"/>
      <c r="D51" s="333"/>
      <c r="E51" s="333"/>
      <c r="F51" s="333"/>
      <c r="G51" s="333"/>
      <c r="H51" s="333"/>
    </row>
    <row r="52" spans="1:8">
      <c r="A52" s="334" t="s">
        <v>481</v>
      </c>
      <c r="B52" s="334"/>
      <c r="C52" s="334"/>
      <c r="D52" s="334"/>
      <c r="E52" s="334"/>
      <c r="F52" s="334"/>
      <c r="G52" s="334"/>
      <c r="H52" s="333"/>
    </row>
    <row r="53" spans="1:8">
      <c r="A53" s="334" t="s">
        <v>482</v>
      </c>
      <c r="B53" s="334"/>
      <c r="C53" s="334"/>
      <c r="D53" s="334"/>
      <c r="E53" s="334"/>
      <c r="F53" s="334"/>
      <c r="G53" s="334"/>
      <c r="H53" s="333"/>
    </row>
    <row r="54" spans="1:8">
      <c r="A54" s="333"/>
      <c r="B54" s="333"/>
      <c r="C54" s="333"/>
      <c r="D54" s="333"/>
      <c r="E54" s="333"/>
      <c r="F54" s="333"/>
      <c r="G54" s="333"/>
      <c r="H54" s="333"/>
    </row>
    <row r="55" spans="1:8">
      <c r="A55" s="333" t="s">
        <v>483</v>
      </c>
      <c r="B55" s="333"/>
      <c r="C55" s="333"/>
      <c r="D55" s="333"/>
      <c r="E55" s="333"/>
      <c r="F55" s="333"/>
      <c r="G55" s="333"/>
      <c r="H55" s="333"/>
    </row>
    <row r="56" spans="1:8">
      <c r="A56" s="333" t="s">
        <v>484</v>
      </c>
      <c r="B56" s="333"/>
      <c r="C56" s="333"/>
      <c r="D56" s="333"/>
      <c r="E56" s="333"/>
      <c r="F56" s="333"/>
      <c r="G56" s="333"/>
      <c r="H56" s="333"/>
    </row>
    <row r="57" spans="1:8">
      <c r="A57" s="333" t="s">
        <v>485</v>
      </c>
      <c r="B57" s="333"/>
      <c r="C57" s="333"/>
      <c r="D57" s="333"/>
      <c r="E57" s="333"/>
      <c r="F57" s="333"/>
      <c r="G57" s="333"/>
      <c r="H57" s="333"/>
    </row>
    <row r="58" spans="1:8">
      <c r="A58" s="333" t="s">
        <v>486</v>
      </c>
      <c r="B58" s="333"/>
      <c r="C58" s="333"/>
      <c r="D58" s="333"/>
      <c r="E58" s="333"/>
      <c r="F58" s="333"/>
      <c r="G58" s="333"/>
      <c r="H58" s="333"/>
    </row>
    <row r="59" spans="1:8">
      <c r="A59" s="333"/>
      <c r="B59" s="333"/>
      <c r="C59" s="333"/>
      <c r="D59" s="333"/>
      <c r="E59" s="333"/>
      <c r="F59" s="333"/>
      <c r="G59" s="333"/>
      <c r="H59" s="333"/>
    </row>
    <row r="60" spans="1:8">
      <c r="A60" s="333" t="s">
        <v>487</v>
      </c>
      <c r="B60" s="333"/>
      <c r="C60" s="333"/>
      <c r="D60" s="333"/>
      <c r="E60" s="333"/>
      <c r="F60" s="333"/>
      <c r="G60" s="333"/>
      <c r="H60" s="333"/>
    </row>
    <row r="61" spans="1:8">
      <c r="A61" s="333" t="s">
        <v>488</v>
      </c>
      <c r="B61" s="333"/>
      <c r="C61" s="333"/>
      <c r="D61" s="333"/>
      <c r="E61" s="333"/>
      <c r="F61" s="333"/>
      <c r="G61" s="333"/>
      <c r="H61" s="333"/>
    </row>
    <row r="62" spans="1:8">
      <c r="A62" s="333" t="s">
        <v>489</v>
      </c>
      <c r="B62" s="333"/>
      <c r="C62" s="333"/>
      <c r="D62" s="333"/>
      <c r="E62" s="333"/>
      <c r="F62" s="333"/>
      <c r="G62" s="333"/>
      <c r="H62" s="333"/>
    </row>
    <row r="63" spans="1:8">
      <c r="A63" s="333" t="s">
        <v>490</v>
      </c>
      <c r="B63" s="333"/>
      <c r="C63" s="333"/>
      <c r="D63" s="333"/>
      <c r="E63" s="333"/>
      <c r="F63" s="333"/>
      <c r="G63" s="333"/>
      <c r="H63" s="333"/>
    </row>
    <row r="64" spans="1:8">
      <c r="A64" s="333" t="s">
        <v>491</v>
      </c>
      <c r="B64" s="333"/>
      <c r="C64" s="333"/>
      <c r="D64" s="333"/>
      <c r="E64" s="333"/>
      <c r="F64" s="333"/>
      <c r="G64" s="333"/>
      <c r="H64" s="333"/>
    </row>
    <row r="65" spans="1:8">
      <c r="A65" s="333" t="s">
        <v>492</v>
      </c>
      <c r="B65" s="333"/>
      <c r="C65" s="333"/>
      <c r="D65" s="333"/>
      <c r="E65" s="333"/>
      <c r="F65" s="333"/>
      <c r="G65" s="333"/>
      <c r="H65" s="333"/>
    </row>
    <row r="66" spans="1:8">
      <c r="A66" s="333"/>
      <c r="B66" s="333"/>
      <c r="C66" s="333"/>
      <c r="D66" s="333"/>
      <c r="E66" s="333"/>
      <c r="F66" s="333"/>
      <c r="G66" s="333"/>
      <c r="H66" s="333"/>
    </row>
    <row r="67" spans="1:8">
      <c r="A67" s="333" t="s">
        <v>493</v>
      </c>
      <c r="B67" s="333"/>
      <c r="C67" s="333"/>
      <c r="D67" s="333"/>
      <c r="E67" s="333"/>
      <c r="F67" s="333"/>
      <c r="G67" s="333"/>
      <c r="H67" s="333"/>
    </row>
    <row r="68" spans="1:8">
      <c r="A68" s="333" t="s">
        <v>494</v>
      </c>
      <c r="B68" s="333"/>
      <c r="C68" s="333"/>
      <c r="D68" s="333"/>
      <c r="E68" s="333"/>
      <c r="F68" s="333"/>
      <c r="G68" s="333"/>
      <c r="H68" s="333"/>
    </row>
    <row r="69" spans="1:8">
      <c r="A69" s="333" t="s">
        <v>495</v>
      </c>
      <c r="B69" s="333"/>
      <c r="C69" s="333"/>
      <c r="D69" s="333"/>
      <c r="E69" s="333"/>
      <c r="F69" s="333"/>
      <c r="G69" s="333"/>
      <c r="H69" s="333"/>
    </row>
    <row r="70" spans="1:8">
      <c r="A70" s="333" t="s">
        <v>496</v>
      </c>
      <c r="B70" s="333"/>
      <c r="C70" s="333"/>
      <c r="D70" s="333"/>
      <c r="E70" s="333"/>
      <c r="F70" s="333"/>
      <c r="G70" s="333"/>
      <c r="H70" s="333"/>
    </row>
    <row r="71" spans="1:8">
      <c r="A71" s="333" t="s">
        <v>497</v>
      </c>
      <c r="B71" s="333"/>
      <c r="C71" s="333"/>
      <c r="D71" s="333"/>
      <c r="E71" s="333"/>
      <c r="F71" s="333"/>
      <c r="G71" s="333"/>
      <c r="H71" s="333"/>
    </row>
    <row r="72" spans="1:8">
      <c r="A72" s="333" t="s">
        <v>498</v>
      </c>
      <c r="B72" s="333"/>
      <c r="C72" s="333"/>
      <c r="D72" s="333"/>
      <c r="E72" s="333"/>
      <c r="F72" s="333"/>
      <c r="G72" s="333"/>
      <c r="H72" s="333"/>
    </row>
    <row r="73" spans="1:8">
      <c r="A73" s="333" t="s">
        <v>499</v>
      </c>
      <c r="B73" s="333"/>
      <c r="C73" s="333"/>
      <c r="D73" s="333"/>
      <c r="E73" s="333"/>
      <c r="F73" s="333"/>
      <c r="G73" s="333"/>
      <c r="H73" s="333"/>
    </row>
    <row r="74" spans="1:8">
      <c r="A74" s="333"/>
      <c r="B74" s="333"/>
      <c r="C74" s="333"/>
      <c r="D74" s="333"/>
      <c r="E74" s="333"/>
      <c r="F74" s="333"/>
      <c r="G74" s="333"/>
      <c r="H74" s="333"/>
    </row>
    <row r="75" spans="1:8">
      <c r="A75" s="333" t="s">
        <v>500</v>
      </c>
      <c r="B75" s="333"/>
      <c r="C75" s="333"/>
      <c r="D75" s="333"/>
      <c r="E75" s="333"/>
      <c r="F75" s="333"/>
      <c r="G75" s="333"/>
      <c r="H75" s="333"/>
    </row>
    <row r="76" spans="1:8">
      <c r="A76" s="333" t="s">
        <v>501</v>
      </c>
      <c r="B76" s="333"/>
      <c r="C76" s="333"/>
      <c r="D76" s="333"/>
      <c r="E76" s="333"/>
      <c r="F76" s="333"/>
      <c r="G76" s="333"/>
      <c r="H76" s="333"/>
    </row>
    <row r="77" spans="1:8">
      <c r="A77" s="333" t="s">
        <v>502</v>
      </c>
      <c r="B77" s="333"/>
      <c r="C77" s="333"/>
      <c r="D77" s="333"/>
      <c r="E77" s="333"/>
      <c r="F77" s="333"/>
      <c r="G77" s="333"/>
      <c r="H77" s="333"/>
    </row>
    <row r="78" spans="1:8">
      <c r="A78" s="333"/>
      <c r="B78" s="333"/>
      <c r="C78" s="333"/>
      <c r="D78" s="333"/>
      <c r="E78" s="333"/>
      <c r="F78" s="333"/>
      <c r="G78" s="333"/>
      <c r="H78" s="333"/>
    </row>
    <row r="79" spans="1:8">
      <c r="A79" s="333" t="s">
        <v>447</v>
      </c>
    </row>
    <row r="80" spans="1:8">
      <c r="A80" s="334"/>
    </row>
    <row r="81" spans="1:1">
      <c r="A81" s="333"/>
    </row>
    <row r="82" spans="1:1">
      <c r="A82" s="333"/>
    </row>
    <row r="83" spans="1:1">
      <c r="A83" s="333"/>
    </row>
    <row r="84" spans="1:1">
      <c r="A84" s="333"/>
    </row>
    <row r="85" spans="1:1">
      <c r="A85" s="333"/>
    </row>
    <row r="86" spans="1:1">
      <c r="A86" s="333"/>
    </row>
    <row r="87" spans="1:1">
      <c r="A87" s="333"/>
    </row>
    <row r="88" spans="1:1">
      <c r="A88" s="333"/>
    </row>
    <row r="89" spans="1:1">
      <c r="A89" s="333"/>
    </row>
    <row r="90" spans="1:1">
      <c r="A90" s="333"/>
    </row>
    <row r="91" spans="1:1">
      <c r="A91" s="333"/>
    </row>
    <row r="92" spans="1:1">
      <c r="A92" s="333"/>
    </row>
    <row r="93" spans="1:1">
      <c r="A93" s="333"/>
    </row>
    <row r="94" spans="1:1">
      <c r="A94" s="333"/>
    </row>
    <row r="95" spans="1:1">
      <c r="A95" s="333"/>
    </row>
    <row r="96" spans="1:1">
      <c r="A96" s="333"/>
    </row>
    <row r="97" spans="1:1">
      <c r="A97" s="333"/>
    </row>
    <row r="98" spans="1:1">
      <c r="A98" s="333"/>
    </row>
    <row r="99" spans="1:1">
      <c r="A99" s="333"/>
    </row>
    <row r="100" spans="1:1">
      <c r="A100" s="333"/>
    </row>
    <row r="101" spans="1:1">
      <c r="A101" s="333"/>
    </row>
    <row r="103" spans="1:1">
      <c r="A103" s="333"/>
    </row>
    <row r="104" spans="1:1">
      <c r="A104" s="333"/>
    </row>
    <row r="105" spans="1:1">
      <c r="A105" s="333"/>
    </row>
    <row r="107" spans="1:1">
      <c r="A107" s="334"/>
    </row>
    <row r="108" spans="1:1">
      <c r="A108" s="334"/>
    </row>
    <row r="109" spans="1:1">
      <c r="A109" s="334"/>
    </row>
  </sheetData>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L75"/>
  <sheetViews>
    <sheetView workbookViewId="0"/>
  </sheetViews>
  <sheetFormatPr defaultRowHeight="15"/>
  <cols>
    <col min="1" max="1" width="71.33203125" customWidth="1"/>
  </cols>
  <sheetData>
    <row r="3" spans="1:12">
      <c r="A3" s="332" t="s">
        <v>503</v>
      </c>
      <c r="B3" s="332"/>
      <c r="C3" s="332"/>
      <c r="D3" s="332"/>
      <c r="E3" s="332"/>
      <c r="F3" s="332"/>
      <c r="G3" s="332"/>
      <c r="H3" s="332"/>
      <c r="I3" s="332"/>
      <c r="J3" s="332"/>
      <c r="K3" s="332"/>
      <c r="L3" s="332"/>
    </row>
    <row r="4" spans="1:12">
      <c r="A4" s="332"/>
      <c r="B4" s="332"/>
      <c r="C4" s="332"/>
      <c r="D4" s="332"/>
      <c r="E4" s="332"/>
      <c r="F4" s="332"/>
      <c r="G4" s="332"/>
      <c r="H4" s="332"/>
      <c r="I4" s="332"/>
      <c r="J4" s="332"/>
      <c r="K4" s="332"/>
      <c r="L4" s="332"/>
    </row>
    <row r="5" spans="1:12">
      <c r="A5" s="333" t="s">
        <v>392</v>
      </c>
      <c r="I5" s="332"/>
      <c r="J5" s="332"/>
      <c r="K5" s="332"/>
      <c r="L5" s="332"/>
    </row>
    <row r="6" spans="1:12">
      <c r="A6" s="333" t="str">
        <f>CONCATENATE("estimated ",inputPrYr!C5-1," 'total expenditures' exceed your ",inputPrYr!C5-1,"")</f>
        <v>estimated 2012 'total expenditures' exceed your 2012</v>
      </c>
      <c r="I6" s="332"/>
      <c r="J6" s="332"/>
      <c r="K6" s="332"/>
      <c r="L6" s="332"/>
    </row>
    <row r="7" spans="1:12">
      <c r="A7" s="336" t="s">
        <v>504</v>
      </c>
      <c r="I7" s="332"/>
      <c r="J7" s="332"/>
      <c r="K7" s="332"/>
      <c r="L7" s="332"/>
    </row>
    <row r="8" spans="1:12">
      <c r="A8" s="333"/>
      <c r="I8" s="332"/>
      <c r="J8" s="332"/>
      <c r="K8" s="332"/>
      <c r="L8" s="332"/>
    </row>
    <row r="9" spans="1:12">
      <c r="A9" s="333" t="s">
        <v>505</v>
      </c>
      <c r="I9" s="332"/>
      <c r="J9" s="332"/>
      <c r="K9" s="332"/>
      <c r="L9" s="332"/>
    </row>
    <row r="10" spans="1:12">
      <c r="A10" s="333" t="s">
        <v>506</v>
      </c>
      <c r="I10" s="332"/>
      <c r="J10" s="332"/>
      <c r="K10" s="332"/>
      <c r="L10" s="332"/>
    </row>
    <row r="11" spans="1:12">
      <c r="A11" s="333" t="s">
        <v>507</v>
      </c>
      <c r="I11" s="332"/>
      <c r="J11" s="332"/>
      <c r="K11" s="332"/>
      <c r="L11" s="332"/>
    </row>
    <row r="12" spans="1:12">
      <c r="A12" s="333" t="s">
        <v>508</v>
      </c>
      <c r="I12" s="332"/>
      <c r="J12" s="332"/>
      <c r="K12" s="332"/>
      <c r="L12" s="332"/>
    </row>
    <row r="13" spans="1:12">
      <c r="A13" s="333" t="s">
        <v>509</v>
      </c>
      <c r="I13" s="332"/>
      <c r="J13" s="332"/>
      <c r="K13" s="332"/>
      <c r="L13" s="332"/>
    </row>
    <row r="14" spans="1:12">
      <c r="A14" s="332"/>
      <c r="B14" s="332"/>
      <c r="C14" s="332"/>
      <c r="D14" s="332"/>
      <c r="E14" s="332"/>
      <c r="F14" s="332"/>
      <c r="G14" s="332"/>
      <c r="H14" s="332"/>
      <c r="I14" s="332"/>
      <c r="J14" s="332"/>
      <c r="K14" s="332"/>
      <c r="L14" s="332"/>
    </row>
    <row r="15" spans="1:12">
      <c r="A15" s="334" t="s">
        <v>510</v>
      </c>
    </row>
    <row r="16" spans="1:12">
      <c r="A16" s="334" t="s">
        <v>511</v>
      </c>
    </row>
    <row r="17" spans="1:7">
      <c r="A17" s="334"/>
    </row>
    <row r="18" spans="1:7">
      <c r="A18" s="333" t="s">
        <v>512</v>
      </c>
      <c r="B18" s="333"/>
      <c r="C18" s="333"/>
      <c r="D18" s="333"/>
      <c r="E18" s="333"/>
      <c r="F18" s="333"/>
      <c r="G18" s="333"/>
    </row>
    <row r="19" spans="1:7">
      <c r="A19" s="333" t="str">
        <f>CONCATENATE("your ",inputPrYr!C5-1," numbers to see what steps might be necessary to")</f>
        <v>your 2012 numbers to see what steps might be necessary to</v>
      </c>
      <c r="B19" s="333"/>
      <c r="C19" s="333"/>
      <c r="D19" s="333"/>
      <c r="E19" s="333"/>
      <c r="F19" s="333"/>
      <c r="G19" s="333"/>
    </row>
    <row r="20" spans="1:7">
      <c r="A20" s="333" t="s">
        <v>513</v>
      </c>
      <c r="B20" s="333"/>
      <c r="C20" s="333"/>
      <c r="D20" s="333"/>
      <c r="E20" s="333"/>
      <c r="F20" s="333"/>
      <c r="G20" s="333"/>
    </row>
    <row r="21" spans="1:7">
      <c r="A21" s="333" t="s">
        <v>514</v>
      </c>
      <c r="B21" s="333"/>
      <c r="C21" s="333"/>
      <c r="D21" s="333"/>
      <c r="E21" s="333"/>
      <c r="F21" s="333"/>
      <c r="G21" s="333"/>
    </row>
    <row r="22" spans="1:7">
      <c r="A22" s="333"/>
    </row>
    <row r="23" spans="1:7">
      <c r="A23" s="334" t="s">
        <v>515</v>
      </c>
    </row>
    <row r="24" spans="1:7">
      <c r="A24" s="334"/>
    </row>
    <row r="25" spans="1:7">
      <c r="A25" s="333" t="s">
        <v>516</v>
      </c>
    </row>
    <row r="26" spans="1:7">
      <c r="A26" s="333" t="s">
        <v>517</v>
      </c>
      <c r="B26" s="333"/>
      <c r="C26" s="333"/>
      <c r="D26" s="333"/>
      <c r="E26" s="333"/>
      <c r="F26" s="333"/>
    </row>
    <row r="27" spans="1:7">
      <c r="A27" s="333" t="s">
        <v>518</v>
      </c>
      <c r="B27" s="333"/>
      <c r="C27" s="333"/>
      <c r="D27" s="333"/>
      <c r="E27" s="333"/>
      <c r="F27" s="333"/>
    </row>
    <row r="28" spans="1:7">
      <c r="A28" s="333" t="s">
        <v>519</v>
      </c>
      <c r="B28" s="333"/>
      <c r="C28" s="333"/>
      <c r="D28" s="333"/>
      <c r="E28" s="333"/>
      <c r="F28" s="333"/>
    </row>
    <row r="29" spans="1:7">
      <c r="A29" s="333"/>
      <c r="B29" s="333"/>
      <c r="C29" s="333"/>
      <c r="D29" s="333"/>
      <c r="E29" s="333"/>
      <c r="F29" s="333"/>
    </row>
    <row r="30" spans="1:7">
      <c r="A30" s="334" t="s">
        <v>520</v>
      </c>
      <c r="B30" s="334"/>
      <c r="C30" s="334"/>
      <c r="D30" s="334"/>
      <c r="E30" s="334"/>
      <c r="F30" s="334"/>
      <c r="G30" s="334"/>
    </row>
    <row r="31" spans="1:7">
      <c r="A31" s="334" t="s">
        <v>521</v>
      </c>
      <c r="B31" s="334"/>
      <c r="C31" s="334"/>
      <c r="D31" s="334"/>
      <c r="E31" s="334"/>
      <c r="F31" s="334"/>
      <c r="G31" s="334"/>
    </row>
    <row r="32" spans="1:7">
      <c r="A32" s="333"/>
      <c r="B32" s="333"/>
      <c r="C32" s="333"/>
      <c r="D32" s="333"/>
      <c r="E32" s="333"/>
      <c r="F32" s="333"/>
    </row>
    <row r="33" spans="1:6">
      <c r="A33" s="337" t="str">
        <f>CONCATENATE("Well, let's look to see if any of your ",inputPrYr!C5-1," expenditures can")</f>
        <v>Well, let's look to see if any of your 2012 expenditures can</v>
      </c>
      <c r="B33" s="333"/>
      <c r="C33" s="333"/>
      <c r="D33" s="333"/>
      <c r="E33" s="333"/>
      <c r="F33" s="333"/>
    </row>
    <row r="34" spans="1:6">
      <c r="A34" s="337" t="s">
        <v>522</v>
      </c>
      <c r="B34" s="333"/>
      <c r="C34" s="333"/>
      <c r="D34" s="333"/>
      <c r="E34" s="333"/>
      <c r="F34" s="333"/>
    </row>
    <row r="35" spans="1:6">
      <c r="A35" s="337" t="s">
        <v>406</v>
      </c>
      <c r="B35" s="333"/>
      <c r="C35" s="333"/>
      <c r="D35" s="333"/>
      <c r="E35" s="333"/>
      <c r="F35" s="333"/>
    </row>
    <row r="36" spans="1:6">
      <c r="A36" s="337" t="s">
        <v>407</v>
      </c>
      <c r="B36" s="333"/>
      <c r="C36" s="333"/>
      <c r="D36" s="333"/>
      <c r="E36" s="333"/>
      <c r="F36" s="333"/>
    </row>
    <row r="37" spans="1:6">
      <c r="A37" s="337"/>
      <c r="B37" s="333"/>
      <c r="C37" s="333"/>
      <c r="D37" s="333"/>
      <c r="E37" s="333"/>
      <c r="F37" s="333"/>
    </row>
    <row r="38" spans="1:6">
      <c r="A38" s="337" t="str">
        <f>CONCATENATE("Additionally, do your ",inputPrYr!C5-1," receipts contain a reimbursement")</f>
        <v>Additionally, do your 2012 receipts contain a reimbursement</v>
      </c>
      <c r="B38" s="333"/>
      <c r="C38" s="333"/>
      <c r="D38" s="333"/>
      <c r="E38" s="333"/>
      <c r="F38" s="333"/>
    </row>
    <row r="39" spans="1:6">
      <c r="A39" s="337" t="s">
        <v>408</v>
      </c>
      <c r="B39" s="333"/>
      <c r="C39" s="333"/>
      <c r="D39" s="333"/>
      <c r="E39" s="333"/>
      <c r="F39" s="333"/>
    </row>
    <row r="40" spans="1:6">
      <c r="A40" s="337" t="s">
        <v>409</v>
      </c>
      <c r="B40" s="333"/>
      <c r="C40" s="333"/>
      <c r="D40" s="333"/>
      <c r="E40" s="333"/>
      <c r="F40" s="333"/>
    </row>
    <row r="41" spans="1:6">
      <c r="A41" s="337"/>
      <c r="B41" s="333"/>
      <c r="C41" s="333"/>
      <c r="D41" s="333"/>
      <c r="E41" s="333"/>
      <c r="F41" s="333"/>
    </row>
    <row r="42" spans="1:6">
      <c r="A42" s="337" t="s">
        <v>410</v>
      </c>
      <c r="B42" s="333"/>
      <c r="C42" s="333"/>
      <c r="D42" s="333"/>
      <c r="E42" s="333"/>
      <c r="F42" s="333"/>
    </row>
    <row r="43" spans="1:6">
      <c r="A43" s="337" t="s">
        <v>411</v>
      </c>
      <c r="B43" s="333"/>
      <c r="C43" s="333"/>
      <c r="D43" s="333"/>
      <c r="E43" s="333"/>
      <c r="F43" s="333"/>
    </row>
    <row r="44" spans="1:6">
      <c r="A44" s="337" t="s">
        <v>412</v>
      </c>
      <c r="B44" s="333"/>
      <c r="C44" s="333"/>
      <c r="D44" s="333"/>
      <c r="E44" s="333"/>
      <c r="F44" s="333"/>
    </row>
    <row r="45" spans="1:6">
      <c r="A45" s="337" t="s">
        <v>523</v>
      </c>
      <c r="B45" s="333"/>
      <c r="C45" s="333"/>
      <c r="D45" s="333"/>
      <c r="E45" s="333"/>
      <c r="F45" s="333"/>
    </row>
    <row r="46" spans="1:6">
      <c r="A46" s="337" t="s">
        <v>414</v>
      </c>
      <c r="B46" s="333"/>
      <c r="C46" s="333"/>
      <c r="D46" s="333"/>
      <c r="E46" s="333"/>
      <c r="F46" s="333"/>
    </row>
    <row r="47" spans="1:6">
      <c r="A47" s="337" t="s">
        <v>524</v>
      </c>
      <c r="B47" s="333"/>
      <c r="C47" s="333"/>
      <c r="D47" s="333"/>
      <c r="E47" s="333"/>
      <c r="F47" s="333"/>
    </row>
    <row r="48" spans="1:6">
      <c r="A48" s="337" t="s">
        <v>525</v>
      </c>
      <c r="B48" s="333"/>
      <c r="C48" s="333"/>
      <c r="D48" s="333"/>
      <c r="E48" s="333"/>
      <c r="F48" s="333"/>
    </row>
    <row r="49" spans="1:6">
      <c r="A49" s="337" t="s">
        <v>417</v>
      </c>
      <c r="B49" s="333"/>
      <c r="C49" s="333"/>
      <c r="D49" s="333"/>
      <c r="E49" s="333"/>
      <c r="F49" s="333"/>
    </row>
    <row r="50" spans="1:6">
      <c r="A50" s="337"/>
      <c r="B50" s="333"/>
      <c r="C50" s="333"/>
      <c r="D50" s="333"/>
      <c r="E50" s="333"/>
      <c r="F50" s="333"/>
    </row>
    <row r="51" spans="1:6">
      <c r="A51" s="337" t="s">
        <v>418</v>
      </c>
      <c r="B51" s="333"/>
      <c r="C51" s="333"/>
      <c r="D51" s="333"/>
      <c r="E51" s="333"/>
      <c r="F51" s="333"/>
    </row>
    <row r="52" spans="1:6">
      <c r="A52" s="337" t="s">
        <v>419</v>
      </c>
      <c r="B52" s="333"/>
      <c r="C52" s="333"/>
      <c r="D52" s="333"/>
      <c r="E52" s="333"/>
      <c r="F52" s="333"/>
    </row>
    <row r="53" spans="1:6">
      <c r="A53" s="337" t="s">
        <v>420</v>
      </c>
      <c r="B53" s="333"/>
      <c r="C53" s="333"/>
      <c r="D53" s="333"/>
      <c r="E53" s="333"/>
      <c r="F53" s="333"/>
    </row>
    <row r="54" spans="1:6">
      <c r="A54" s="337"/>
      <c r="B54" s="333"/>
      <c r="C54" s="333"/>
      <c r="D54" s="333"/>
      <c r="E54" s="333"/>
      <c r="F54" s="333"/>
    </row>
    <row r="55" spans="1:6">
      <c r="A55" s="337" t="s">
        <v>526</v>
      </c>
      <c r="B55" s="333"/>
      <c r="C55" s="333"/>
      <c r="D55" s="333"/>
      <c r="E55" s="333"/>
      <c r="F55" s="333"/>
    </row>
    <row r="56" spans="1:6">
      <c r="A56" s="337" t="s">
        <v>527</v>
      </c>
      <c r="B56" s="333"/>
      <c r="C56" s="333"/>
      <c r="D56" s="333"/>
      <c r="E56" s="333"/>
      <c r="F56" s="333"/>
    </row>
    <row r="57" spans="1:6">
      <c r="A57" s="337" t="s">
        <v>528</v>
      </c>
      <c r="B57" s="333"/>
      <c r="C57" s="333"/>
      <c r="D57" s="333"/>
      <c r="E57" s="333"/>
      <c r="F57" s="333"/>
    </row>
    <row r="58" spans="1:6">
      <c r="A58" s="337" t="s">
        <v>529</v>
      </c>
      <c r="B58" s="333"/>
      <c r="C58" s="333"/>
      <c r="D58" s="333"/>
      <c r="E58" s="333"/>
      <c r="F58" s="333"/>
    </row>
    <row r="59" spans="1:6">
      <c r="A59" s="337" t="s">
        <v>530</v>
      </c>
      <c r="B59" s="333"/>
      <c r="C59" s="333"/>
      <c r="D59" s="333"/>
      <c r="E59" s="333"/>
      <c r="F59" s="333"/>
    </row>
    <row r="60" spans="1:6">
      <c r="A60" s="337"/>
      <c r="B60" s="333"/>
      <c r="C60" s="333"/>
      <c r="D60" s="333"/>
      <c r="E60" s="333"/>
      <c r="F60" s="333"/>
    </row>
    <row r="61" spans="1:6">
      <c r="A61" s="338" t="s">
        <v>531</v>
      </c>
      <c r="B61" s="333"/>
      <c r="C61" s="333"/>
      <c r="D61" s="333"/>
      <c r="E61" s="333"/>
      <c r="F61" s="333"/>
    </row>
    <row r="62" spans="1:6">
      <c r="A62" s="338" t="s">
        <v>532</v>
      </c>
      <c r="B62" s="333"/>
      <c r="C62" s="333"/>
      <c r="D62" s="333"/>
      <c r="E62" s="333"/>
      <c r="F62" s="333"/>
    </row>
    <row r="63" spans="1:6">
      <c r="A63" s="338" t="s">
        <v>533</v>
      </c>
      <c r="B63" s="333"/>
      <c r="C63" s="333"/>
      <c r="D63" s="333"/>
      <c r="E63" s="333"/>
      <c r="F63" s="333"/>
    </row>
    <row r="64" spans="1:6">
      <c r="A64" s="338" t="s">
        <v>534</v>
      </c>
    </row>
    <row r="65" spans="1:1">
      <c r="A65" s="338" t="s">
        <v>535</v>
      </c>
    </row>
    <row r="66" spans="1:1">
      <c r="A66" s="338" t="s">
        <v>536</v>
      </c>
    </row>
    <row r="68" spans="1:1">
      <c r="A68" s="333" t="s">
        <v>537</v>
      </c>
    </row>
    <row r="69" spans="1:1">
      <c r="A69" s="333" t="s">
        <v>538</v>
      </c>
    </row>
    <row r="70" spans="1:1">
      <c r="A70" s="333" t="s">
        <v>539</v>
      </c>
    </row>
    <row r="71" spans="1:1">
      <c r="A71" s="333" t="s">
        <v>540</v>
      </c>
    </row>
    <row r="72" spans="1:1">
      <c r="A72" s="333" t="s">
        <v>541</v>
      </c>
    </row>
    <row r="73" spans="1:1">
      <c r="A73" s="333" t="s">
        <v>542</v>
      </c>
    </row>
    <row r="75" spans="1:1">
      <c r="A75" s="333" t="s">
        <v>447</v>
      </c>
    </row>
  </sheetData>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B8" sqref="B8"/>
    </sheetView>
  </sheetViews>
  <sheetFormatPr defaultRowHeight="15"/>
  <cols>
    <col min="1" max="1" width="13.77734375" style="611" customWidth="1"/>
    <col min="2" max="2" width="16.109375" style="611" customWidth="1"/>
    <col min="3" max="16384" width="8.88671875" style="611"/>
  </cols>
  <sheetData>
    <row r="1" spans="1:10">
      <c r="J1" s="610" t="s">
        <v>870</v>
      </c>
    </row>
    <row r="2" spans="1:10" ht="54" customHeight="1">
      <c r="A2" s="719" t="s">
        <v>382</v>
      </c>
      <c r="B2" s="720"/>
      <c r="C2" s="720"/>
      <c r="D2" s="720"/>
      <c r="E2" s="720"/>
      <c r="F2" s="720"/>
      <c r="J2" s="610" t="s">
        <v>871</v>
      </c>
    </row>
    <row r="3" spans="1:10" ht="15.75">
      <c r="A3" s="609" t="s">
        <v>872</v>
      </c>
      <c r="B3" s="644" t="s">
        <v>987</v>
      </c>
      <c r="C3" s="644"/>
      <c r="J3" s="610" t="s">
        <v>873</v>
      </c>
    </row>
    <row r="4" spans="1:10" ht="15.75">
      <c r="A4" s="609"/>
      <c r="B4" s="651"/>
      <c r="J4" s="610" t="s">
        <v>874</v>
      </c>
    </row>
    <row r="5" spans="1:10" ht="15.75">
      <c r="A5" s="609" t="s">
        <v>634</v>
      </c>
      <c r="B5" s="644" t="s">
        <v>988</v>
      </c>
      <c r="J5" s="610" t="s">
        <v>875</v>
      </c>
    </row>
    <row r="6" spans="1:10" ht="15.75">
      <c r="A6" s="616"/>
      <c r="B6" s="616"/>
      <c r="C6" s="616"/>
      <c r="D6" s="643" t="s">
        <v>876</v>
      </c>
      <c r="E6" s="616"/>
      <c r="F6" s="616"/>
      <c r="J6" s="610" t="s">
        <v>877</v>
      </c>
    </row>
    <row r="7" spans="1:10" ht="15.75">
      <c r="A7" s="643" t="s">
        <v>383</v>
      </c>
      <c r="B7" s="644" t="s">
        <v>1133</v>
      </c>
      <c r="C7" s="617"/>
      <c r="D7" s="608" t="str">
        <f ca="1">IF(B7="","",CONCATENATE("Latest date for notice to be published in your newspaper: ",G18," ",G22,", ",G23))</f>
        <v>Latest date for notice to be published in your newspaper: August 3, 2012</v>
      </c>
      <c r="E7" s="616"/>
      <c r="F7" s="616"/>
      <c r="J7" s="610" t="s">
        <v>878</v>
      </c>
    </row>
    <row r="8" spans="1:10" ht="15.75">
      <c r="A8" s="643"/>
      <c r="B8" s="618"/>
      <c r="C8" s="619"/>
      <c r="D8" s="643"/>
      <c r="E8" s="616"/>
      <c r="F8" s="616"/>
      <c r="J8" s="610" t="s">
        <v>879</v>
      </c>
    </row>
    <row r="9" spans="1:10" ht="15.75">
      <c r="A9" s="643" t="s">
        <v>384</v>
      </c>
      <c r="B9" s="644" t="s">
        <v>989</v>
      </c>
      <c r="C9" s="620"/>
      <c r="D9" s="643"/>
      <c r="E9" s="616"/>
      <c r="F9" s="616"/>
      <c r="J9" s="610" t="s">
        <v>880</v>
      </c>
    </row>
    <row r="10" spans="1:10" ht="15.75">
      <c r="A10" s="643"/>
      <c r="B10" s="643"/>
      <c r="C10" s="643"/>
      <c r="D10" s="643"/>
      <c r="E10" s="616"/>
      <c r="F10" s="616"/>
      <c r="J10" s="610" t="s">
        <v>881</v>
      </c>
    </row>
    <row r="11" spans="1:10" ht="15.75">
      <c r="A11" s="643" t="s">
        <v>385</v>
      </c>
      <c r="B11" s="645" t="s">
        <v>390</v>
      </c>
      <c r="C11" s="645"/>
      <c r="D11" s="645"/>
      <c r="E11" s="621"/>
      <c r="F11" s="616"/>
      <c r="J11" s="610" t="s">
        <v>882</v>
      </c>
    </row>
    <row r="12" spans="1:10" ht="15.75">
      <c r="A12" s="643"/>
      <c r="B12" s="643"/>
      <c r="C12" s="643"/>
      <c r="D12" s="643"/>
      <c r="E12" s="616"/>
      <c r="F12" s="616"/>
      <c r="J12" s="610" t="s">
        <v>883</v>
      </c>
    </row>
    <row r="13" spans="1:10" ht="15.75">
      <c r="A13" s="643"/>
      <c r="B13" s="643"/>
      <c r="C13" s="643"/>
      <c r="D13" s="643"/>
      <c r="E13" s="616"/>
      <c r="F13" s="616"/>
    </row>
    <row r="14" spans="1:10" ht="15.75">
      <c r="A14" s="643" t="s">
        <v>386</v>
      </c>
      <c r="B14" s="645" t="s">
        <v>390</v>
      </c>
      <c r="C14" s="645"/>
      <c r="D14" s="645"/>
      <c r="E14" s="621"/>
      <c r="F14" s="616"/>
    </row>
    <row r="17" spans="1:7" ht="15.75">
      <c r="A17" s="721" t="s">
        <v>387</v>
      </c>
      <c r="B17" s="721"/>
      <c r="C17" s="643"/>
      <c r="D17" s="643"/>
      <c r="E17" s="643"/>
      <c r="F17" s="616"/>
    </row>
    <row r="18" spans="1:7" ht="15.75">
      <c r="A18" s="643"/>
      <c r="B18" s="643"/>
      <c r="C18" s="643"/>
      <c r="D18" s="643"/>
      <c r="E18" s="643"/>
      <c r="F18" s="616"/>
      <c r="G18" s="610" t="str">
        <f ca="1">IF(B7="","",INDIRECT(G19))</f>
        <v>August</v>
      </c>
    </row>
    <row r="19" spans="1:7" ht="15.75">
      <c r="A19" s="643" t="s">
        <v>634</v>
      </c>
      <c r="B19" s="643" t="s">
        <v>638</v>
      </c>
      <c r="C19" s="643"/>
      <c r="D19" s="643"/>
      <c r="E19" s="643"/>
      <c r="F19" s="616"/>
      <c r="G19" s="646" t="str">
        <f>IF(B7="","",CONCATENATE("J",G21))</f>
        <v>J8</v>
      </c>
    </row>
    <row r="20" spans="1:7" ht="15.75">
      <c r="A20" s="643"/>
      <c r="B20" s="643"/>
      <c r="C20" s="643"/>
      <c r="D20" s="643"/>
      <c r="E20" s="643"/>
      <c r="F20" s="616"/>
      <c r="G20" s="647">
        <f>B7-10</f>
        <v>41124</v>
      </c>
    </row>
    <row r="21" spans="1:7" ht="15.75">
      <c r="A21" s="643" t="s">
        <v>383</v>
      </c>
      <c r="B21" s="618" t="s">
        <v>388</v>
      </c>
      <c r="C21" s="643"/>
      <c r="D21" s="643"/>
      <c r="E21" s="643"/>
      <c r="G21" s="648">
        <f>IF(B7="","",MONTH(G20))</f>
        <v>8</v>
      </c>
    </row>
    <row r="22" spans="1:7" ht="15.75">
      <c r="A22" s="643"/>
      <c r="B22" s="643"/>
      <c r="C22" s="643"/>
      <c r="D22" s="643"/>
      <c r="E22" s="643"/>
      <c r="G22" s="649">
        <f>IF(B7="","",DAY(G20))</f>
        <v>3</v>
      </c>
    </row>
    <row r="23" spans="1:7" ht="15.75">
      <c r="A23" s="643" t="s">
        <v>384</v>
      </c>
      <c r="B23" s="643" t="s">
        <v>389</v>
      </c>
      <c r="C23" s="643"/>
      <c r="D23" s="643"/>
      <c r="E23" s="643"/>
      <c r="G23" s="650">
        <f>IF(B7="","",YEAR(G20))</f>
        <v>2012</v>
      </c>
    </row>
    <row r="24" spans="1:7" ht="15.75">
      <c r="A24" s="643"/>
      <c r="B24" s="643"/>
      <c r="C24" s="643"/>
      <c r="D24" s="643"/>
      <c r="E24" s="643"/>
    </row>
    <row r="25" spans="1:7" ht="15.75">
      <c r="A25" s="643" t="s">
        <v>385</v>
      </c>
      <c r="B25" s="643" t="s">
        <v>390</v>
      </c>
      <c r="C25" s="643"/>
      <c r="D25" s="643"/>
      <c r="E25" s="643"/>
    </row>
    <row r="26" spans="1:7" ht="15.75">
      <c r="A26" s="643"/>
      <c r="B26" s="643"/>
      <c r="C26" s="643"/>
      <c r="D26" s="643"/>
      <c r="E26" s="643"/>
    </row>
    <row r="27" spans="1:7" ht="15.75">
      <c r="A27" s="643" t="s">
        <v>386</v>
      </c>
      <c r="B27" s="643" t="s">
        <v>390</v>
      </c>
      <c r="C27" s="643"/>
      <c r="D27" s="643"/>
      <c r="E27" s="643"/>
    </row>
  </sheetData>
  <mergeCells count="2">
    <mergeCell ref="A2:F2"/>
    <mergeCell ref="A17:B17"/>
  </mergeCells>
  <pageMargins left="0.7" right="0.7" top="0.75" bottom="0.75" header="0.3" footer="0.3"/>
  <pageSetup scale="69"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32" t="s">
        <v>543</v>
      </c>
      <c r="B3" s="332"/>
      <c r="C3" s="332"/>
      <c r="D3" s="332"/>
      <c r="E3" s="332"/>
      <c r="F3" s="332"/>
      <c r="G3" s="332"/>
    </row>
    <row r="4" spans="1:7">
      <c r="A4" s="332"/>
      <c r="B4" s="332"/>
      <c r="C4" s="332"/>
      <c r="D4" s="332"/>
      <c r="E4" s="332"/>
      <c r="F4" s="332"/>
      <c r="G4" s="332"/>
    </row>
    <row r="5" spans="1:7">
      <c r="A5" s="333" t="s">
        <v>449</v>
      </c>
    </row>
    <row r="6" spans="1:7">
      <c r="A6" s="333" t="str">
        <f>CONCATENATE(inputPrYr!C5," estimated expenditures show that at the end of this year")</f>
        <v>2013 estimated expenditures show that at the end of this year</v>
      </c>
    </row>
    <row r="7" spans="1:7">
      <c r="A7" s="333" t="s">
        <v>544</v>
      </c>
    </row>
    <row r="8" spans="1:7">
      <c r="A8" s="333" t="s">
        <v>545</v>
      </c>
    </row>
    <row r="10" spans="1:7">
      <c r="A10" t="s">
        <v>451</v>
      </c>
    </row>
    <row r="11" spans="1:7">
      <c r="A11" t="s">
        <v>452</v>
      </c>
    </row>
    <row r="12" spans="1:7">
      <c r="A12" t="s">
        <v>453</v>
      </c>
    </row>
    <row r="13" spans="1:7">
      <c r="A13" s="332"/>
      <c r="B13" s="332"/>
      <c r="C13" s="332"/>
      <c r="D13" s="332"/>
      <c r="E13" s="332"/>
      <c r="F13" s="332"/>
      <c r="G13" s="332"/>
    </row>
    <row r="14" spans="1:7">
      <c r="A14" s="334" t="s">
        <v>546</v>
      </c>
    </row>
    <row r="15" spans="1:7">
      <c r="A15" s="333"/>
    </row>
    <row r="16" spans="1:7">
      <c r="A16" s="333" t="s">
        <v>547</v>
      </c>
    </row>
    <row r="17" spans="1:7">
      <c r="A17" s="333" t="s">
        <v>548</v>
      </c>
    </row>
    <row r="18" spans="1:7">
      <c r="A18" s="333" t="s">
        <v>549</v>
      </c>
    </row>
    <row r="19" spans="1:7">
      <c r="A19" s="333"/>
    </row>
    <row r="20" spans="1:7">
      <c r="A20" s="333" t="s">
        <v>550</v>
      </c>
    </row>
    <row r="21" spans="1:7">
      <c r="A21" s="333" t="s">
        <v>551</v>
      </c>
    </row>
    <row r="22" spans="1:7">
      <c r="A22" s="333" t="s">
        <v>552</v>
      </c>
    </row>
    <row r="23" spans="1:7">
      <c r="A23" s="333" t="s">
        <v>553</v>
      </c>
    </row>
    <row r="24" spans="1:7">
      <c r="A24" s="333"/>
    </row>
    <row r="25" spans="1:7">
      <c r="A25" s="334" t="s">
        <v>515</v>
      </c>
    </row>
    <row r="26" spans="1:7">
      <c r="A26" s="334"/>
    </row>
    <row r="27" spans="1:7">
      <c r="A27" s="333" t="s">
        <v>516</v>
      </c>
    </row>
    <row r="28" spans="1:7">
      <c r="A28" s="333" t="s">
        <v>517</v>
      </c>
      <c r="B28" s="333"/>
      <c r="C28" s="333"/>
      <c r="D28" s="333"/>
      <c r="E28" s="333"/>
      <c r="F28" s="333"/>
    </row>
    <row r="29" spans="1:7">
      <c r="A29" s="333" t="s">
        <v>518</v>
      </c>
      <c r="B29" s="333"/>
      <c r="C29" s="333"/>
      <c r="D29" s="333"/>
      <c r="E29" s="333"/>
      <c r="F29" s="333"/>
    </row>
    <row r="30" spans="1:7">
      <c r="A30" s="333" t="s">
        <v>519</v>
      </c>
      <c r="B30" s="333"/>
      <c r="C30" s="333"/>
      <c r="D30" s="333"/>
      <c r="E30" s="333"/>
      <c r="F30" s="333"/>
    </row>
    <row r="31" spans="1:7">
      <c r="A31" s="333"/>
    </row>
    <row r="32" spans="1:7">
      <c r="A32" s="334" t="s">
        <v>520</v>
      </c>
      <c r="B32" s="334"/>
      <c r="C32" s="334"/>
      <c r="D32" s="334"/>
      <c r="E32" s="334"/>
      <c r="F32" s="334"/>
      <c r="G32" s="334"/>
    </row>
    <row r="33" spans="1:7">
      <c r="A33" s="334" t="s">
        <v>521</v>
      </c>
      <c r="B33" s="334"/>
      <c r="C33" s="334"/>
      <c r="D33" s="334"/>
      <c r="E33" s="334"/>
      <c r="F33" s="334"/>
      <c r="G33" s="334"/>
    </row>
    <row r="34" spans="1:7">
      <c r="A34" s="334"/>
      <c r="B34" s="334"/>
      <c r="C34" s="334"/>
      <c r="D34" s="334"/>
      <c r="E34" s="334"/>
      <c r="F34" s="334"/>
      <c r="G34" s="334"/>
    </row>
    <row r="35" spans="1:7">
      <c r="A35" s="333" t="s">
        <v>554</v>
      </c>
      <c r="B35" s="333"/>
      <c r="C35" s="333"/>
      <c r="D35" s="333"/>
      <c r="E35" s="333"/>
      <c r="F35" s="333"/>
      <c r="G35" s="333"/>
    </row>
    <row r="36" spans="1:7">
      <c r="A36" s="333" t="s">
        <v>555</v>
      </c>
      <c r="B36" s="333"/>
      <c r="C36" s="333"/>
      <c r="D36" s="333"/>
      <c r="E36" s="333"/>
      <c r="F36" s="333"/>
      <c r="G36" s="333"/>
    </row>
    <row r="37" spans="1:7">
      <c r="A37" s="333" t="s">
        <v>556</v>
      </c>
      <c r="B37" s="333"/>
      <c r="C37" s="333"/>
      <c r="D37" s="333"/>
      <c r="E37" s="333"/>
      <c r="F37" s="333"/>
      <c r="G37" s="333"/>
    </row>
    <row r="38" spans="1:7">
      <c r="A38" s="333" t="s">
        <v>557</v>
      </c>
      <c r="B38" s="333"/>
      <c r="C38" s="333"/>
      <c r="D38" s="333"/>
      <c r="E38" s="333"/>
      <c r="F38" s="333"/>
      <c r="G38" s="333"/>
    </row>
    <row r="39" spans="1:7">
      <c r="A39" s="333" t="s">
        <v>558</v>
      </c>
      <c r="B39" s="333"/>
      <c r="C39" s="333"/>
      <c r="D39" s="333"/>
      <c r="E39" s="333"/>
      <c r="F39" s="333"/>
      <c r="G39" s="333"/>
    </row>
    <row r="40" spans="1:7">
      <c r="A40" s="334"/>
      <c r="B40" s="334"/>
      <c r="C40" s="334"/>
      <c r="D40" s="334"/>
      <c r="E40" s="334"/>
      <c r="F40" s="334"/>
      <c r="G40" s="334"/>
    </row>
    <row r="41" spans="1:7">
      <c r="A41" s="337" t="str">
        <f>CONCATENATE("So, let's look to see if any of your ",inputPrYr!C5-1," expenditures can")</f>
        <v>So, let's look to see if any of your 2012 expenditures can</v>
      </c>
      <c r="B41" s="333"/>
      <c r="C41" s="333"/>
      <c r="D41" s="333"/>
      <c r="E41" s="333"/>
      <c r="F41" s="333"/>
    </row>
    <row r="42" spans="1:7">
      <c r="A42" s="337" t="s">
        <v>522</v>
      </c>
      <c r="B42" s="333"/>
      <c r="C42" s="333"/>
      <c r="D42" s="333"/>
      <c r="E42" s="333"/>
      <c r="F42" s="333"/>
    </row>
    <row r="43" spans="1:7">
      <c r="A43" s="337" t="s">
        <v>406</v>
      </c>
      <c r="B43" s="333"/>
      <c r="C43" s="333"/>
      <c r="D43" s="333"/>
      <c r="E43" s="333"/>
      <c r="F43" s="333"/>
    </row>
    <row r="44" spans="1:7">
      <c r="A44" s="337" t="s">
        <v>407</v>
      </c>
      <c r="B44" s="333"/>
      <c r="C44" s="333"/>
      <c r="D44" s="333"/>
      <c r="E44" s="333"/>
      <c r="F44" s="333"/>
    </row>
    <row r="45" spans="1:7">
      <c r="A45" s="333"/>
    </row>
    <row r="46" spans="1:7">
      <c r="A46" s="337" t="str">
        <f>CONCATENATE("Additionally, do your ",inputPrYr!C5-1," receipts contain a reimbursement")</f>
        <v>Additionally, do your 2012 receipts contain a reimbursement</v>
      </c>
      <c r="B46" s="333"/>
      <c r="C46" s="333"/>
      <c r="D46" s="333"/>
      <c r="E46" s="333"/>
      <c r="F46" s="333"/>
    </row>
    <row r="47" spans="1:7">
      <c r="A47" s="337" t="s">
        <v>408</v>
      </c>
      <c r="B47" s="333"/>
      <c r="C47" s="333"/>
      <c r="D47" s="333"/>
      <c r="E47" s="333"/>
      <c r="F47" s="333"/>
    </row>
    <row r="48" spans="1:7">
      <c r="A48" s="337" t="s">
        <v>409</v>
      </c>
      <c r="B48" s="333"/>
      <c r="C48" s="333"/>
      <c r="D48" s="333"/>
      <c r="E48" s="333"/>
      <c r="F48" s="333"/>
    </row>
    <row r="49" spans="1:7">
      <c r="A49" s="333"/>
      <c r="B49" s="333"/>
      <c r="C49" s="333"/>
      <c r="D49" s="333"/>
      <c r="E49" s="333"/>
      <c r="F49" s="333"/>
      <c r="G49" s="333"/>
    </row>
    <row r="50" spans="1:7">
      <c r="A50" s="333" t="s">
        <v>476</v>
      </c>
      <c r="B50" s="333"/>
      <c r="C50" s="333"/>
      <c r="D50" s="333"/>
      <c r="E50" s="333"/>
      <c r="F50" s="333"/>
      <c r="G50" s="333"/>
    </row>
    <row r="51" spans="1:7">
      <c r="A51" s="333" t="s">
        <v>477</v>
      </c>
      <c r="B51" s="333"/>
      <c r="C51" s="333"/>
      <c r="D51" s="333"/>
      <c r="E51" s="333"/>
      <c r="F51" s="333"/>
      <c r="G51" s="333"/>
    </row>
    <row r="52" spans="1:7">
      <c r="A52" s="333" t="s">
        <v>478</v>
      </c>
      <c r="B52" s="333"/>
      <c r="C52" s="333"/>
      <c r="D52" s="333"/>
      <c r="E52" s="333"/>
      <c r="F52" s="333"/>
      <c r="G52" s="333"/>
    </row>
    <row r="53" spans="1:7">
      <c r="A53" s="333" t="s">
        <v>479</v>
      </c>
      <c r="B53" s="333"/>
      <c r="C53" s="333"/>
      <c r="D53" s="333"/>
      <c r="E53" s="333"/>
      <c r="F53" s="333"/>
      <c r="G53" s="333"/>
    </row>
    <row r="54" spans="1:7">
      <c r="A54" s="333" t="s">
        <v>480</v>
      </c>
      <c r="B54" s="333"/>
      <c r="C54" s="333"/>
      <c r="D54" s="333"/>
      <c r="E54" s="333"/>
      <c r="F54" s="333"/>
      <c r="G54" s="333"/>
    </row>
    <row r="55" spans="1:7">
      <c r="A55" s="333"/>
      <c r="B55" s="333"/>
      <c r="C55" s="333"/>
      <c r="D55" s="333"/>
      <c r="E55" s="333"/>
      <c r="F55" s="333"/>
      <c r="G55" s="333"/>
    </row>
    <row r="56" spans="1:7">
      <c r="A56" s="337" t="s">
        <v>418</v>
      </c>
      <c r="B56" s="333"/>
      <c r="C56" s="333"/>
      <c r="D56" s="333"/>
      <c r="E56" s="333"/>
      <c r="F56" s="333"/>
    </row>
    <row r="57" spans="1:7">
      <c r="A57" s="337" t="s">
        <v>419</v>
      </c>
      <c r="B57" s="333"/>
      <c r="C57" s="333"/>
      <c r="D57" s="333"/>
      <c r="E57" s="333"/>
      <c r="F57" s="333"/>
    </row>
    <row r="58" spans="1:7">
      <c r="A58" s="337" t="s">
        <v>420</v>
      </c>
      <c r="B58" s="333"/>
      <c r="C58" s="333"/>
      <c r="D58" s="333"/>
      <c r="E58" s="333"/>
      <c r="F58" s="333"/>
    </row>
    <row r="59" spans="1:7">
      <c r="A59" s="337"/>
      <c r="B59" s="333"/>
      <c r="C59" s="333"/>
      <c r="D59" s="333"/>
      <c r="E59" s="333"/>
      <c r="F59" s="333"/>
    </row>
    <row r="60" spans="1:7">
      <c r="A60" s="333" t="s">
        <v>559</v>
      </c>
      <c r="B60" s="333"/>
      <c r="C60" s="333"/>
      <c r="D60" s="333"/>
      <c r="E60" s="333"/>
      <c r="F60" s="333"/>
      <c r="G60" s="333"/>
    </row>
    <row r="61" spans="1:7">
      <c r="A61" s="333" t="s">
        <v>560</v>
      </c>
      <c r="B61" s="333"/>
      <c r="C61" s="333"/>
      <c r="D61" s="333"/>
      <c r="E61" s="333"/>
      <c r="F61" s="333"/>
      <c r="G61" s="333"/>
    </row>
    <row r="62" spans="1:7">
      <c r="A62" s="333" t="s">
        <v>561</v>
      </c>
      <c r="B62" s="333"/>
      <c r="C62" s="333"/>
      <c r="D62" s="333"/>
      <c r="E62" s="333"/>
      <c r="F62" s="333"/>
      <c r="G62" s="333"/>
    </row>
    <row r="63" spans="1:7">
      <c r="A63" s="333" t="s">
        <v>562</v>
      </c>
      <c r="B63" s="333"/>
      <c r="C63" s="333"/>
      <c r="D63" s="333"/>
      <c r="E63" s="333"/>
      <c r="F63" s="333"/>
      <c r="G63" s="333"/>
    </row>
    <row r="64" spans="1:7">
      <c r="A64" s="333" t="s">
        <v>563</v>
      </c>
      <c r="B64" s="333"/>
      <c r="C64" s="333"/>
      <c r="D64" s="333"/>
      <c r="E64" s="333"/>
      <c r="F64" s="333"/>
      <c r="G64" s="333"/>
    </row>
    <row r="66" spans="1:6">
      <c r="A66" s="337" t="s">
        <v>526</v>
      </c>
      <c r="B66" s="333"/>
      <c r="C66" s="333"/>
      <c r="D66" s="333"/>
      <c r="E66" s="333"/>
      <c r="F66" s="333"/>
    </row>
    <row r="67" spans="1:6">
      <c r="A67" s="337" t="s">
        <v>527</v>
      </c>
      <c r="B67" s="333"/>
      <c r="C67" s="333"/>
      <c r="D67" s="333"/>
      <c r="E67" s="333"/>
      <c r="F67" s="333"/>
    </row>
    <row r="68" spans="1:6">
      <c r="A68" s="337" t="s">
        <v>528</v>
      </c>
      <c r="B68" s="333"/>
      <c r="C68" s="333"/>
      <c r="D68" s="333"/>
      <c r="E68" s="333"/>
      <c r="F68" s="333"/>
    </row>
    <row r="69" spans="1:6">
      <c r="A69" s="337" t="s">
        <v>529</v>
      </c>
      <c r="B69" s="333"/>
      <c r="C69" s="333"/>
      <c r="D69" s="333"/>
      <c r="E69" s="333"/>
      <c r="F69" s="333"/>
    </row>
    <row r="70" spans="1:6">
      <c r="A70" s="337" t="s">
        <v>530</v>
      </c>
      <c r="B70" s="333"/>
      <c r="C70" s="333"/>
      <c r="D70" s="333"/>
      <c r="E70" s="333"/>
      <c r="F70" s="333"/>
    </row>
    <row r="71" spans="1:6">
      <c r="A71" s="333"/>
    </row>
    <row r="72" spans="1:6">
      <c r="A72" s="333" t="s">
        <v>447</v>
      </c>
    </row>
    <row r="73" spans="1:6">
      <c r="A73" s="333"/>
    </row>
    <row r="74" spans="1:6">
      <c r="A74" s="333"/>
    </row>
    <row r="75" spans="1:6">
      <c r="A75" s="333"/>
    </row>
    <row r="78" spans="1:6">
      <c r="A78" s="334"/>
    </row>
    <row r="80" spans="1:6">
      <c r="A80" s="333"/>
    </row>
    <row r="81" spans="1:1">
      <c r="A81" s="333"/>
    </row>
    <row r="82" spans="1:1">
      <c r="A82" s="333"/>
    </row>
    <row r="83" spans="1:1">
      <c r="A83" s="333"/>
    </row>
    <row r="84" spans="1:1">
      <c r="A84" s="333"/>
    </row>
    <row r="85" spans="1:1">
      <c r="A85" s="333"/>
    </row>
    <row r="86" spans="1:1">
      <c r="A86" s="333"/>
    </row>
    <row r="87" spans="1:1">
      <c r="A87" s="333"/>
    </row>
    <row r="88" spans="1:1">
      <c r="A88" s="333"/>
    </row>
    <row r="89" spans="1:1">
      <c r="A89" s="333"/>
    </row>
    <row r="90" spans="1:1">
      <c r="A90" s="333"/>
    </row>
    <row r="92" spans="1:1">
      <c r="A92" s="333"/>
    </row>
    <row r="93" spans="1:1">
      <c r="A93" s="333"/>
    </row>
    <row r="94" spans="1:1">
      <c r="A94" s="333"/>
    </row>
    <row r="95" spans="1:1">
      <c r="A95" s="333"/>
    </row>
    <row r="96" spans="1:1">
      <c r="A96" s="333"/>
    </row>
    <row r="97" spans="1:1">
      <c r="A97" s="333"/>
    </row>
    <row r="98" spans="1:1">
      <c r="A98" s="333"/>
    </row>
    <row r="99" spans="1:1">
      <c r="A99" s="333"/>
    </row>
    <row r="100" spans="1:1">
      <c r="A100" s="333"/>
    </row>
    <row r="101" spans="1:1">
      <c r="A101" s="333"/>
    </row>
    <row r="102" spans="1:1">
      <c r="A102" s="333"/>
    </row>
    <row r="103" spans="1:1">
      <c r="A103" s="333"/>
    </row>
    <row r="104" spans="1:1">
      <c r="A104" s="333"/>
    </row>
    <row r="105" spans="1:1">
      <c r="A105" s="333"/>
    </row>
    <row r="106" spans="1:1">
      <c r="A106" s="333"/>
    </row>
  </sheetData>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32" t="s">
        <v>564</v>
      </c>
      <c r="B3" s="332"/>
      <c r="C3" s="332"/>
      <c r="D3" s="332"/>
      <c r="E3" s="332"/>
      <c r="F3" s="332"/>
      <c r="G3" s="332"/>
    </row>
    <row r="4" spans="1:7">
      <c r="A4" s="332" t="s">
        <v>565</v>
      </c>
      <c r="B4" s="332"/>
      <c r="C4" s="332"/>
      <c r="D4" s="332"/>
      <c r="E4" s="332"/>
      <c r="F4" s="332"/>
      <c r="G4" s="332"/>
    </row>
    <row r="5" spans="1:7">
      <c r="A5" s="332"/>
      <c r="B5" s="332"/>
      <c r="C5" s="332"/>
      <c r="D5" s="332"/>
      <c r="E5" s="332"/>
      <c r="F5" s="332"/>
      <c r="G5" s="332"/>
    </row>
    <row r="6" spans="1:7">
      <c r="A6" s="332"/>
      <c r="B6" s="332"/>
      <c r="C6" s="332"/>
      <c r="D6" s="332"/>
      <c r="E6" s="332"/>
      <c r="F6" s="332"/>
      <c r="G6" s="332"/>
    </row>
    <row r="7" spans="1:7">
      <c r="A7" s="333" t="s">
        <v>392</v>
      </c>
    </row>
    <row r="8" spans="1:7">
      <c r="A8" s="333" t="str">
        <f>CONCATENATE("estimated ",inputPrYr!C5," 'total expenditures' exceed your ",inputPrYr!C5,"")</f>
        <v>estimated 2013 'total expenditures' exceed your 2013</v>
      </c>
    </row>
    <row r="9" spans="1:7">
      <c r="A9" s="336" t="s">
        <v>566</v>
      </c>
    </row>
    <row r="10" spans="1:7">
      <c r="A10" s="333"/>
    </row>
    <row r="11" spans="1:7">
      <c r="A11" s="333" t="s">
        <v>567</v>
      </c>
    </row>
    <row r="12" spans="1:7">
      <c r="A12" s="333" t="s">
        <v>568</v>
      </c>
    </row>
    <row r="13" spans="1:7">
      <c r="A13" s="333" t="s">
        <v>569</v>
      </c>
    </row>
    <row r="14" spans="1:7">
      <c r="A14" s="333"/>
    </row>
    <row r="15" spans="1:7">
      <c r="A15" s="334" t="s">
        <v>570</v>
      </c>
    </row>
    <row r="16" spans="1:7">
      <c r="A16" s="332"/>
      <c r="B16" s="332"/>
      <c r="C16" s="332"/>
      <c r="D16" s="332"/>
      <c r="E16" s="332"/>
      <c r="F16" s="332"/>
      <c r="G16" s="332"/>
    </row>
    <row r="17" spans="1:8">
      <c r="A17" s="339" t="s">
        <v>571</v>
      </c>
      <c r="B17" s="340"/>
      <c r="C17" s="340"/>
      <c r="D17" s="340"/>
      <c r="E17" s="340"/>
      <c r="F17" s="340"/>
      <c r="G17" s="340"/>
      <c r="H17" s="340"/>
    </row>
    <row r="18" spans="1:8">
      <c r="A18" s="333" t="s">
        <v>572</v>
      </c>
      <c r="B18" s="341"/>
      <c r="C18" s="341"/>
      <c r="D18" s="341"/>
      <c r="E18" s="341"/>
      <c r="F18" s="341"/>
      <c r="G18" s="341"/>
    </row>
    <row r="19" spans="1:8">
      <c r="A19" s="333" t="s">
        <v>573</v>
      </c>
    </row>
    <row r="20" spans="1:8">
      <c r="A20" s="333" t="s">
        <v>574</v>
      </c>
    </row>
    <row r="22" spans="1:8">
      <c r="A22" s="334" t="s">
        <v>575</v>
      </c>
    </row>
    <row r="24" spans="1:8">
      <c r="A24" s="333" t="s">
        <v>576</v>
      </c>
    </row>
    <row r="25" spans="1:8">
      <c r="A25" s="333" t="s">
        <v>577</v>
      </c>
    </row>
    <row r="26" spans="1:8">
      <c r="A26" s="333" t="s">
        <v>578</v>
      </c>
    </row>
    <row r="28" spans="1:8">
      <c r="A28" s="334" t="s">
        <v>579</v>
      </c>
    </row>
    <row r="30" spans="1:8">
      <c r="A30" t="s">
        <v>580</v>
      </c>
    </row>
    <row r="31" spans="1:8">
      <c r="A31" t="s">
        <v>581</v>
      </c>
    </row>
    <row r="32" spans="1:8">
      <c r="A32" t="s">
        <v>582</v>
      </c>
    </row>
    <row r="33" spans="1:1">
      <c r="A33" s="333" t="s">
        <v>583</v>
      </c>
    </row>
    <row r="35" spans="1:1">
      <c r="A35" t="s">
        <v>584</v>
      </c>
    </row>
    <row r="36" spans="1:1">
      <c r="A36" t="s">
        <v>585</v>
      </c>
    </row>
    <row r="37" spans="1:1">
      <c r="A37" t="s">
        <v>586</v>
      </c>
    </row>
    <row r="38" spans="1:1">
      <c r="A38" t="s">
        <v>587</v>
      </c>
    </row>
    <row r="40" spans="1:1">
      <c r="A40" t="s">
        <v>588</v>
      </c>
    </row>
    <row r="41" spans="1:1">
      <c r="A41" t="s">
        <v>589</v>
      </c>
    </row>
    <row r="42" spans="1:1">
      <c r="A42" t="s">
        <v>590</v>
      </c>
    </row>
    <row r="43" spans="1:1">
      <c r="A43" t="s">
        <v>591</v>
      </c>
    </row>
    <row r="44" spans="1:1">
      <c r="A44" t="s">
        <v>592</v>
      </c>
    </row>
    <row r="45" spans="1:1">
      <c r="A45" t="s">
        <v>593</v>
      </c>
    </row>
    <row r="47" spans="1:1">
      <c r="A47" t="s">
        <v>594</v>
      </c>
    </row>
    <row r="48" spans="1:1">
      <c r="A48" t="s">
        <v>595</v>
      </c>
    </row>
    <row r="49" spans="1:1">
      <c r="A49" s="333" t="s">
        <v>596</v>
      </c>
    </row>
    <row r="50" spans="1:1">
      <c r="A50" s="333" t="s">
        <v>597</v>
      </c>
    </row>
    <row r="52" spans="1:1">
      <c r="A52" t="s">
        <v>447</v>
      </c>
    </row>
  </sheetData>
  <pageMargins left="0.7" right="0.7" top="0.75" bottom="0.75" header="0.3" footer="0.3"/>
  <pageSetup orientation="portrait" r:id="rId1"/>
  <headerFooter>
    <oddFooter>&amp;Lrevised 10/2/09</oddFooter>
  </headerFooter>
</worksheet>
</file>

<file path=xl/worksheets/sheet42.xml><?xml version="1.0" encoding="utf-8"?>
<worksheet xmlns="http://schemas.openxmlformats.org/spreadsheetml/2006/main" xmlns:r="http://schemas.openxmlformats.org/officeDocument/2006/relationships">
  <dimension ref="A1:X354"/>
  <sheetViews>
    <sheetView zoomScaleNormal="100" workbookViewId="0">
      <selection sqref="A1:IV65536"/>
    </sheetView>
  </sheetViews>
  <sheetFormatPr defaultRowHeight="14.25"/>
  <cols>
    <col min="1" max="1" width="7.5546875" style="453" customWidth="1"/>
    <col min="2" max="2" width="11.21875" style="396" customWidth="1"/>
    <col min="3" max="3" width="7.44140625" style="396" customWidth="1"/>
    <col min="4" max="4" width="8.88671875" style="396"/>
    <col min="5" max="5" width="1.5546875" style="396" customWidth="1"/>
    <col min="6" max="6" width="14.33203125" style="396" customWidth="1"/>
    <col min="7" max="7" width="2.5546875" style="396" customWidth="1"/>
    <col min="8" max="8" width="9.77734375" style="396" customWidth="1"/>
    <col min="9" max="9" width="2" style="396" customWidth="1"/>
    <col min="10" max="10" width="8.5546875" style="396" customWidth="1"/>
    <col min="11" max="11" width="11.6640625" style="396" customWidth="1"/>
    <col min="12" max="12" width="7.5546875" style="453" customWidth="1"/>
    <col min="13" max="14" width="8.88671875" style="453"/>
    <col min="15" max="15" width="9.88671875" style="453" bestFit="1" customWidth="1"/>
    <col min="16" max="16384" width="8.88671875" style="453"/>
  </cols>
  <sheetData>
    <row r="1" spans="1:12">
      <c r="A1" s="395"/>
      <c r="B1" s="395"/>
      <c r="C1" s="395"/>
      <c r="D1" s="395"/>
      <c r="E1" s="395"/>
      <c r="F1" s="395"/>
      <c r="G1" s="395"/>
      <c r="H1" s="395"/>
      <c r="I1" s="395"/>
      <c r="J1" s="395"/>
      <c r="K1" s="395"/>
      <c r="L1" s="395"/>
    </row>
    <row r="2" spans="1:12">
      <c r="A2" s="395"/>
      <c r="B2" s="395"/>
      <c r="C2" s="395"/>
      <c r="D2" s="395"/>
      <c r="E2" s="395"/>
      <c r="F2" s="395"/>
      <c r="G2" s="395"/>
      <c r="H2" s="395"/>
      <c r="I2" s="395"/>
      <c r="J2" s="395"/>
      <c r="K2" s="395"/>
      <c r="L2" s="395"/>
    </row>
    <row r="3" spans="1:12">
      <c r="A3" s="395"/>
      <c r="B3" s="395"/>
      <c r="C3" s="395"/>
      <c r="D3" s="395"/>
      <c r="E3" s="395"/>
      <c r="F3" s="395"/>
      <c r="G3" s="395"/>
      <c r="H3" s="395"/>
      <c r="I3" s="395"/>
      <c r="J3" s="395"/>
      <c r="K3" s="395"/>
      <c r="L3" s="395"/>
    </row>
    <row r="4" spans="1:12">
      <c r="A4" s="395"/>
      <c r="L4" s="395"/>
    </row>
    <row r="5" spans="1:12" ht="15" customHeight="1">
      <c r="A5" s="395"/>
      <c r="L5" s="395"/>
    </row>
    <row r="6" spans="1:12" ht="33" customHeight="1">
      <c r="A6" s="395"/>
      <c r="B6" s="802" t="s">
        <v>666</v>
      </c>
      <c r="C6" s="816"/>
      <c r="D6" s="816"/>
      <c r="E6" s="816"/>
      <c r="F6" s="816"/>
      <c r="G6" s="816"/>
      <c r="H6" s="816"/>
      <c r="I6" s="816"/>
      <c r="J6" s="816"/>
      <c r="K6" s="816"/>
      <c r="L6" s="397"/>
    </row>
    <row r="7" spans="1:12" ht="40.5" customHeight="1">
      <c r="A7" s="395"/>
      <c r="B7" s="818" t="s">
        <v>667</v>
      </c>
      <c r="C7" s="819"/>
      <c r="D7" s="819"/>
      <c r="E7" s="819"/>
      <c r="F7" s="819"/>
      <c r="G7" s="819"/>
      <c r="H7" s="819"/>
      <c r="I7" s="819"/>
      <c r="J7" s="819"/>
      <c r="K7" s="819"/>
      <c r="L7" s="395"/>
    </row>
    <row r="8" spans="1:12">
      <c r="A8" s="395"/>
      <c r="B8" s="813" t="s">
        <v>668</v>
      </c>
      <c r="C8" s="813"/>
      <c r="D8" s="813"/>
      <c r="E8" s="813"/>
      <c r="F8" s="813"/>
      <c r="G8" s="813"/>
      <c r="H8" s="813"/>
      <c r="I8" s="813"/>
      <c r="J8" s="813"/>
      <c r="K8" s="813"/>
      <c r="L8" s="395"/>
    </row>
    <row r="9" spans="1:12">
      <c r="A9" s="395"/>
      <c r="L9" s="395"/>
    </row>
    <row r="10" spans="1:12">
      <c r="A10" s="395"/>
      <c r="B10" s="813" t="s">
        <v>669</v>
      </c>
      <c r="C10" s="813"/>
      <c r="D10" s="813"/>
      <c r="E10" s="813"/>
      <c r="F10" s="813"/>
      <c r="G10" s="813"/>
      <c r="H10" s="813"/>
      <c r="I10" s="813"/>
      <c r="J10" s="813"/>
      <c r="K10" s="813"/>
      <c r="L10" s="395"/>
    </row>
    <row r="11" spans="1:12">
      <c r="A11" s="395"/>
      <c r="B11" s="602"/>
      <c r="C11" s="602"/>
      <c r="D11" s="602"/>
      <c r="E11" s="602"/>
      <c r="F11" s="602"/>
      <c r="G11" s="602"/>
      <c r="H11" s="602"/>
      <c r="I11" s="602"/>
      <c r="J11" s="602"/>
      <c r="K11" s="602"/>
      <c r="L11" s="395"/>
    </row>
    <row r="12" spans="1:12" ht="32.25" customHeight="1">
      <c r="A12" s="395"/>
      <c r="B12" s="803" t="s">
        <v>670</v>
      </c>
      <c r="C12" s="803"/>
      <c r="D12" s="803"/>
      <c r="E12" s="803"/>
      <c r="F12" s="803"/>
      <c r="G12" s="803"/>
      <c r="H12" s="803"/>
      <c r="I12" s="803"/>
      <c r="J12" s="803"/>
      <c r="K12" s="803"/>
      <c r="L12" s="395"/>
    </row>
    <row r="13" spans="1:12">
      <c r="A13" s="395"/>
      <c r="L13" s="395"/>
    </row>
    <row r="14" spans="1:12">
      <c r="A14" s="395"/>
      <c r="B14" s="398" t="s">
        <v>671</v>
      </c>
      <c r="L14" s="395"/>
    </row>
    <row r="15" spans="1:12">
      <c r="A15" s="395"/>
      <c r="L15" s="395"/>
    </row>
    <row r="16" spans="1:12">
      <c r="A16" s="395"/>
      <c r="B16" s="396" t="s">
        <v>672</v>
      </c>
      <c r="L16" s="395"/>
    </row>
    <row r="17" spans="1:12">
      <c r="A17" s="395"/>
      <c r="B17" s="396" t="s">
        <v>673</v>
      </c>
      <c r="L17" s="395"/>
    </row>
    <row r="18" spans="1:12">
      <c r="A18" s="395"/>
      <c r="L18" s="395"/>
    </row>
    <row r="19" spans="1:12">
      <c r="A19" s="395"/>
      <c r="B19" s="398" t="s">
        <v>886</v>
      </c>
      <c r="L19" s="395"/>
    </row>
    <row r="20" spans="1:12">
      <c r="A20" s="395"/>
      <c r="B20" s="398"/>
      <c r="L20" s="395"/>
    </row>
    <row r="21" spans="1:12">
      <c r="A21" s="395"/>
      <c r="B21" s="396" t="s">
        <v>887</v>
      </c>
      <c r="L21" s="395"/>
    </row>
    <row r="22" spans="1:12">
      <c r="A22" s="395"/>
      <c r="L22" s="395"/>
    </row>
    <row r="23" spans="1:12">
      <c r="A23" s="395"/>
      <c r="B23" s="396" t="s">
        <v>674</v>
      </c>
      <c r="E23" s="396" t="s">
        <v>675</v>
      </c>
      <c r="F23" s="800">
        <v>312000000</v>
      </c>
      <c r="G23" s="800"/>
      <c r="L23" s="395"/>
    </row>
    <row r="24" spans="1:12">
      <c r="A24" s="395"/>
      <c r="L24" s="395"/>
    </row>
    <row r="25" spans="1:12">
      <c r="A25" s="395"/>
      <c r="C25" s="820">
        <f>F23</f>
        <v>312000000</v>
      </c>
      <c r="D25" s="820"/>
      <c r="E25" s="396" t="s">
        <v>676</v>
      </c>
      <c r="F25" s="399">
        <v>1000</v>
      </c>
      <c r="G25" s="399" t="s">
        <v>675</v>
      </c>
      <c r="H25" s="603">
        <f>F23/F25</f>
        <v>312000</v>
      </c>
      <c r="L25" s="395"/>
    </row>
    <row r="26" spans="1:12" ht="15" thickBot="1">
      <c r="A26" s="395"/>
      <c r="L26" s="395"/>
    </row>
    <row r="27" spans="1:12">
      <c r="A27" s="395"/>
      <c r="B27" s="400" t="s">
        <v>671</v>
      </c>
      <c r="C27" s="401"/>
      <c r="D27" s="401"/>
      <c r="E27" s="401"/>
      <c r="F27" s="401"/>
      <c r="G27" s="401"/>
      <c r="H27" s="401"/>
      <c r="I27" s="401"/>
      <c r="J27" s="401"/>
      <c r="K27" s="402"/>
      <c r="L27" s="395"/>
    </row>
    <row r="28" spans="1:12">
      <c r="A28" s="395"/>
      <c r="B28" s="403">
        <f>F23</f>
        <v>312000000</v>
      </c>
      <c r="C28" s="404" t="s">
        <v>677</v>
      </c>
      <c r="D28" s="404"/>
      <c r="E28" s="404" t="s">
        <v>676</v>
      </c>
      <c r="F28" s="596">
        <v>1000</v>
      </c>
      <c r="G28" s="596" t="s">
        <v>675</v>
      </c>
      <c r="H28" s="405">
        <f>B28/F28</f>
        <v>312000</v>
      </c>
      <c r="I28" s="404" t="s">
        <v>678</v>
      </c>
      <c r="J28" s="404"/>
      <c r="K28" s="406"/>
      <c r="L28" s="395"/>
    </row>
    <row r="29" spans="1:12" ht="15" thickBot="1">
      <c r="A29" s="395"/>
      <c r="B29" s="407"/>
      <c r="C29" s="408"/>
      <c r="D29" s="408"/>
      <c r="E29" s="408"/>
      <c r="F29" s="408"/>
      <c r="G29" s="408"/>
      <c r="H29" s="408"/>
      <c r="I29" s="408"/>
      <c r="J29" s="408"/>
      <c r="K29" s="409"/>
      <c r="L29" s="395"/>
    </row>
    <row r="30" spans="1:12" ht="40.5" customHeight="1">
      <c r="A30" s="395"/>
      <c r="B30" s="801" t="s">
        <v>667</v>
      </c>
      <c r="C30" s="801"/>
      <c r="D30" s="801"/>
      <c r="E30" s="801"/>
      <c r="F30" s="801"/>
      <c r="G30" s="801"/>
      <c r="H30" s="801"/>
      <c r="I30" s="801"/>
      <c r="J30" s="801"/>
      <c r="K30" s="801"/>
      <c r="L30" s="395"/>
    </row>
    <row r="31" spans="1:12">
      <c r="A31" s="395"/>
      <c r="B31" s="813" t="s">
        <v>679</v>
      </c>
      <c r="C31" s="813"/>
      <c r="D31" s="813"/>
      <c r="E31" s="813"/>
      <c r="F31" s="813"/>
      <c r="G31" s="813"/>
      <c r="H31" s="813"/>
      <c r="I31" s="813"/>
      <c r="J31" s="813"/>
      <c r="K31" s="813"/>
      <c r="L31" s="395"/>
    </row>
    <row r="32" spans="1:12">
      <c r="A32" s="395"/>
      <c r="L32" s="395"/>
    </row>
    <row r="33" spans="1:12">
      <c r="A33" s="395"/>
      <c r="B33" s="813" t="s">
        <v>680</v>
      </c>
      <c r="C33" s="813"/>
      <c r="D33" s="813"/>
      <c r="E33" s="813"/>
      <c r="F33" s="813"/>
      <c r="G33" s="813"/>
      <c r="H33" s="813"/>
      <c r="I33" s="813"/>
      <c r="J33" s="813"/>
      <c r="K33" s="813"/>
      <c r="L33" s="395"/>
    </row>
    <row r="34" spans="1:12">
      <c r="A34" s="395"/>
      <c r="L34" s="395"/>
    </row>
    <row r="35" spans="1:12" ht="89.25" customHeight="1">
      <c r="A35" s="395"/>
      <c r="B35" s="803" t="s">
        <v>681</v>
      </c>
      <c r="C35" s="807"/>
      <c r="D35" s="807"/>
      <c r="E35" s="807"/>
      <c r="F35" s="807"/>
      <c r="G35" s="807"/>
      <c r="H35" s="807"/>
      <c r="I35" s="807"/>
      <c r="J35" s="807"/>
      <c r="K35" s="807"/>
      <c r="L35" s="395"/>
    </row>
    <row r="36" spans="1:12">
      <c r="A36" s="395"/>
      <c r="L36" s="395"/>
    </row>
    <row r="37" spans="1:12">
      <c r="A37" s="395"/>
      <c r="B37" s="398" t="s">
        <v>682</v>
      </c>
      <c r="L37" s="395"/>
    </row>
    <row r="38" spans="1:12">
      <c r="A38" s="395"/>
      <c r="L38" s="395"/>
    </row>
    <row r="39" spans="1:12">
      <c r="A39" s="395"/>
      <c r="B39" s="396" t="s">
        <v>683</v>
      </c>
      <c r="L39" s="395"/>
    </row>
    <row r="40" spans="1:12">
      <c r="A40" s="395"/>
      <c r="L40" s="395"/>
    </row>
    <row r="41" spans="1:12">
      <c r="A41" s="395"/>
      <c r="C41" s="821">
        <v>312000000</v>
      </c>
      <c r="D41" s="821"/>
      <c r="E41" s="396" t="s">
        <v>676</v>
      </c>
      <c r="F41" s="399">
        <v>1000</v>
      </c>
      <c r="G41" s="399" t="s">
        <v>675</v>
      </c>
      <c r="H41" s="410">
        <f>C41/F41</f>
        <v>312000</v>
      </c>
      <c r="L41" s="395"/>
    </row>
    <row r="42" spans="1:12">
      <c r="A42" s="395"/>
      <c r="L42" s="395"/>
    </row>
    <row r="43" spans="1:12">
      <c r="A43" s="395"/>
      <c r="B43" s="396" t="s">
        <v>684</v>
      </c>
      <c r="L43" s="395"/>
    </row>
    <row r="44" spans="1:12">
      <c r="A44" s="395"/>
      <c r="L44" s="395"/>
    </row>
    <row r="45" spans="1:12">
      <c r="A45" s="395"/>
      <c r="B45" s="396" t="s">
        <v>685</v>
      </c>
      <c r="L45" s="395"/>
    </row>
    <row r="46" spans="1:12" ht="15" thickBot="1">
      <c r="A46" s="395"/>
      <c r="L46" s="395"/>
    </row>
    <row r="47" spans="1:12">
      <c r="A47" s="395"/>
      <c r="B47" s="411" t="s">
        <v>671</v>
      </c>
      <c r="C47" s="401"/>
      <c r="D47" s="401"/>
      <c r="E47" s="401"/>
      <c r="F47" s="401"/>
      <c r="G47" s="401"/>
      <c r="H47" s="401"/>
      <c r="I47" s="401"/>
      <c r="J47" s="401"/>
      <c r="K47" s="402"/>
      <c r="L47" s="395"/>
    </row>
    <row r="48" spans="1:12">
      <c r="A48" s="395"/>
      <c r="B48" s="808">
        <v>312000000</v>
      </c>
      <c r="C48" s="800"/>
      <c r="D48" s="404" t="s">
        <v>686</v>
      </c>
      <c r="E48" s="404" t="s">
        <v>676</v>
      </c>
      <c r="F48" s="596">
        <v>1000</v>
      </c>
      <c r="G48" s="596" t="s">
        <v>675</v>
      </c>
      <c r="H48" s="405">
        <f>B48/F48</f>
        <v>312000</v>
      </c>
      <c r="I48" s="404" t="s">
        <v>687</v>
      </c>
      <c r="J48" s="404"/>
      <c r="K48" s="406"/>
      <c r="L48" s="395"/>
    </row>
    <row r="49" spans="1:24">
      <c r="A49" s="395"/>
      <c r="B49" s="412"/>
      <c r="C49" s="404"/>
      <c r="D49" s="404"/>
      <c r="E49" s="404"/>
      <c r="F49" s="404"/>
      <c r="G49" s="404"/>
      <c r="H49" s="404"/>
      <c r="I49" s="404"/>
      <c r="J49" s="404"/>
      <c r="K49" s="406"/>
      <c r="L49" s="395"/>
    </row>
    <row r="50" spans="1:24">
      <c r="A50" s="395"/>
      <c r="B50" s="413">
        <v>50000</v>
      </c>
      <c r="C50" s="404" t="s">
        <v>688</v>
      </c>
      <c r="D50" s="404"/>
      <c r="E50" s="404" t="s">
        <v>676</v>
      </c>
      <c r="F50" s="405">
        <f>H48</f>
        <v>312000</v>
      </c>
      <c r="G50" s="809" t="s">
        <v>689</v>
      </c>
      <c r="H50" s="810"/>
      <c r="I50" s="596" t="s">
        <v>675</v>
      </c>
      <c r="J50" s="414">
        <f>B50/F50</f>
        <v>0.16025641025641027</v>
      </c>
      <c r="K50" s="406"/>
      <c r="L50" s="395"/>
    </row>
    <row r="51" spans="1:24" ht="15" thickBot="1">
      <c r="A51" s="395"/>
      <c r="B51" s="407"/>
      <c r="C51" s="408"/>
      <c r="D51" s="408"/>
      <c r="E51" s="408"/>
      <c r="F51" s="408"/>
      <c r="G51" s="408"/>
      <c r="H51" s="408"/>
      <c r="I51" s="811" t="s">
        <v>690</v>
      </c>
      <c r="J51" s="811"/>
      <c r="K51" s="812"/>
      <c r="L51" s="395"/>
      <c r="O51" s="501"/>
    </row>
    <row r="52" spans="1:24" ht="40.5" customHeight="1">
      <c r="A52" s="395"/>
      <c r="B52" s="801" t="s">
        <v>667</v>
      </c>
      <c r="C52" s="801"/>
      <c r="D52" s="801"/>
      <c r="E52" s="801"/>
      <c r="F52" s="801"/>
      <c r="G52" s="801"/>
      <c r="H52" s="801"/>
      <c r="I52" s="801"/>
      <c r="J52" s="801"/>
      <c r="K52" s="801"/>
      <c r="L52" s="395"/>
    </row>
    <row r="53" spans="1:24">
      <c r="A53" s="395"/>
      <c r="B53" s="813" t="s">
        <v>691</v>
      </c>
      <c r="C53" s="813"/>
      <c r="D53" s="813"/>
      <c r="E53" s="813"/>
      <c r="F53" s="813"/>
      <c r="G53" s="813"/>
      <c r="H53" s="813"/>
      <c r="I53" s="813"/>
      <c r="J53" s="813"/>
      <c r="K53" s="813"/>
      <c r="L53" s="395"/>
    </row>
    <row r="54" spans="1:24">
      <c r="A54" s="395"/>
      <c r="B54" s="602"/>
      <c r="C54" s="602"/>
      <c r="D54" s="602"/>
      <c r="E54" s="602"/>
      <c r="F54" s="602"/>
      <c r="G54" s="602"/>
      <c r="H54" s="602"/>
      <c r="I54" s="602"/>
      <c r="J54" s="602"/>
      <c r="K54" s="602"/>
      <c r="L54" s="395"/>
    </row>
    <row r="55" spans="1:24">
      <c r="A55" s="395"/>
      <c r="B55" s="802" t="s">
        <v>692</v>
      </c>
      <c r="C55" s="802"/>
      <c r="D55" s="802"/>
      <c r="E55" s="802"/>
      <c r="F55" s="802"/>
      <c r="G55" s="802"/>
      <c r="H55" s="802"/>
      <c r="I55" s="802"/>
      <c r="J55" s="802"/>
      <c r="K55" s="802"/>
      <c r="L55" s="395"/>
    </row>
    <row r="56" spans="1:24" ht="15" customHeight="1">
      <c r="A56" s="395"/>
      <c r="L56" s="395"/>
    </row>
    <row r="57" spans="1:24" ht="74.25" customHeight="1">
      <c r="A57" s="395"/>
      <c r="B57" s="803" t="s">
        <v>693</v>
      </c>
      <c r="C57" s="807"/>
      <c r="D57" s="807"/>
      <c r="E57" s="807"/>
      <c r="F57" s="807"/>
      <c r="G57" s="807"/>
      <c r="H57" s="807"/>
      <c r="I57" s="807"/>
      <c r="J57" s="807"/>
      <c r="K57" s="807"/>
      <c r="L57" s="395"/>
      <c r="M57" s="415"/>
      <c r="N57" s="416"/>
      <c r="O57" s="416"/>
      <c r="P57" s="416"/>
      <c r="Q57" s="416"/>
      <c r="R57" s="416"/>
      <c r="S57" s="416"/>
      <c r="T57" s="416"/>
      <c r="U57" s="416"/>
      <c r="V57" s="416"/>
      <c r="W57" s="416"/>
      <c r="X57" s="416"/>
    </row>
    <row r="58" spans="1:24" ht="15" customHeight="1">
      <c r="A58" s="395"/>
      <c r="B58" s="803"/>
      <c r="C58" s="807"/>
      <c r="D58" s="807"/>
      <c r="E58" s="807"/>
      <c r="F58" s="807"/>
      <c r="G58" s="807"/>
      <c r="H58" s="807"/>
      <c r="I58" s="807"/>
      <c r="J58" s="807"/>
      <c r="K58" s="807"/>
      <c r="L58" s="395"/>
      <c r="M58" s="415"/>
      <c r="N58" s="416"/>
      <c r="O58" s="416"/>
      <c r="P58" s="416"/>
      <c r="Q58" s="416"/>
      <c r="R58" s="416"/>
      <c r="S58" s="416"/>
      <c r="T58" s="416"/>
      <c r="U58" s="416"/>
      <c r="V58" s="416"/>
      <c r="W58" s="416"/>
      <c r="X58" s="416"/>
    </row>
    <row r="59" spans="1:24">
      <c r="A59" s="395"/>
      <c r="B59" s="398" t="s">
        <v>682</v>
      </c>
      <c r="L59" s="395"/>
      <c r="M59" s="416"/>
      <c r="N59" s="416"/>
      <c r="O59" s="416"/>
      <c r="P59" s="416"/>
      <c r="Q59" s="416"/>
      <c r="R59" s="416"/>
      <c r="S59" s="416"/>
      <c r="T59" s="416"/>
      <c r="U59" s="416"/>
      <c r="V59" s="416"/>
      <c r="W59" s="416"/>
      <c r="X59" s="416"/>
    </row>
    <row r="60" spans="1:24">
      <c r="A60" s="395"/>
      <c r="L60" s="395"/>
      <c r="M60" s="416"/>
      <c r="N60" s="416"/>
      <c r="O60" s="416"/>
      <c r="P60" s="416"/>
      <c r="Q60" s="416"/>
      <c r="R60" s="416"/>
      <c r="S60" s="416"/>
      <c r="T60" s="416"/>
      <c r="U60" s="416"/>
      <c r="V60" s="416"/>
      <c r="W60" s="416"/>
      <c r="X60" s="416"/>
    </row>
    <row r="61" spans="1:24">
      <c r="A61" s="395"/>
      <c r="B61" s="396" t="s">
        <v>694</v>
      </c>
      <c r="L61" s="395"/>
      <c r="M61" s="416"/>
      <c r="N61" s="416"/>
      <c r="O61" s="416"/>
      <c r="P61" s="416"/>
      <c r="Q61" s="416"/>
      <c r="R61" s="416"/>
      <c r="S61" s="416"/>
      <c r="T61" s="416"/>
      <c r="U61" s="416"/>
      <c r="V61" s="416"/>
      <c r="W61" s="416"/>
      <c r="X61" s="416"/>
    </row>
    <row r="62" spans="1:24">
      <c r="A62" s="395"/>
      <c r="B62" s="396" t="s">
        <v>888</v>
      </c>
      <c r="L62" s="395"/>
      <c r="M62" s="416"/>
      <c r="N62" s="416"/>
      <c r="O62" s="416"/>
      <c r="P62" s="416"/>
      <c r="Q62" s="416"/>
      <c r="R62" s="416"/>
      <c r="S62" s="416"/>
      <c r="T62" s="416"/>
      <c r="U62" s="416"/>
      <c r="V62" s="416"/>
      <c r="W62" s="416"/>
      <c r="X62" s="416"/>
    </row>
    <row r="63" spans="1:24">
      <c r="A63" s="395"/>
      <c r="B63" s="396" t="s">
        <v>889</v>
      </c>
      <c r="L63" s="395"/>
      <c r="M63" s="416"/>
      <c r="N63" s="416"/>
      <c r="O63" s="416"/>
      <c r="P63" s="416"/>
      <c r="Q63" s="416"/>
      <c r="R63" s="416"/>
      <c r="S63" s="416"/>
      <c r="T63" s="416"/>
      <c r="U63" s="416"/>
      <c r="V63" s="416"/>
      <c r="W63" s="416"/>
      <c r="X63" s="416"/>
    </row>
    <row r="64" spans="1:24">
      <c r="A64" s="395"/>
      <c r="L64" s="395"/>
      <c r="M64" s="416"/>
      <c r="N64" s="416"/>
      <c r="O64" s="416"/>
      <c r="P64" s="416"/>
      <c r="Q64" s="416"/>
      <c r="R64" s="416"/>
      <c r="S64" s="416"/>
      <c r="T64" s="416"/>
      <c r="U64" s="416"/>
      <c r="V64" s="416"/>
      <c r="W64" s="416"/>
      <c r="X64" s="416"/>
    </row>
    <row r="65" spans="1:24">
      <c r="A65" s="395"/>
      <c r="B65" s="396" t="s">
        <v>695</v>
      </c>
      <c r="L65" s="395"/>
      <c r="M65" s="416"/>
      <c r="N65" s="416"/>
      <c r="O65" s="416"/>
      <c r="P65" s="416"/>
      <c r="Q65" s="416"/>
      <c r="R65" s="416"/>
      <c r="S65" s="416"/>
      <c r="T65" s="416"/>
      <c r="U65" s="416"/>
      <c r="V65" s="416"/>
      <c r="W65" s="416"/>
      <c r="X65" s="416"/>
    </row>
    <row r="66" spans="1:24">
      <c r="A66" s="395"/>
      <c r="B66" s="396" t="s">
        <v>696</v>
      </c>
      <c r="L66" s="395"/>
      <c r="M66" s="416"/>
      <c r="N66" s="416"/>
      <c r="O66" s="416"/>
      <c r="P66" s="416"/>
      <c r="Q66" s="416"/>
      <c r="R66" s="416"/>
      <c r="S66" s="416"/>
      <c r="T66" s="416"/>
      <c r="U66" s="416"/>
      <c r="V66" s="416"/>
      <c r="W66" s="416"/>
      <c r="X66" s="416"/>
    </row>
    <row r="67" spans="1:24">
      <c r="A67" s="395"/>
      <c r="L67" s="395"/>
      <c r="M67" s="416"/>
      <c r="N67" s="416"/>
      <c r="O67" s="416"/>
      <c r="P67" s="416"/>
      <c r="Q67" s="416"/>
      <c r="R67" s="416"/>
      <c r="S67" s="416"/>
      <c r="T67" s="416"/>
      <c r="U67" s="416"/>
      <c r="V67" s="416"/>
      <c r="W67" s="416"/>
      <c r="X67" s="416"/>
    </row>
    <row r="68" spans="1:24">
      <c r="A68" s="395"/>
      <c r="B68" s="396" t="s">
        <v>697</v>
      </c>
      <c r="L68" s="395"/>
      <c r="M68" s="417"/>
      <c r="N68" s="418"/>
      <c r="O68" s="418"/>
      <c r="P68" s="418"/>
      <c r="Q68" s="418"/>
      <c r="R68" s="418"/>
      <c r="S68" s="418"/>
      <c r="T68" s="418"/>
      <c r="U68" s="418"/>
      <c r="V68" s="418"/>
      <c r="W68" s="418"/>
      <c r="X68" s="416"/>
    </row>
    <row r="69" spans="1:24">
      <c r="A69" s="395"/>
      <c r="B69" s="396" t="s">
        <v>890</v>
      </c>
      <c r="L69" s="395"/>
      <c r="M69" s="416"/>
      <c r="N69" s="416"/>
      <c r="O69" s="416"/>
      <c r="P69" s="416"/>
      <c r="Q69" s="416"/>
      <c r="R69" s="416"/>
      <c r="S69" s="416"/>
      <c r="T69" s="416"/>
      <c r="U69" s="416"/>
      <c r="V69" s="416"/>
      <c r="W69" s="416"/>
      <c r="X69" s="416"/>
    </row>
    <row r="70" spans="1:24">
      <c r="A70" s="395"/>
      <c r="B70" s="396" t="s">
        <v>891</v>
      </c>
      <c r="L70" s="395"/>
      <c r="M70" s="416"/>
      <c r="N70" s="416"/>
      <c r="O70" s="416"/>
      <c r="P70" s="416"/>
      <c r="Q70" s="416"/>
      <c r="R70" s="416"/>
      <c r="S70" s="416"/>
      <c r="T70" s="416"/>
      <c r="U70" s="416"/>
      <c r="V70" s="416"/>
      <c r="W70" s="416"/>
      <c r="X70" s="416"/>
    </row>
    <row r="71" spans="1:24" ht="15" thickBot="1">
      <c r="A71" s="395"/>
      <c r="B71" s="404"/>
      <c r="C71" s="404"/>
      <c r="D71" s="404"/>
      <c r="E71" s="404"/>
      <c r="F71" s="404"/>
      <c r="G71" s="404"/>
      <c r="H71" s="404"/>
      <c r="I71" s="404"/>
      <c r="J71" s="404"/>
      <c r="K71" s="404"/>
      <c r="L71" s="395"/>
    </row>
    <row r="72" spans="1:24">
      <c r="A72" s="395"/>
      <c r="B72" s="400" t="s">
        <v>671</v>
      </c>
      <c r="C72" s="401"/>
      <c r="D72" s="401"/>
      <c r="E72" s="401"/>
      <c r="F72" s="401"/>
      <c r="G72" s="401"/>
      <c r="H72" s="401"/>
      <c r="I72" s="401"/>
      <c r="J72" s="401"/>
      <c r="K72" s="402"/>
      <c r="L72" s="419"/>
    </row>
    <row r="73" spans="1:24">
      <c r="A73" s="395"/>
      <c r="B73" s="412"/>
      <c r="C73" s="404" t="s">
        <v>677</v>
      </c>
      <c r="D73" s="404"/>
      <c r="E73" s="404"/>
      <c r="F73" s="404"/>
      <c r="G73" s="404"/>
      <c r="H73" s="404"/>
      <c r="I73" s="404"/>
      <c r="J73" s="404"/>
      <c r="K73" s="406"/>
      <c r="L73" s="419"/>
    </row>
    <row r="74" spans="1:24">
      <c r="A74" s="395"/>
      <c r="B74" s="412" t="s">
        <v>698</v>
      </c>
      <c r="C74" s="800">
        <v>312000000</v>
      </c>
      <c r="D74" s="800"/>
      <c r="E74" s="596" t="s">
        <v>676</v>
      </c>
      <c r="F74" s="596">
        <v>1000</v>
      </c>
      <c r="G74" s="596" t="s">
        <v>675</v>
      </c>
      <c r="H74" s="594">
        <f>C74/F74</f>
        <v>312000</v>
      </c>
      <c r="I74" s="404" t="s">
        <v>699</v>
      </c>
      <c r="J74" s="404"/>
      <c r="K74" s="406"/>
      <c r="L74" s="419"/>
    </row>
    <row r="75" spans="1:24">
      <c r="A75" s="395"/>
      <c r="B75" s="412"/>
      <c r="C75" s="404"/>
      <c r="D75" s="404"/>
      <c r="E75" s="596"/>
      <c r="F75" s="404"/>
      <c r="G75" s="404"/>
      <c r="H75" s="404"/>
      <c r="I75" s="404"/>
      <c r="J75" s="404"/>
      <c r="K75" s="406"/>
      <c r="L75" s="419"/>
    </row>
    <row r="76" spans="1:24">
      <c r="A76" s="395"/>
      <c r="B76" s="412"/>
      <c r="C76" s="404" t="s">
        <v>700</v>
      </c>
      <c r="D76" s="404"/>
      <c r="E76" s="596"/>
      <c r="F76" s="404" t="s">
        <v>699</v>
      </c>
      <c r="G76" s="404"/>
      <c r="H76" s="404"/>
      <c r="I76" s="404"/>
      <c r="J76" s="404"/>
      <c r="K76" s="406"/>
      <c r="L76" s="419"/>
    </row>
    <row r="77" spans="1:24">
      <c r="A77" s="395"/>
      <c r="B77" s="412" t="s">
        <v>703</v>
      </c>
      <c r="C77" s="800">
        <v>50000</v>
      </c>
      <c r="D77" s="800"/>
      <c r="E77" s="596" t="s">
        <v>676</v>
      </c>
      <c r="F77" s="594">
        <f>H74</f>
        <v>312000</v>
      </c>
      <c r="G77" s="596" t="s">
        <v>675</v>
      </c>
      <c r="H77" s="414">
        <f>C77/F77</f>
        <v>0.16025641025641027</v>
      </c>
      <c r="I77" s="404" t="s">
        <v>701</v>
      </c>
      <c r="J77" s="404"/>
      <c r="K77" s="406"/>
      <c r="L77" s="419"/>
    </row>
    <row r="78" spans="1:24">
      <c r="A78" s="395"/>
      <c r="B78" s="412"/>
      <c r="C78" s="404"/>
      <c r="D78" s="404"/>
      <c r="E78" s="596"/>
      <c r="F78" s="404"/>
      <c r="G78" s="404"/>
      <c r="H78" s="404"/>
      <c r="I78" s="404"/>
      <c r="J78" s="404"/>
      <c r="K78" s="406"/>
      <c r="L78" s="419"/>
    </row>
    <row r="79" spans="1:24">
      <c r="A79" s="395"/>
      <c r="B79" s="420"/>
      <c r="C79" s="421" t="s">
        <v>702</v>
      </c>
      <c r="D79" s="421"/>
      <c r="E79" s="598"/>
      <c r="F79" s="421"/>
      <c r="G79" s="421"/>
      <c r="H79" s="421"/>
      <c r="I79" s="421"/>
      <c r="J79" s="421"/>
      <c r="K79" s="422"/>
      <c r="L79" s="419"/>
    </row>
    <row r="80" spans="1:24">
      <c r="A80" s="395"/>
      <c r="B80" s="412" t="s">
        <v>782</v>
      </c>
      <c r="C80" s="800">
        <v>100000</v>
      </c>
      <c r="D80" s="800"/>
      <c r="E80" s="596" t="s">
        <v>13</v>
      </c>
      <c r="F80" s="596">
        <v>0.115</v>
      </c>
      <c r="G80" s="596" t="s">
        <v>675</v>
      </c>
      <c r="H80" s="594">
        <f>C80*F80</f>
        <v>11500</v>
      </c>
      <c r="I80" s="404" t="s">
        <v>704</v>
      </c>
      <c r="J80" s="404"/>
      <c r="K80" s="406"/>
      <c r="L80" s="419"/>
    </row>
    <row r="81" spans="1:12">
      <c r="A81" s="395"/>
      <c r="B81" s="412"/>
      <c r="C81" s="404"/>
      <c r="D81" s="404"/>
      <c r="E81" s="596"/>
      <c r="F81" s="404"/>
      <c r="G81" s="404"/>
      <c r="H81" s="404"/>
      <c r="I81" s="404"/>
      <c r="J81" s="404"/>
      <c r="K81" s="406"/>
      <c r="L81" s="419"/>
    </row>
    <row r="82" spans="1:12">
      <c r="A82" s="395"/>
      <c r="B82" s="420"/>
      <c r="C82" s="421" t="s">
        <v>705</v>
      </c>
      <c r="D82" s="421"/>
      <c r="E82" s="598"/>
      <c r="F82" s="421" t="s">
        <v>701</v>
      </c>
      <c r="G82" s="421"/>
      <c r="H82" s="421"/>
      <c r="I82" s="421"/>
      <c r="J82" s="421" t="s">
        <v>706</v>
      </c>
      <c r="K82" s="422"/>
      <c r="L82" s="419"/>
    </row>
    <row r="83" spans="1:12">
      <c r="A83" s="395"/>
      <c r="B83" s="412" t="s">
        <v>783</v>
      </c>
      <c r="C83" s="804">
        <f>H80</f>
        <v>11500</v>
      </c>
      <c r="D83" s="804"/>
      <c r="E83" s="596" t="s">
        <v>13</v>
      </c>
      <c r="F83" s="414">
        <f>H77</f>
        <v>0.16025641025641027</v>
      </c>
      <c r="G83" s="596" t="s">
        <v>676</v>
      </c>
      <c r="H83" s="596">
        <v>1000</v>
      </c>
      <c r="I83" s="596" t="s">
        <v>675</v>
      </c>
      <c r="J83" s="595">
        <f>C83*F83/H83</f>
        <v>1.8429487179487181</v>
      </c>
      <c r="K83" s="406"/>
      <c r="L83" s="419"/>
    </row>
    <row r="84" spans="1:12" ht="15" thickBot="1">
      <c r="A84" s="395"/>
      <c r="B84" s="407"/>
      <c r="C84" s="423"/>
      <c r="D84" s="423"/>
      <c r="E84" s="424"/>
      <c r="F84" s="425"/>
      <c r="G84" s="424"/>
      <c r="H84" s="424"/>
      <c r="I84" s="424"/>
      <c r="J84" s="426"/>
      <c r="K84" s="409"/>
      <c r="L84" s="419"/>
    </row>
    <row r="85" spans="1:12" ht="40.5" customHeight="1">
      <c r="A85" s="395"/>
      <c r="B85" s="801" t="s">
        <v>667</v>
      </c>
      <c r="C85" s="801"/>
      <c r="D85" s="801"/>
      <c r="E85" s="801"/>
      <c r="F85" s="801"/>
      <c r="G85" s="801"/>
      <c r="H85" s="801"/>
      <c r="I85" s="801"/>
      <c r="J85" s="801"/>
      <c r="K85" s="801"/>
      <c r="L85" s="395"/>
    </row>
    <row r="86" spans="1:12">
      <c r="A86" s="395"/>
      <c r="B86" s="802" t="s">
        <v>707</v>
      </c>
      <c r="C86" s="802"/>
      <c r="D86" s="802"/>
      <c r="E86" s="802"/>
      <c r="F86" s="802"/>
      <c r="G86" s="802"/>
      <c r="H86" s="802"/>
      <c r="I86" s="802"/>
      <c r="J86" s="802"/>
      <c r="K86" s="802"/>
      <c r="L86" s="395"/>
    </row>
    <row r="87" spans="1:12">
      <c r="A87" s="395"/>
      <c r="B87" s="427"/>
      <c r="C87" s="427"/>
      <c r="D87" s="427"/>
      <c r="E87" s="427"/>
      <c r="F87" s="427"/>
      <c r="G87" s="427"/>
      <c r="H87" s="427"/>
      <c r="I87" s="427"/>
      <c r="J87" s="427"/>
      <c r="K87" s="427"/>
      <c r="L87" s="395"/>
    </row>
    <row r="88" spans="1:12">
      <c r="A88" s="395"/>
      <c r="B88" s="802" t="s">
        <v>708</v>
      </c>
      <c r="C88" s="802"/>
      <c r="D88" s="802"/>
      <c r="E88" s="802"/>
      <c r="F88" s="802"/>
      <c r="G88" s="802"/>
      <c r="H88" s="802"/>
      <c r="I88" s="802"/>
      <c r="J88" s="802"/>
      <c r="K88" s="802"/>
      <c r="L88" s="395"/>
    </row>
    <row r="89" spans="1:12">
      <c r="A89" s="395"/>
      <c r="B89" s="599"/>
      <c r="C89" s="599"/>
      <c r="D89" s="599"/>
      <c r="E89" s="599"/>
      <c r="F89" s="599"/>
      <c r="G89" s="599"/>
      <c r="H89" s="599"/>
      <c r="I89" s="599"/>
      <c r="J89" s="599"/>
      <c r="K89" s="599"/>
      <c r="L89" s="395"/>
    </row>
    <row r="90" spans="1:12" ht="45" customHeight="1">
      <c r="A90" s="395"/>
      <c r="B90" s="803" t="s">
        <v>709</v>
      </c>
      <c r="C90" s="803"/>
      <c r="D90" s="803"/>
      <c r="E90" s="803"/>
      <c r="F90" s="803"/>
      <c r="G90" s="803"/>
      <c r="H90" s="803"/>
      <c r="I90" s="803"/>
      <c r="J90" s="803"/>
      <c r="K90" s="803"/>
      <c r="L90" s="395"/>
    </row>
    <row r="91" spans="1:12" ht="15" customHeight="1" thickBot="1">
      <c r="A91" s="395"/>
      <c r="L91" s="395"/>
    </row>
    <row r="92" spans="1:12" ht="15" customHeight="1">
      <c r="A92" s="395"/>
      <c r="B92" s="428" t="s">
        <v>671</v>
      </c>
      <c r="C92" s="429"/>
      <c r="D92" s="429"/>
      <c r="E92" s="429"/>
      <c r="F92" s="429"/>
      <c r="G92" s="429"/>
      <c r="H92" s="429"/>
      <c r="I92" s="429"/>
      <c r="J92" s="429"/>
      <c r="K92" s="430"/>
      <c r="L92" s="395"/>
    </row>
    <row r="93" spans="1:12" ht="15" customHeight="1">
      <c r="A93" s="395"/>
      <c r="B93" s="431"/>
      <c r="C93" s="600" t="s">
        <v>677</v>
      </c>
      <c r="D93" s="600"/>
      <c r="E93" s="600"/>
      <c r="F93" s="600"/>
      <c r="G93" s="600"/>
      <c r="H93" s="600"/>
      <c r="I93" s="600"/>
      <c r="J93" s="600"/>
      <c r="K93" s="432"/>
      <c r="L93" s="395"/>
    </row>
    <row r="94" spans="1:12" ht="15" customHeight="1">
      <c r="A94" s="395"/>
      <c r="B94" s="431" t="s">
        <v>698</v>
      </c>
      <c r="C94" s="800">
        <v>312000000</v>
      </c>
      <c r="D94" s="800"/>
      <c r="E94" s="596" t="s">
        <v>676</v>
      </c>
      <c r="F94" s="596">
        <v>1000</v>
      </c>
      <c r="G94" s="596" t="s">
        <v>675</v>
      </c>
      <c r="H94" s="594">
        <f>C94/F94</f>
        <v>312000</v>
      </c>
      <c r="I94" s="600" t="s">
        <v>699</v>
      </c>
      <c r="J94" s="600"/>
      <c r="K94" s="432"/>
      <c r="L94" s="395"/>
    </row>
    <row r="95" spans="1:12" ht="15" customHeight="1">
      <c r="A95" s="395"/>
      <c r="B95" s="431"/>
      <c r="C95" s="600"/>
      <c r="D95" s="600"/>
      <c r="E95" s="596"/>
      <c r="F95" s="600"/>
      <c r="G95" s="600"/>
      <c r="H95" s="600"/>
      <c r="I95" s="600"/>
      <c r="J95" s="600"/>
      <c r="K95" s="432"/>
      <c r="L95" s="395"/>
    </row>
    <row r="96" spans="1:12" ht="15" customHeight="1">
      <c r="A96" s="395"/>
      <c r="B96" s="431"/>
      <c r="C96" s="600" t="s">
        <v>700</v>
      </c>
      <c r="D96" s="600"/>
      <c r="E96" s="596"/>
      <c r="F96" s="600" t="s">
        <v>699</v>
      </c>
      <c r="G96" s="600"/>
      <c r="H96" s="600"/>
      <c r="I96" s="600"/>
      <c r="J96" s="600"/>
      <c r="K96" s="432"/>
      <c r="L96" s="395"/>
    </row>
    <row r="97" spans="1:12" ht="15" customHeight="1">
      <c r="A97" s="395"/>
      <c r="B97" s="431" t="s">
        <v>703</v>
      </c>
      <c r="C97" s="800">
        <v>50000</v>
      </c>
      <c r="D97" s="800"/>
      <c r="E97" s="596" t="s">
        <v>676</v>
      </c>
      <c r="F97" s="594">
        <f>H94</f>
        <v>312000</v>
      </c>
      <c r="G97" s="596" t="s">
        <v>675</v>
      </c>
      <c r="H97" s="414">
        <f>C97/F97</f>
        <v>0.16025641025641027</v>
      </c>
      <c r="I97" s="600" t="s">
        <v>701</v>
      </c>
      <c r="J97" s="600"/>
      <c r="K97" s="432"/>
      <c r="L97" s="395"/>
    </row>
    <row r="98" spans="1:12" ht="15" customHeight="1">
      <c r="A98" s="395"/>
      <c r="B98" s="431"/>
      <c r="C98" s="600"/>
      <c r="D98" s="600"/>
      <c r="E98" s="596"/>
      <c r="F98" s="600"/>
      <c r="G98" s="600"/>
      <c r="H98" s="600"/>
      <c r="I98" s="600"/>
      <c r="J98" s="600"/>
      <c r="K98" s="432"/>
      <c r="L98" s="395"/>
    </row>
    <row r="99" spans="1:12" ht="15" customHeight="1">
      <c r="A99" s="395"/>
      <c r="B99" s="433"/>
      <c r="C99" s="434" t="s">
        <v>710</v>
      </c>
      <c r="D99" s="434"/>
      <c r="E99" s="598"/>
      <c r="F99" s="434"/>
      <c r="G99" s="434"/>
      <c r="H99" s="434"/>
      <c r="I99" s="434"/>
      <c r="J99" s="434"/>
      <c r="K99" s="435"/>
      <c r="L99" s="395"/>
    </row>
    <row r="100" spans="1:12" ht="15" customHeight="1">
      <c r="A100" s="395"/>
      <c r="B100" s="431" t="s">
        <v>782</v>
      </c>
      <c r="C100" s="800">
        <v>2500000</v>
      </c>
      <c r="D100" s="800"/>
      <c r="E100" s="596" t="s">
        <v>13</v>
      </c>
      <c r="F100" s="436">
        <v>0.3</v>
      </c>
      <c r="G100" s="596" t="s">
        <v>675</v>
      </c>
      <c r="H100" s="594">
        <f>C100*F100</f>
        <v>750000</v>
      </c>
      <c r="I100" s="600" t="s">
        <v>704</v>
      </c>
      <c r="J100" s="600"/>
      <c r="K100" s="432"/>
      <c r="L100" s="395"/>
    </row>
    <row r="101" spans="1:12" ht="15" customHeight="1">
      <c r="A101" s="395"/>
      <c r="B101" s="431"/>
      <c r="C101" s="600"/>
      <c r="D101" s="600"/>
      <c r="E101" s="596"/>
      <c r="F101" s="600"/>
      <c r="G101" s="600"/>
      <c r="H101" s="600"/>
      <c r="I101" s="600"/>
      <c r="J101" s="600"/>
      <c r="K101" s="432"/>
      <c r="L101" s="395"/>
    </row>
    <row r="102" spans="1:12" ht="15" customHeight="1">
      <c r="A102" s="395"/>
      <c r="B102" s="433"/>
      <c r="C102" s="434" t="s">
        <v>705</v>
      </c>
      <c r="D102" s="434"/>
      <c r="E102" s="598"/>
      <c r="F102" s="434" t="s">
        <v>701</v>
      </c>
      <c r="G102" s="434"/>
      <c r="H102" s="434"/>
      <c r="I102" s="434"/>
      <c r="J102" s="434" t="s">
        <v>706</v>
      </c>
      <c r="K102" s="435"/>
      <c r="L102" s="395"/>
    </row>
    <row r="103" spans="1:12" ht="15" customHeight="1">
      <c r="A103" s="395"/>
      <c r="B103" s="431" t="s">
        <v>783</v>
      </c>
      <c r="C103" s="804">
        <f>H100</f>
        <v>750000</v>
      </c>
      <c r="D103" s="804"/>
      <c r="E103" s="596" t="s">
        <v>13</v>
      </c>
      <c r="F103" s="414">
        <f>H97</f>
        <v>0.16025641025641027</v>
      </c>
      <c r="G103" s="596" t="s">
        <v>676</v>
      </c>
      <c r="H103" s="596">
        <v>1000</v>
      </c>
      <c r="I103" s="596" t="s">
        <v>675</v>
      </c>
      <c r="J103" s="595">
        <f>C103*F103/H103</f>
        <v>120.19230769230771</v>
      </c>
      <c r="K103" s="432"/>
      <c r="L103" s="395"/>
    </row>
    <row r="104" spans="1:12" ht="15" customHeight="1" thickBot="1">
      <c r="A104" s="395"/>
      <c r="B104" s="437"/>
      <c r="C104" s="423"/>
      <c r="D104" s="423"/>
      <c r="E104" s="424"/>
      <c r="F104" s="425"/>
      <c r="G104" s="424"/>
      <c r="H104" s="424"/>
      <c r="I104" s="424"/>
      <c r="J104" s="426"/>
      <c r="K104" s="601"/>
      <c r="L104" s="395"/>
    </row>
    <row r="105" spans="1:12" ht="40.5" customHeight="1">
      <c r="A105" s="395"/>
      <c r="B105" s="801" t="s">
        <v>667</v>
      </c>
      <c r="C105" s="806"/>
      <c r="D105" s="806"/>
      <c r="E105" s="806"/>
      <c r="F105" s="806"/>
      <c r="G105" s="806"/>
      <c r="H105" s="806"/>
      <c r="I105" s="806"/>
      <c r="J105" s="806"/>
      <c r="K105" s="806"/>
      <c r="L105" s="395"/>
    </row>
    <row r="106" spans="1:12" ht="15" customHeight="1">
      <c r="A106" s="395"/>
      <c r="B106" s="815" t="s">
        <v>711</v>
      </c>
      <c r="C106" s="816"/>
      <c r="D106" s="816"/>
      <c r="E106" s="816"/>
      <c r="F106" s="816"/>
      <c r="G106" s="816"/>
      <c r="H106" s="816"/>
      <c r="I106" s="816"/>
      <c r="J106" s="816"/>
      <c r="K106" s="816"/>
      <c r="L106" s="395"/>
    </row>
    <row r="107" spans="1:12" ht="15" customHeight="1">
      <c r="A107" s="395"/>
      <c r="B107" s="600"/>
      <c r="C107" s="438"/>
      <c r="D107" s="438"/>
      <c r="E107" s="596"/>
      <c r="F107" s="414"/>
      <c r="G107" s="596"/>
      <c r="H107" s="596"/>
      <c r="I107" s="596"/>
      <c r="J107" s="595"/>
      <c r="K107" s="600"/>
      <c r="L107" s="395"/>
    </row>
    <row r="108" spans="1:12" ht="15" customHeight="1">
      <c r="A108" s="395"/>
      <c r="B108" s="815" t="s">
        <v>712</v>
      </c>
      <c r="C108" s="817"/>
      <c r="D108" s="817"/>
      <c r="E108" s="817"/>
      <c r="F108" s="817"/>
      <c r="G108" s="817"/>
      <c r="H108" s="817"/>
      <c r="I108" s="817"/>
      <c r="J108" s="817"/>
      <c r="K108" s="817"/>
      <c r="L108" s="395"/>
    </row>
    <row r="109" spans="1:12" ht="15" customHeight="1">
      <c r="A109" s="395"/>
      <c r="B109" s="600"/>
      <c r="C109" s="438"/>
      <c r="D109" s="438"/>
      <c r="E109" s="596"/>
      <c r="F109" s="414"/>
      <c r="G109" s="596"/>
      <c r="H109" s="596"/>
      <c r="I109" s="596"/>
      <c r="J109" s="595"/>
      <c r="K109" s="600"/>
      <c r="L109" s="395"/>
    </row>
    <row r="110" spans="1:12" ht="59.25" customHeight="1">
      <c r="A110" s="395"/>
      <c r="B110" s="814" t="s">
        <v>713</v>
      </c>
      <c r="C110" s="807"/>
      <c r="D110" s="807"/>
      <c r="E110" s="807"/>
      <c r="F110" s="807"/>
      <c r="G110" s="807"/>
      <c r="H110" s="807"/>
      <c r="I110" s="807"/>
      <c r="J110" s="807"/>
      <c r="K110" s="807"/>
      <c r="L110" s="395"/>
    </row>
    <row r="111" spans="1:12" ht="15" thickBot="1">
      <c r="A111" s="395"/>
      <c r="B111" s="602"/>
      <c r="C111" s="602"/>
      <c r="D111" s="602"/>
      <c r="E111" s="602"/>
      <c r="F111" s="602"/>
      <c r="G111" s="602"/>
      <c r="H111" s="602"/>
      <c r="I111" s="602"/>
      <c r="J111" s="602"/>
      <c r="K111" s="602"/>
      <c r="L111" s="439"/>
    </row>
    <row r="112" spans="1:12">
      <c r="A112" s="395"/>
      <c r="B112" s="400" t="s">
        <v>671</v>
      </c>
      <c r="C112" s="401"/>
      <c r="D112" s="401"/>
      <c r="E112" s="401"/>
      <c r="F112" s="401"/>
      <c r="G112" s="401"/>
      <c r="H112" s="401"/>
      <c r="I112" s="401"/>
      <c r="J112" s="401"/>
      <c r="K112" s="402"/>
      <c r="L112" s="395"/>
    </row>
    <row r="113" spans="1:12">
      <c r="A113" s="395"/>
      <c r="B113" s="412"/>
      <c r="C113" s="404" t="s">
        <v>677</v>
      </c>
      <c r="D113" s="404"/>
      <c r="E113" s="404"/>
      <c r="F113" s="404"/>
      <c r="G113" s="404"/>
      <c r="H113" s="404"/>
      <c r="I113" s="404"/>
      <c r="J113" s="404"/>
      <c r="K113" s="406"/>
      <c r="L113" s="395"/>
    </row>
    <row r="114" spans="1:12">
      <c r="A114" s="395"/>
      <c r="B114" s="412" t="s">
        <v>698</v>
      </c>
      <c r="C114" s="800">
        <v>312000000</v>
      </c>
      <c r="D114" s="800"/>
      <c r="E114" s="596" t="s">
        <v>676</v>
      </c>
      <c r="F114" s="596">
        <v>1000</v>
      </c>
      <c r="G114" s="596" t="s">
        <v>675</v>
      </c>
      <c r="H114" s="594">
        <f>C114/F114</f>
        <v>312000</v>
      </c>
      <c r="I114" s="404" t="s">
        <v>699</v>
      </c>
      <c r="J114" s="404"/>
      <c r="K114" s="406"/>
      <c r="L114" s="395"/>
    </row>
    <row r="115" spans="1:12">
      <c r="A115" s="395"/>
      <c r="B115" s="412"/>
      <c r="C115" s="404"/>
      <c r="D115" s="404"/>
      <c r="E115" s="596"/>
      <c r="F115" s="404"/>
      <c r="G115" s="404"/>
      <c r="H115" s="404"/>
      <c r="I115" s="404"/>
      <c r="J115" s="404"/>
      <c r="K115" s="406"/>
      <c r="L115" s="395"/>
    </row>
    <row r="116" spans="1:12">
      <c r="A116" s="395"/>
      <c r="B116" s="412"/>
      <c r="C116" s="404" t="s">
        <v>700</v>
      </c>
      <c r="D116" s="404"/>
      <c r="E116" s="596"/>
      <c r="F116" s="404" t="s">
        <v>699</v>
      </c>
      <c r="G116" s="404"/>
      <c r="H116" s="404"/>
      <c r="I116" s="404"/>
      <c r="J116" s="404"/>
      <c r="K116" s="406"/>
      <c r="L116" s="395"/>
    </row>
    <row r="117" spans="1:12">
      <c r="A117" s="395"/>
      <c r="B117" s="412" t="s">
        <v>703</v>
      </c>
      <c r="C117" s="800">
        <v>50000</v>
      </c>
      <c r="D117" s="800"/>
      <c r="E117" s="596" t="s">
        <v>676</v>
      </c>
      <c r="F117" s="594">
        <f>H114</f>
        <v>312000</v>
      </c>
      <c r="G117" s="596" t="s">
        <v>675</v>
      </c>
      <c r="H117" s="414">
        <f>C117/F117</f>
        <v>0.16025641025641027</v>
      </c>
      <c r="I117" s="404" t="s">
        <v>701</v>
      </c>
      <c r="J117" s="404"/>
      <c r="K117" s="406"/>
      <c r="L117" s="395"/>
    </row>
    <row r="118" spans="1:12">
      <c r="A118" s="395"/>
      <c r="B118" s="412"/>
      <c r="C118" s="404"/>
      <c r="D118" s="404"/>
      <c r="E118" s="596"/>
      <c r="F118" s="404"/>
      <c r="G118" s="404"/>
      <c r="H118" s="404"/>
      <c r="I118" s="404"/>
      <c r="J118" s="404"/>
      <c r="K118" s="406"/>
      <c r="L118" s="395"/>
    </row>
    <row r="119" spans="1:12">
      <c r="A119" s="395"/>
      <c r="B119" s="420"/>
      <c r="C119" s="421" t="s">
        <v>710</v>
      </c>
      <c r="D119" s="421"/>
      <c r="E119" s="598"/>
      <c r="F119" s="421"/>
      <c r="G119" s="421"/>
      <c r="H119" s="421"/>
      <c r="I119" s="421"/>
      <c r="J119" s="421"/>
      <c r="K119" s="422"/>
      <c r="L119" s="395"/>
    </row>
    <row r="120" spans="1:12">
      <c r="A120" s="395"/>
      <c r="B120" s="412" t="s">
        <v>782</v>
      </c>
      <c r="C120" s="800">
        <v>2500000</v>
      </c>
      <c r="D120" s="800"/>
      <c r="E120" s="596" t="s">
        <v>13</v>
      </c>
      <c r="F120" s="436">
        <v>0.25</v>
      </c>
      <c r="G120" s="596" t="s">
        <v>675</v>
      </c>
      <c r="H120" s="594">
        <f>C120*F120</f>
        <v>625000</v>
      </c>
      <c r="I120" s="404" t="s">
        <v>704</v>
      </c>
      <c r="J120" s="404"/>
      <c r="K120" s="406"/>
      <c r="L120" s="395"/>
    </row>
    <row r="121" spans="1:12">
      <c r="A121" s="395"/>
      <c r="B121" s="412"/>
      <c r="C121" s="404"/>
      <c r="D121" s="404"/>
      <c r="E121" s="596"/>
      <c r="F121" s="404"/>
      <c r="G121" s="404"/>
      <c r="H121" s="404"/>
      <c r="I121" s="404"/>
      <c r="J121" s="404"/>
      <c r="K121" s="406"/>
      <c r="L121" s="395"/>
    </row>
    <row r="122" spans="1:12">
      <c r="A122" s="395"/>
      <c r="B122" s="420"/>
      <c r="C122" s="421" t="s">
        <v>705</v>
      </c>
      <c r="D122" s="421"/>
      <c r="E122" s="598"/>
      <c r="F122" s="421" t="s">
        <v>701</v>
      </c>
      <c r="G122" s="421"/>
      <c r="H122" s="421"/>
      <c r="I122" s="421"/>
      <c r="J122" s="421" t="s">
        <v>706</v>
      </c>
      <c r="K122" s="422"/>
      <c r="L122" s="395"/>
    </row>
    <row r="123" spans="1:12">
      <c r="A123" s="395"/>
      <c r="B123" s="412" t="s">
        <v>783</v>
      </c>
      <c r="C123" s="804">
        <f>H120</f>
        <v>625000</v>
      </c>
      <c r="D123" s="804"/>
      <c r="E123" s="596" t="s">
        <v>13</v>
      </c>
      <c r="F123" s="414">
        <f>H117</f>
        <v>0.16025641025641027</v>
      </c>
      <c r="G123" s="596" t="s">
        <v>676</v>
      </c>
      <c r="H123" s="596">
        <v>1000</v>
      </c>
      <c r="I123" s="596" t="s">
        <v>675</v>
      </c>
      <c r="J123" s="595">
        <f>C123*F123/H123</f>
        <v>100.16025641025642</v>
      </c>
      <c r="K123" s="406"/>
      <c r="L123" s="395"/>
    </row>
    <row r="124" spans="1:12" ht="15" thickBot="1">
      <c r="A124" s="395"/>
      <c r="B124" s="407"/>
      <c r="C124" s="423"/>
      <c r="D124" s="423"/>
      <c r="E124" s="424"/>
      <c r="F124" s="425"/>
      <c r="G124" s="424"/>
      <c r="H124" s="424"/>
      <c r="I124" s="424"/>
      <c r="J124" s="426"/>
      <c r="K124" s="409"/>
      <c r="L124" s="395"/>
    </row>
    <row r="125" spans="1:12" ht="40.5" customHeight="1">
      <c r="A125" s="395"/>
      <c r="B125" s="801" t="s">
        <v>667</v>
      </c>
      <c r="C125" s="801"/>
      <c r="D125" s="801"/>
      <c r="E125" s="801"/>
      <c r="F125" s="801"/>
      <c r="G125" s="801"/>
      <c r="H125" s="801"/>
      <c r="I125" s="801"/>
      <c r="J125" s="801"/>
      <c r="K125" s="801"/>
      <c r="L125" s="439"/>
    </row>
    <row r="126" spans="1:12">
      <c r="A126" s="395"/>
      <c r="B126" s="802" t="s">
        <v>714</v>
      </c>
      <c r="C126" s="802"/>
      <c r="D126" s="802"/>
      <c r="E126" s="802"/>
      <c r="F126" s="802"/>
      <c r="G126" s="802"/>
      <c r="H126" s="802"/>
      <c r="I126" s="802"/>
      <c r="J126" s="802"/>
      <c r="K126" s="802"/>
      <c r="L126" s="439"/>
    </row>
    <row r="127" spans="1:12">
      <c r="A127" s="395"/>
      <c r="B127" s="602"/>
      <c r="C127" s="602"/>
      <c r="D127" s="602"/>
      <c r="E127" s="602"/>
      <c r="F127" s="602"/>
      <c r="G127" s="602"/>
      <c r="H127" s="602"/>
      <c r="I127" s="602"/>
      <c r="J127" s="602"/>
      <c r="K127" s="602"/>
      <c r="L127" s="439"/>
    </row>
    <row r="128" spans="1:12">
      <c r="A128" s="395"/>
      <c r="B128" s="802" t="s">
        <v>715</v>
      </c>
      <c r="C128" s="802"/>
      <c r="D128" s="802"/>
      <c r="E128" s="802"/>
      <c r="F128" s="802"/>
      <c r="G128" s="802"/>
      <c r="H128" s="802"/>
      <c r="I128" s="802"/>
      <c r="J128" s="802"/>
      <c r="K128" s="802"/>
      <c r="L128" s="439"/>
    </row>
    <row r="129" spans="1:12">
      <c r="A129" s="395"/>
      <c r="B129" s="599"/>
      <c r="C129" s="599"/>
      <c r="D129" s="599"/>
      <c r="E129" s="599"/>
      <c r="F129" s="599"/>
      <c r="G129" s="599"/>
      <c r="H129" s="599"/>
      <c r="I129" s="599"/>
      <c r="J129" s="599"/>
      <c r="K129" s="599"/>
      <c r="L129" s="439"/>
    </row>
    <row r="130" spans="1:12" ht="74.25" customHeight="1">
      <c r="A130" s="395"/>
      <c r="B130" s="803" t="s">
        <v>784</v>
      </c>
      <c r="C130" s="803"/>
      <c r="D130" s="803"/>
      <c r="E130" s="803"/>
      <c r="F130" s="803"/>
      <c r="G130" s="803"/>
      <c r="H130" s="803"/>
      <c r="I130" s="803"/>
      <c r="J130" s="803"/>
      <c r="K130" s="803"/>
      <c r="L130" s="439"/>
    </row>
    <row r="131" spans="1:12" ht="15" thickBot="1">
      <c r="A131" s="395"/>
      <c r="L131" s="395"/>
    </row>
    <row r="132" spans="1:12">
      <c r="A132" s="395"/>
      <c r="B132" s="400" t="s">
        <v>671</v>
      </c>
      <c r="C132" s="401"/>
      <c r="D132" s="401"/>
      <c r="E132" s="401"/>
      <c r="F132" s="401"/>
      <c r="G132" s="401"/>
      <c r="H132" s="401"/>
      <c r="I132" s="401"/>
      <c r="J132" s="401"/>
      <c r="K132" s="402"/>
      <c r="L132" s="395"/>
    </row>
    <row r="133" spans="1:12">
      <c r="A133" s="395"/>
      <c r="B133" s="412"/>
      <c r="C133" s="805" t="s">
        <v>716</v>
      </c>
      <c r="D133" s="805"/>
      <c r="E133" s="404"/>
      <c r="F133" s="596" t="s">
        <v>717</v>
      </c>
      <c r="G133" s="404"/>
      <c r="H133" s="805" t="s">
        <v>704</v>
      </c>
      <c r="I133" s="805"/>
      <c r="J133" s="404"/>
      <c r="K133" s="406"/>
      <c r="L133" s="395"/>
    </row>
    <row r="134" spans="1:12">
      <c r="A134" s="395"/>
      <c r="B134" s="412" t="s">
        <v>698</v>
      </c>
      <c r="C134" s="800">
        <v>100000</v>
      </c>
      <c r="D134" s="800"/>
      <c r="E134" s="596" t="s">
        <v>13</v>
      </c>
      <c r="F134" s="596">
        <v>0.115</v>
      </c>
      <c r="G134" s="596" t="s">
        <v>675</v>
      </c>
      <c r="H134" s="794">
        <f>C134*F134</f>
        <v>11500</v>
      </c>
      <c r="I134" s="794"/>
      <c r="J134" s="404"/>
      <c r="K134" s="406"/>
      <c r="L134" s="395"/>
    </row>
    <row r="135" spans="1:12">
      <c r="A135" s="395"/>
      <c r="B135" s="412"/>
      <c r="C135" s="404"/>
      <c r="D135" s="404"/>
      <c r="E135" s="404"/>
      <c r="F135" s="404"/>
      <c r="G135" s="404"/>
      <c r="H135" s="404"/>
      <c r="I135" s="404"/>
      <c r="J135" s="404"/>
      <c r="K135" s="406"/>
      <c r="L135" s="395"/>
    </row>
    <row r="136" spans="1:12">
      <c r="A136" s="395"/>
      <c r="B136" s="420"/>
      <c r="C136" s="799" t="s">
        <v>704</v>
      </c>
      <c r="D136" s="799"/>
      <c r="E136" s="421"/>
      <c r="F136" s="598" t="s">
        <v>718</v>
      </c>
      <c r="G136" s="598"/>
      <c r="H136" s="421"/>
      <c r="I136" s="421"/>
      <c r="J136" s="421" t="s">
        <v>719</v>
      </c>
      <c r="K136" s="422"/>
      <c r="L136" s="395"/>
    </row>
    <row r="137" spans="1:12">
      <c r="A137" s="395"/>
      <c r="B137" s="412" t="s">
        <v>703</v>
      </c>
      <c r="C137" s="794">
        <f>H134</f>
        <v>11500</v>
      </c>
      <c r="D137" s="794"/>
      <c r="E137" s="596" t="s">
        <v>13</v>
      </c>
      <c r="F137" s="440">
        <v>52.869</v>
      </c>
      <c r="G137" s="596" t="s">
        <v>676</v>
      </c>
      <c r="H137" s="596">
        <v>1000</v>
      </c>
      <c r="I137" s="596" t="s">
        <v>675</v>
      </c>
      <c r="J137" s="441">
        <f>C137*F137/H137</f>
        <v>607.99350000000004</v>
      </c>
      <c r="K137" s="406"/>
      <c r="L137" s="395"/>
    </row>
    <row r="138" spans="1:12" ht="15" thickBot="1">
      <c r="A138" s="395"/>
      <c r="B138" s="407"/>
      <c r="C138" s="502"/>
      <c r="D138" s="502"/>
      <c r="E138" s="424"/>
      <c r="F138" s="503"/>
      <c r="G138" s="424"/>
      <c r="H138" s="424"/>
      <c r="I138" s="424"/>
      <c r="J138" s="504"/>
      <c r="K138" s="409"/>
      <c r="L138" s="395"/>
    </row>
    <row r="139" spans="1:12" ht="40.5" customHeight="1">
      <c r="A139" s="395"/>
      <c r="B139" s="489" t="s">
        <v>667</v>
      </c>
      <c r="C139" s="490"/>
      <c r="D139" s="490"/>
      <c r="E139" s="491"/>
      <c r="F139" s="492"/>
      <c r="G139" s="491"/>
      <c r="H139" s="491"/>
      <c r="I139" s="491"/>
      <c r="J139" s="493"/>
      <c r="K139" s="494"/>
      <c r="L139" s="395"/>
    </row>
    <row r="140" spans="1:12">
      <c r="A140" s="395"/>
      <c r="B140" s="495" t="s">
        <v>785</v>
      </c>
      <c r="C140" s="496"/>
      <c r="D140" s="496"/>
      <c r="E140" s="497"/>
      <c r="F140" s="498"/>
      <c r="G140" s="497"/>
      <c r="H140" s="497"/>
      <c r="I140" s="497"/>
      <c r="J140" s="499"/>
      <c r="K140" s="500"/>
      <c r="L140" s="395"/>
    </row>
    <row r="141" spans="1:12">
      <c r="A141" s="395"/>
      <c r="B141" s="412"/>
      <c r="C141" s="594"/>
      <c r="D141" s="594"/>
      <c r="E141" s="596"/>
      <c r="F141" s="505"/>
      <c r="G141" s="596"/>
      <c r="H141" s="596"/>
      <c r="I141" s="596"/>
      <c r="J141" s="441"/>
      <c r="K141" s="406"/>
      <c r="L141" s="395"/>
    </row>
    <row r="142" spans="1:12">
      <c r="A142" s="395"/>
      <c r="B142" s="495" t="s">
        <v>786</v>
      </c>
      <c r="C142" s="496"/>
      <c r="D142" s="496"/>
      <c r="E142" s="497"/>
      <c r="F142" s="498"/>
      <c r="G142" s="497"/>
      <c r="H142" s="497"/>
      <c r="I142" s="497"/>
      <c r="J142" s="499"/>
      <c r="K142" s="500"/>
      <c r="L142" s="395"/>
    </row>
    <row r="143" spans="1:12">
      <c r="A143" s="395"/>
      <c r="B143" s="412"/>
      <c r="C143" s="594"/>
      <c r="D143" s="594"/>
      <c r="E143" s="596"/>
      <c r="F143" s="505"/>
      <c r="G143" s="596"/>
      <c r="H143" s="596"/>
      <c r="I143" s="596"/>
      <c r="J143" s="441"/>
      <c r="K143" s="406"/>
      <c r="L143" s="395"/>
    </row>
    <row r="144" spans="1:12" ht="76.5" customHeight="1">
      <c r="A144" s="395"/>
      <c r="B144" s="791" t="s">
        <v>787</v>
      </c>
      <c r="C144" s="792"/>
      <c r="D144" s="792"/>
      <c r="E144" s="792"/>
      <c r="F144" s="792"/>
      <c r="G144" s="792"/>
      <c r="H144" s="792"/>
      <c r="I144" s="792"/>
      <c r="J144" s="792"/>
      <c r="K144" s="793"/>
      <c r="L144" s="395"/>
    </row>
    <row r="145" spans="1:12" ht="15" thickBot="1">
      <c r="A145" s="395"/>
      <c r="B145" s="412"/>
      <c r="C145" s="594"/>
      <c r="D145" s="594"/>
      <c r="E145" s="596"/>
      <c r="F145" s="505"/>
      <c r="G145" s="596"/>
      <c r="H145" s="596"/>
      <c r="I145" s="596"/>
      <c r="J145" s="441"/>
      <c r="K145" s="406"/>
      <c r="L145" s="395"/>
    </row>
    <row r="146" spans="1:12">
      <c r="A146" s="395"/>
      <c r="B146" s="400" t="s">
        <v>671</v>
      </c>
      <c r="C146" s="506"/>
      <c r="D146" s="506"/>
      <c r="E146" s="507"/>
      <c r="F146" s="508"/>
      <c r="G146" s="507"/>
      <c r="H146" s="507"/>
      <c r="I146" s="507"/>
      <c r="J146" s="509"/>
      <c r="K146" s="402"/>
      <c r="L146" s="395"/>
    </row>
    <row r="147" spans="1:12">
      <c r="A147" s="395"/>
      <c r="B147" s="412"/>
      <c r="C147" s="794" t="s">
        <v>788</v>
      </c>
      <c r="D147" s="794"/>
      <c r="E147" s="596"/>
      <c r="F147" s="505" t="s">
        <v>789</v>
      </c>
      <c r="G147" s="596"/>
      <c r="H147" s="596"/>
      <c r="I147" s="596"/>
      <c r="J147" s="795" t="s">
        <v>790</v>
      </c>
      <c r="K147" s="796"/>
      <c r="L147" s="395"/>
    </row>
    <row r="148" spans="1:12">
      <c r="A148" s="395"/>
      <c r="B148" s="412"/>
      <c r="C148" s="797">
        <v>52.869</v>
      </c>
      <c r="D148" s="797"/>
      <c r="E148" s="596" t="s">
        <v>13</v>
      </c>
      <c r="F148" s="597">
        <v>312000000</v>
      </c>
      <c r="G148" s="510" t="s">
        <v>676</v>
      </c>
      <c r="H148" s="596">
        <v>1000</v>
      </c>
      <c r="I148" s="596" t="s">
        <v>675</v>
      </c>
      <c r="J148" s="795">
        <f>C148*(F148/1000)</f>
        <v>16495128</v>
      </c>
      <c r="K148" s="798"/>
      <c r="L148" s="395"/>
    </row>
    <row r="149" spans="1:12" ht="15" thickBot="1">
      <c r="A149" s="395"/>
      <c r="B149" s="407"/>
      <c r="C149" s="502"/>
      <c r="D149" s="502"/>
      <c r="E149" s="424"/>
      <c r="F149" s="503"/>
      <c r="G149" s="424"/>
      <c r="H149" s="424"/>
      <c r="I149" s="424"/>
      <c r="J149" s="504"/>
      <c r="K149" s="409"/>
      <c r="L149" s="395"/>
    </row>
    <row r="150" spans="1:12" ht="15" thickBot="1">
      <c r="A150" s="395"/>
      <c r="B150" s="407"/>
      <c r="C150" s="408"/>
      <c r="D150" s="408"/>
      <c r="E150" s="408"/>
      <c r="F150" s="408"/>
      <c r="G150" s="408"/>
      <c r="H150" s="408"/>
      <c r="I150" s="408"/>
      <c r="J150" s="408"/>
      <c r="K150" s="409"/>
      <c r="L150" s="395"/>
    </row>
    <row r="151" spans="1:12">
      <c r="A151" s="395"/>
      <c r="B151" s="395"/>
      <c r="C151" s="395"/>
      <c r="D151" s="395"/>
      <c r="E151" s="395"/>
      <c r="F151" s="395"/>
      <c r="G151" s="395"/>
      <c r="H151" s="395"/>
      <c r="I151" s="395"/>
      <c r="J151" s="395"/>
      <c r="K151" s="395"/>
      <c r="L151" s="395"/>
    </row>
    <row r="152" spans="1:12">
      <c r="A152" s="395"/>
      <c r="B152" s="395"/>
      <c r="C152" s="395"/>
      <c r="D152" s="395"/>
      <c r="E152" s="395"/>
      <c r="F152" s="395"/>
      <c r="G152" s="395"/>
      <c r="H152" s="395"/>
      <c r="I152" s="395"/>
      <c r="J152" s="395"/>
      <c r="K152" s="395"/>
      <c r="L152" s="395"/>
    </row>
    <row r="153" spans="1:12">
      <c r="A153" s="395"/>
      <c r="B153" s="395"/>
      <c r="C153" s="395"/>
      <c r="D153" s="395"/>
      <c r="E153" s="395"/>
      <c r="F153" s="395"/>
      <c r="G153" s="395"/>
      <c r="H153" s="395"/>
      <c r="I153" s="395"/>
      <c r="J153" s="395"/>
      <c r="K153" s="395"/>
      <c r="L153" s="395"/>
    </row>
    <row r="154" spans="1:12">
      <c r="A154" s="442"/>
      <c r="B154" s="442"/>
      <c r="C154" s="442"/>
      <c r="D154" s="442"/>
      <c r="E154" s="442"/>
      <c r="F154" s="442"/>
      <c r="G154" s="442"/>
      <c r="H154" s="442"/>
      <c r="I154" s="442"/>
      <c r="J154" s="442"/>
      <c r="K154" s="442"/>
      <c r="L154" s="442"/>
    </row>
    <row r="155" spans="1:12">
      <c r="A155" s="442"/>
      <c r="B155" s="442"/>
      <c r="C155" s="442"/>
      <c r="D155" s="442"/>
      <c r="E155" s="442"/>
      <c r="F155" s="442"/>
      <c r="G155" s="442"/>
      <c r="H155" s="442"/>
      <c r="I155" s="442"/>
      <c r="J155" s="442"/>
      <c r="K155" s="442"/>
      <c r="L155" s="442"/>
    </row>
    <row r="156" spans="1:12">
      <c r="A156" s="442"/>
      <c r="B156" s="442"/>
      <c r="C156" s="442"/>
      <c r="D156" s="442"/>
      <c r="E156" s="442"/>
      <c r="F156" s="442"/>
      <c r="G156" s="442"/>
      <c r="H156" s="442"/>
      <c r="I156" s="442"/>
      <c r="J156" s="442"/>
      <c r="K156" s="442"/>
      <c r="L156" s="442"/>
    </row>
    <row r="157" spans="1:12">
      <c r="A157" s="442"/>
      <c r="B157" s="442"/>
      <c r="C157" s="442"/>
      <c r="D157" s="442"/>
      <c r="E157" s="442"/>
      <c r="F157" s="442"/>
      <c r="G157" s="442"/>
      <c r="H157" s="442"/>
      <c r="I157" s="442"/>
      <c r="J157" s="442"/>
      <c r="K157" s="442"/>
      <c r="L157" s="442"/>
    </row>
    <row r="158" spans="1:12">
      <c r="A158" s="442"/>
      <c r="B158" s="442"/>
      <c r="C158" s="442"/>
      <c r="D158" s="442"/>
      <c r="E158" s="442"/>
      <c r="F158" s="442"/>
      <c r="G158" s="442"/>
      <c r="H158" s="442"/>
      <c r="I158" s="442"/>
      <c r="J158" s="442"/>
      <c r="K158" s="442"/>
      <c r="L158" s="442"/>
    </row>
    <row r="159" spans="1:12">
      <c r="A159" s="442"/>
      <c r="B159" s="442"/>
      <c r="C159" s="442"/>
      <c r="D159" s="442"/>
      <c r="E159" s="442"/>
      <c r="F159" s="442"/>
      <c r="G159" s="442"/>
      <c r="H159" s="442"/>
      <c r="I159" s="442"/>
      <c r="J159" s="442"/>
      <c r="K159" s="442"/>
      <c r="L159" s="442"/>
    </row>
    <row r="160" spans="1:12">
      <c r="A160" s="442"/>
      <c r="B160" s="442"/>
      <c r="C160" s="442"/>
      <c r="D160" s="442"/>
      <c r="E160" s="442"/>
      <c r="F160" s="442"/>
      <c r="G160" s="442"/>
      <c r="H160" s="442"/>
      <c r="I160" s="442"/>
      <c r="J160" s="442"/>
      <c r="K160" s="442"/>
      <c r="L160" s="442"/>
    </row>
    <row r="161" spans="1:12">
      <c r="A161" s="442"/>
      <c r="B161" s="442"/>
      <c r="C161" s="442"/>
      <c r="D161" s="442"/>
      <c r="E161" s="442"/>
      <c r="F161" s="442"/>
      <c r="G161" s="442"/>
      <c r="H161" s="442"/>
      <c r="I161" s="442"/>
      <c r="J161" s="442"/>
      <c r="K161" s="442"/>
      <c r="L161" s="442"/>
    </row>
    <row r="162" spans="1:12">
      <c r="A162" s="442"/>
      <c r="B162" s="442"/>
      <c r="C162" s="442"/>
      <c r="D162" s="442"/>
      <c r="E162" s="442"/>
      <c r="F162" s="442"/>
      <c r="G162" s="442"/>
      <c r="H162" s="442"/>
      <c r="I162" s="442"/>
      <c r="J162" s="442"/>
      <c r="K162" s="442"/>
      <c r="L162" s="442"/>
    </row>
    <row r="163" spans="1:12">
      <c r="A163" s="442"/>
      <c r="B163" s="442"/>
      <c r="C163" s="442"/>
      <c r="D163" s="442"/>
      <c r="E163" s="442"/>
      <c r="F163" s="442"/>
      <c r="G163" s="442"/>
      <c r="H163" s="442"/>
      <c r="I163" s="442"/>
      <c r="J163" s="442"/>
      <c r="K163" s="442"/>
      <c r="L163" s="442"/>
    </row>
    <row r="164" spans="1:12">
      <c r="A164" s="442"/>
      <c r="B164" s="442"/>
      <c r="C164" s="442"/>
      <c r="D164" s="442"/>
      <c r="E164" s="442"/>
      <c r="F164" s="442"/>
      <c r="G164" s="442"/>
      <c r="H164" s="442"/>
      <c r="I164" s="442"/>
      <c r="J164" s="442"/>
      <c r="K164" s="442"/>
      <c r="L164" s="442"/>
    </row>
    <row r="165" spans="1:12">
      <c r="A165" s="442"/>
      <c r="B165" s="442"/>
      <c r="C165" s="442"/>
      <c r="D165" s="442"/>
      <c r="E165" s="442"/>
      <c r="F165" s="442"/>
      <c r="G165" s="442"/>
      <c r="H165" s="442"/>
      <c r="I165" s="442"/>
      <c r="J165" s="442"/>
      <c r="K165" s="442"/>
      <c r="L165" s="442"/>
    </row>
    <row r="166" spans="1:12">
      <c r="A166" s="442"/>
      <c r="B166" s="442"/>
      <c r="C166" s="442"/>
      <c r="D166" s="442"/>
      <c r="E166" s="442"/>
      <c r="F166" s="442"/>
      <c r="G166" s="442"/>
      <c r="H166" s="442"/>
      <c r="I166" s="442"/>
      <c r="J166" s="442"/>
      <c r="K166" s="442"/>
      <c r="L166" s="442"/>
    </row>
    <row r="167" spans="1:12">
      <c r="A167" s="442"/>
      <c r="B167" s="442"/>
      <c r="C167" s="442"/>
      <c r="D167" s="442"/>
      <c r="E167" s="442"/>
      <c r="F167" s="442"/>
      <c r="G167" s="442"/>
      <c r="H167" s="442"/>
      <c r="I167" s="442"/>
      <c r="J167" s="442"/>
      <c r="K167" s="442"/>
      <c r="L167" s="442"/>
    </row>
    <row r="168" spans="1:12">
      <c r="A168" s="442"/>
      <c r="B168" s="442"/>
      <c r="C168" s="442"/>
      <c r="D168" s="442"/>
      <c r="E168" s="442"/>
      <c r="F168" s="442"/>
      <c r="G168" s="442"/>
      <c r="H168" s="442"/>
      <c r="I168" s="442"/>
      <c r="J168" s="442"/>
      <c r="K168" s="442"/>
      <c r="L168" s="442"/>
    </row>
    <row r="169" spans="1:12">
      <c r="A169" s="442"/>
      <c r="B169" s="442"/>
      <c r="C169" s="442"/>
      <c r="D169" s="442"/>
      <c r="E169" s="442"/>
      <c r="F169" s="442"/>
      <c r="G169" s="442"/>
      <c r="H169" s="442"/>
      <c r="I169" s="442"/>
      <c r="J169" s="442"/>
      <c r="K169" s="442"/>
      <c r="L169" s="442"/>
    </row>
    <row r="170" spans="1:12">
      <c r="A170" s="442"/>
      <c r="B170" s="442"/>
      <c r="C170" s="442"/>
      <c r="D170" s="442"/>
      <c r="E170" s="442"/>
      <c r="F170" s="442"/>
      <c r="G170" s="442"/>
      <c r="H170" s="442"/>
      <c r="I170" s="442"/>
      <c r="J170" s="442"/>
      <c r="K170" s="442"/>
      <c r="L170" s="442"/>
    </row>
    <row r="171" spans="1:12">
      <c r="A171" s="442"/>
      <c r="B171" s="442"/>
      <c r="C171" s="442"/>
      <c r="D171" s="442"/>
      <c r="E171" s="442"/>
      <c r="F171" s="442"/>
      <c r="G171" s="442"/>
      <c r="H171" s="442"/>
      <c r="I171" s="442"/>
      <c r="J171" s="442"/>
      <c r="K171" s="442"/>
      <c r="L171" s="442"/>
    </row>
    <row r="172" spans="1:12">
      <c r="A172" s="442"/>
      <c r="B172" s="442"/>
      <c r="C172" s="442"/>
      <c r="D172" s="442"/>
      <c r="E172" s="442"/>
      <c r="F172" s="442"/>
      <c r="G172" s="442"/>
      <c r="H172" s="442"/>
      <c r="I172" s="442"/>
      <c r="J172" s="442"/>
      <c r="K172" s="442"/>
      <c r="L172" s="442"/>
    </row>
    <row r="173" spans="1:12">
      <c r="A173" s="442"/>
      <c r="B173" s="442"/>
      <c r="C173" s="442"/>
      <c r="D173" s="442"/>
      <c r="E173" s="442"/>
      <c r="F173" s="442"/>
      <c r="G173" s="442"/>
      <c r="H173" s="442"/>
      <c r="I173" s="442"/>
      <c r="J173" s="442"/>
      <c r="K173" s="442"/>
      <c r="L173" s="442"/>
    </row>
    <row r="174" spans="1:12">
      <c r="A174" s="442"/>
      <c r="B174" s="442"/>
      <c r="C174" s="442"/>
      <c r="D174" s="442"/>
      <c r="E174" s="442"/>
      <c r="F174" s="442"/>
      <c r="G174" s="442"/>
      <c r="H174" s="442"/>
      <c r="I174" s="442"/>
      <c r="J174" s="442"/>
      <c r="K174" s="442"/>
      <c r="L174" s="442"/>
    </row>
    <row r="175" spans="1:12">
      <c r="A175" s="442"/>
      <c r="B175" s="442"/>
      <c r="C175" s="442"/>
      <c r="D175" s="442"/>
      <c r="E175" s="442"/>
      <c r="F175" s="442"/>
      <c r="G175" s="442"/>
      <c r="H175" s="442"/>
      <c r="I175" s="442"/>
      <c r="J175" s="442"/>
      <c r="K175" s="442"/>
      <c r="L175" s="442"/>
    </row>
    <row r="176" spans="1:12">
      <c r="A176" s="442"/>
      <c r="B176" s="442"/>
      <c r="C176" s="442"/>
      <c r="D176" s="442"/>
      <c r="E176" s="442"/>
      <c r="F176" s="442"/>
      <c r="G176" s="442"/>
      <c r="H176" s="442"/>
      <c r="I176" s="442"/>
      <c r="J176" s="442"/>
      <c r="K176" s="442"/>
      <c r="L176" s="442"/>
    </row>
    <row r="177" spans="1:12">
      <c r="A177" s="442"/>
      <c r="B177" s="442"/>
      <c r="C177" s="442"/>
      <c r="D177" s="442"/>
      <c r="E177" s="442"/>
      <c r="F177" s="442"/>
      <c r="G177" s="442"/>
      <c r="H177" s="442"/>
      <c r="I177" s="442"/>
      <c r="J177" s="442"/>
      <c r="K177" s="442"/>
      <c r="L177" s="442"/>
    </row>
    <row r="178" spans="1:12">
      <c r="A178" s="442"/>
      <c r="B178" s="442"/>
      <c r="C178" s="442"/>
      <c r="D178" s="442"/>
      <c r="E178" s="442"/>
      <c r="F178" s="442"/>
      <c r="G178" s="442"/>
      <c r="H178" s="442"/>
      <c r="I178" s="442"/>
      <c r="J178" s="442"/>
      <c r="K178" s="442"/>
      <c r="L178" s="442"/>
    </row>
    <row r="179" spans="1:12">
      <c r="A179" s="442"/>
      <c r="B179" s="442"/>
      <c r="C179" s="442"/>
      <c r="D179" s="442"/>
      <c r="E179" s="442"/>
      <c r="F179" s="442"/>
      <c r="G179" s="442"/>
      <c r="H179" s="442"/>
      <c r="I179" s="442"/>
      <c r="J179" s="442"/>
      <c r="K179" s="442"/>
      <c r="L179" s="442"/>
    </row>
    <row r="180" spans="1:12">
      <c r="A180" s="442"/>
      <c r="B180" s="442"/>
      <c r="C180" s="442"/>
      <c r="D180" s="442"/>
      <c r="E180" s="442"/>
      <c r="F180" s="442"/>
      <c r="G180" s="442"/>
      <c r="H180" s="442"/>
      <c r="I180" s="442"/>
      <c r="J180" s="442"/>
      <c r="K180" s="442"/>
      <c r="L180" s="442"/>
    </row>
    <row r="181" spans="1:12">
      <c r="A181" s="442"/>
      <c r="B181" s="442"/>
      <c r="C181" s="442"/>
      <c r="D181" s="442"/>
      <c r="E181" s="442"/>
      <c r="F181" s="442"/>
      <c r="G181" s="442"/>
      <c r="H181" s="442"/>
      <c r="I181" s="442"/>
      <c r="J181" s="442"/>
      <c r="K181" s="442"/>
      <c r="L181" s="442"/>
    </row>
    <row r="182" spans="1:12">
      <c r="A182" s="442"/>
      <c r="B182" s="442"/>
      <c r="C182" s="442"/>
      <c r="D182" s="442"/>
      <c r="E182" s="442"/>
      <c r="F182" s="442"/>
      <c r="G182" s="442"/>
      <c r="H182" s="442"/>
      <c r="I182" s="442"/>
      <c r="J182" s="442"/>
      <c r="K182" s="442"/>
      <c r="L182" s="442"/>
    </row>
    <row r="183" spans="1:12">
      <c r="A183" s="442"/>
      <c r="B183" s="442"/>
      <c r="C183" s="442"/>
      <c r="D183" s="442"/>
      <c r="E183" s="442"/>
      <c r="F183" s="442"/>
      <c r="G183" s="442"/>
      <c r="H183" s="442"/>
      <c r="I183" s="442"/>
      <c r="J183" s="442"/>
      <c r="K183" s="442"/>
      <c r="L183" s="442"/>
    </row>
    <row r="184" spans="1:12">
      <c r="A184" s="442"/>
      <c r="B184" s="442"/>
      <c r="C184" s="442"/>
      <c r="D184" s="442"/>
      <c r="E184" s="442"/>
      <c r="F184" s="442"/>
      <c r="G184" s="442"/>
      <c r="H184" s="442"/>
      <c r="I184" s="442"/>
      <c r="J184" s="442"/>
      <c r="K184" s="442"/>
      <c r="L184" s="442"/>
    </row>
    <row r="185" spans="1:12">
      <c r="A185" s="442"/>
      <c r="B185" s="442"/>
      <c r="C185" s="442"/>
      <c r="D185" s="442"/>
      <c r="E185" s="442"/>
      <c r="F185" s="442"/>
      <c r="G185" s="442"/>
      <c r="H185" s="442"/>
      <c r="I185" s="442"/>
      <c r="J185" s="442"/>
      <c r="K185" s="442"/>
      <c r="L185" s="442"/>
    </row>
    <row r="186" spans="1:12">
      <c r="A186" s="442"/>
      <c r="B186" s="442"/>
      <c r="C186" s="442"/>
      <c r="D186" s="442"/>
      <c r="E186" s="442"/>
      <c r="F186" s="442"/>
      <c r="G186" s="442"/>
      <c r="H186" s="442"/>
      <c r="I186" s="442"/>
      <c r="J186" s="442"/>
      <c r="K186" s="442"/>
      <c r="L186" s="442"/>
    </row>
    <row r="187" spans="1:12">
      <c r="A187" s="442"/>
      <c r="B187" s="442"/>
      <c r="C187" s="442"/>
      <c r="D187" s="442"/>
      <c r="E187" s="442"/>
      <c r="F187" s="442"/>
      <c r="G187" s="442"/>
      <c r="H187" s="442"/>
      <c r="I187" s="442"/>
      <c r="J187" s="442"/>
      <c r="K187" s="442"/>
      <c r="L187" s="442"/>
    </row>
    <row r="188" spans="1:12">
      <c r="A188" s="442"/>
      <c r="B188" s="442"/>
      <c r="C188" s="442"/>
      <c r="D188" s="442"/>
      <c r="E188" s="442"/>
      <c r="F188" s="442"/>
      <c r="G188" s="442"/>
      <c r="H188" s="442"/>
      <c r="I188" s="442"/>
      <c r="J188" s="442"/>
      <c r="K188" s="442"/>
      <c r="L188" s="442"/>
    </row>
    <row r="189" spans="1:12">
      <c r="A189" s="442"/>
      <c r="B189" s="442"/>
      <c r="C189" s="442"/>
      <c r="D189" s="442"/>
      <c r="E189" s="442"/>
      <c r="F189" s="442"/>
      <c r="G189" s="442"/>
      <c r="H189" s="442"/>
      <c r="I189" s="442"/>
      <c r="J189" s="442"/>
      <c r="K189" s="442"/>
      <c r="L189" s="442"/>
    </row>
    <row r="190" spans="1:12">
      <c r="A190" s="442"/>
      <c r="B190" s="442"/>
      <c r="C190" s="442"/>
      <c r="D190" s="442"/>
      <c r="E190" s="442"/>
      <c r="F190" s="442"/>
      <c r="G190" s="442"/>
      <c r="H190" s="442"/>
      <c r="I190" s="442"/>
      <c r="J190" s="442"/>
      <c r="K190" s="442"/>
      <c r="L190" s="442"/>
    </row>
    <row r="191" spans="1:12">
      <c r="A191" s="442"/>
      <c r="B191" s="442"/>
      <c r="C191" s="442"/>
      <c r="D191" s="442"/>
      <c r="E191" s="442"/>
      <c r="F191" s="442"/>
      <c r="G191" s="442"/>
      <c r="H191" s="442"/>
      <c r="I191" s="442"/>
      <c r="J191" s="442"/>
      <c r="K191" s="442"/>
      <c r="L191" s="442"/>
    </row>
    <row r="192" spans="1:12">
      <c r="A192" s="442"/>
      <c r="B192" s="442"/>
      <c r="C192" s="442"/>
      <c r="D192" s="442"/>
      <c r="E192" s="442"/>
      <c r="F192" s="442"/>
      <c r="G192" s="442"/>
      <c r="H192" s="442"/>
      <c r="I192" s="442"/>
      <c r="J192" s="442"/>
      <c r="K192" s="442"/>
      <c r="L192" s="442"/>
    </row>
    <row r="193" spans="1:12">
      <c r="A193" s="442"/>
      <c r="B193" s="442"/>
      <c r="C193" s="442"/>
      <c r="D193" s="442"/>
      <c r="E193" s="442"/>
      <c r="F193" s="442"/>
      <c r="G193" s="442"/>
      <c r="H193" s="442"/>
      <c r="I193" s="442"/>
      <c r="J193" s="442"/>
      <c r="K193" s="442"/>
      <c r="L193" s="442"/>
    </row>
    <row r="194" spans="1:12">
      <c r="A194" s="442"/>
      <c r="B194" s="442"/>
      <c r="C194" s="442"/>
      <c r="D194" s="442"/>
      <c r="E194" s="442"/>
      <c r="F194" s="442"/>
      <c r="G194" s="442"/>
      <c r="H194" s="442"/>
      <c r="I194" s="442"/>
      <c r="J194" s="442"/>
      <c r="K194" s="442"/>
      <c r="L194" s="442"/>
    </row>
    <row r="195" spans="1:12">
      <c r="A195" s="442"/>
      <c r="B195" s="442"/>
      <c r="C195" s="442"/>
      <c r="D195" s="442"/>
      <c r="E195" s="442"/>
      <c r="F195" s="442"/>
      <c r="G195" s="442"/>
      <c r="H195" s="442"/>
      <c r="I195" s="442"/>
      <c r="J195" s="442"/>
      <c r="K195" s="442"/>
      <c r="L195" s="442"/>
    </row>
    <row r="196" spans="1:12">
      <c r="A196" s="442"/>
      <c r="B196" s="442"/>
      <c r="C196" s="442"/>
      <c r="D196" s="442"/>
      <c r="E196" s="442"/>
      <c r="F196" s="442"/>
      <c r="G196" s="442"/>
      <c r="H196" s="442"/>
      <c r="I196" s="442"/>
      <c r="J196" s="442"/>
      <c r="K196" s="442"/>
      <c r="L196" s="442"/>
    </row>
    <row r="197" spans="1:12">
      <c r="A197" s="442"/>
      <c r="B197" s="442"/>
      <c r="C197" s="442"/>
      <c r="D197" s="442"/>
      <c r="E197" s="442"/>
      <c r="F197" s="442"/>
      <c r="G197" s="442"/>
      <c r="H197" s="442"/>
      <c r="I197" s="442"/>
      <c r="J197" s="442"/>
      <c r="K197" s="442"/>
      <c r="L197" s="442"/>
    </row>
    <row r="198" spans="1:12">
      <c r="A198" s="442"/>
      <c r="B198" s="442"/>
      <c r="C198" s="442"/>
      <c r="D198" s="442"/>
      <c r="E198" s="442"/>
      <c r="F198" s="442"/>
      <c r="G198" s="442"/>
      <c r="H198" s="442"/>
      <c r="I198" s="442"/>
      <c r="J198" s="442"/>
      <c r="K198" s="442"/>
      <c r="L198" s="442"/>
    </row>
    <row r="199" spans="1:12">
      <c r="A199" s="442"/>
      <c r="B199" s="442"/>
      <c r="C199" s="442"/>
      <c r="D199" s="442"/>
      <c r="E199" s="442"/>
      <c r="F199" s="442"/>
      <c r="G199" s="442"/>
      <c r="H199" s="442"/>
      <c r="I199" s="442"/>
      <c r="J199" s="442"/>
      <c r="K199" s="442"/>
      <c r="L199" s="442"/>
    </row>
    <row r="200" spans="1:12">
      <c r="A200" s="442"/>
      <c r="B200" s="442"/>
      <c r="C200" s="442"/>
      <c r="D200" s="442"/>
      <c r="E200" s="442"/>
      <c r="F200" s="442"/>
      <c r="G200" s="442"/>
      <c r="H200" s="442"/>
      <c r="I200" s="442"/>
      <c r="J200" s="442"/>
      <c r="K200" s="442"/>
      <c r="L200" s="442"/>
    </row>
    <row r="201" spans="1:12">
      <c r="A201" s="442"/>
      <c r="B201" s="442"/>
      <c r="C201" s="442"/>
      <c r="D201" s="442"/>
      <c r="E201" s="442"/>
      <c r="F201" s="442"/>
      <c r="G201" s="442"/>
      <c r="H201" s="442"/>
      <c r="I201" s="442"/>
      <c r="J201" s="442"/>
      <c r="K201" s="442"/>
      <c r="L201" s="442"/>
    </row>
    <row r="202" spans="1:12">
      <c r="A202" s="442"/>
      <c r="B202" s="442"/>
      <c r="C202" s="442"/>
      <c r="D202" s="442"/>
      <c r="E202" s="442"/>
      <c r="F202" s="442"/>
      <c r="G202" s="442"/>
      <c r="H202" s="442"/>
      <c r="I202" s="442"/>
      <c r="J202" s="442"/>
      <c r="K202" s="442"/>
      <c r="L202" s="442"/>
    </row>
    <row r="203" spans="1:12">
      <c r="A203" s="442"/>
      <c r="B203" s="442"/>
      <c r="C203" s="442"/>
      <c r="D203" s="442"/>
      <c r="E203" s="442"/>
      <c r="F203" s="442"/>
      <c r="G203" s="442"/>
      <c r="H203" s="442"/>
      <c r="I203" s="442"/>
      <c r="J203" s="442"/>
      <c r="K203" s="442"/>
      <c r="L203" s="442"/>
    </row>
    <row r="204" spans="1:12">
      <c r="A204" s="442"/>
      <c r="B204" s="442"/>
      <c r="C204" s="442"/>
      <c r="D204" s="442"/>
      <c r="E204" s="442"/>
      <c r="F204" s="442"/>
      <c r="G204" s="442"/>
      <c r="H204" s="442"/>
      <c r="I204" s="442"/>
      <c r="J204" s="442"/>
      <c r="K204" s="442"/>
      <c r="L204" s="442"/>
    </row>
    <row r="205" spans="1:12">
      <c r="A205" s="442"/>
      <c r="B205" s="442"/>
      <c r="C205" s="442"/>
      <c r="D205" s="442"/>
      <c r="E205" s="442"/>
      <c r="F205" s="442"/>
      <c r="G205" s="442"/>
      <c r="H205" s="442"/>
      <c r="I205" s="442"/>
      <c r="J205" s="442"/>
      <c r="K205" s="442"/>
      <c r="L205" s="442"/>
    </row>
    <row r="206" spans="1:12">
      <c r="A206" s="442"/>
      <c r="B206" s="442"/>
      <c r="C206" s="442"/>
      <c r="D206" s="442"/>
      <c r="E206" s="442"/>
      <c r="F206" s="442"/>
      <c r="G206" s="442"/>
      <c r="H206" s="442"/>
      <c r="I206" s="442"/>
      <c r="J206" s="442"/>
      <c r="K206" s="442"/>
      <c r="L206" s="442"/>
    </row>
    <row r="207" spans="1:12">
      <c r="A207" s="442"/>
      <c r="B207" s="442"/>
      <c r="C207" s="442"/>
      <c r="D207" s="442"/>
      <c r="E207" s="442"/>
      <c r="F207" s="442"/>
      <c r="G207" s="442"/>
      <c r="H207" s="442"/>
      <c r="I207" s="442"/>
      <c r="J207" s="442"/>
      <c r="K207" s="442"/>
      <c r="L207" s="442"/>
    </row>
    <row r="208" spans="1:12">
      <c r="A208" s="442"/>
      <c r="B208" s="442"/>
      <c r="C208" s="442"/>
      <c r="D208" s="442"/>
      <c r="E208" s="442"/>
      <c r="F208" s="442"/>
      <c r="G208" s="442"/>
      <c r="H208" s="442"/>
      <c r="I208" s="442"/>
      <c r="J208" s="442"/>
      <c r="K208" s="442"/>
      <c r="L208" s="442"/>
    </row>
    <row r="209" spans="1:12">
      <c r="A209" s="442"/>
      <c r="B209" s="442"/>
      <c r="C209" s="442"/>
      <c r="D209" s="442"/>
      <c r="E209" s="442"/>
      <c r="F209" s="442"/>
      <c r="G209" s="442"/>
      <c r="H209" s="442"/>
      <c r="I209" s="442"/>
      <c r="J209" s="442"/>
      <c r="K209" s="442"/>
      <c r="L209" s="442"/>
    </row>
    <row r="210" spans="1:12">
      <c r="A210" s="442"/>
      <c r="B210" s="442"/>
      <c r="C210" s="442"/>
      <c r="D210" s="442"/>
      <c r="E210" s="442"/>
      <c r="F210" s="442"/>
      <c r="G210" s="442"/>
      <c r="H210" s="442"/>
      <c r="I210" s="442"/>
      <c r="J210" s="442"/>
      <c r="K210" s="442"/>
      <c r="L210" s="442"/>
    </row>
    <row r="211" spans="1:12">
      <c r="A211" s="442"/>
      <c r="B211" s="442"/>
      <c r="C211" s="442"/>
      <c r="D211" s="442"/>
      <c r="E211" s="442"/>
      <c r="F211" s="442"/>
      <c r="G211" s="442"/>
      <c r="H211" s="442"/>
      <c r="I211" s="442"/>
      <c r="J211" s="442"/>
      <c r="K211" s="442"/>
      <c r="L211" s="442"/>
    </row>
    <row r="212" spans="1:12">
      <c r="A212" s="442"/>
      <c r="B212" s="442"/>
      <c r="C212" s="442"/>
      <c r="D212" s="442"/>
      <c r="E212" s="442"/>
      <c r="F212" s="442"/>
      <c r="G212" s="442"/>
      <c r="H212" s="442"/>
      <c r="I212" s="442"/>
      <c r="J212" s="442"/>
      <c r="K212" s="442"/>
      <c r="L212" s="442"/>
    </row>
    <row r="213" spans="1:12">
      <c r="A213" s="442"/>
      <c r="B213" s="442"/>
      <c r="C213" s="442"/>
      <c r="D213" s="442"/>
      <c r="E213" s="442"/>
      <c r="F213" s="442"/>
      <c r="G213" s="442"/>
      <c r="H213" s="442"/>
      <c r="I213" s="442"/>
      <c r="J213" s="442"/>
      <c r="K213" s="442"/>
      <c r="L213" s="442"/>
    </row>
    <row r="214" spans="1:12">
      <c r="A214" s="442"/>
      <c r="B214" s="442"/>
      <c r="C214" s="442"/>
      <c r="D214" s="442"/>
      <c r="E214" s="442"/>
      <c r="F214" s="442"/>
      <c r="G214" s="442"/>
      <c r="H214" s="442"/>
      <c r="I214" s="442"/>
      <c r="J214" s="442"/>
      <c r="K214" s="442"/>
      <c r="L214" s="442"/>
    </row>
    <row r="215" spans="1:12">
      <c r="A215" s="442"/>
      <c r="B215" s="442"/>
      <c r="C215" s="442"/>
      <c r="D215" s="442"/>
      <c r="E215" s="442"/>
      <c r="F215" s="442"/>
      <c r="G215" s="442"/>
      <c r="H215" s="442"/>
      <c r="I215" s="442"/>
      <c r="J215" s="442"/>
      <c r="K215" s="442"/>
      <c r="L215" s="442"/>
    </row>
    <row r="216" spans="1:12">
      <c r="A216" s="442"/>
      <c r="B216" s="442"/>
      <c r="C216" s="442"/>
      <c r="D216" s="442"/>
      <c r="E216" s="442"/>
      <c r="F216" s="442"/>
      <c r="G216" s="442"/>
      <c r="H216" s="442"/>
      <c r="I216" s="442"/>
      <c r="J216" s="442"/>
      <c r="K216" s="442"/>
      <c r="L216" s="442"/>
    </row>
    <row r="217" spans="1:12">
      <c r="A217" s="442"/>
      <c r="B217" s="442"/>
      <c r="C217" s="442"/>
      <c r="D217" s="442"/>
      <c r="E217" s="442"/>
      <c r="F217" s="442"/>
      <c r="G217" s="442"/>
      <c r="H217" s="442"/>
      <c r="I217" s="442"/>
      <c r="J217" s="442"/>
      <c r="K217" s="442"/>
      <c r="L217" s="442"/>
    </row>
    <row r="218" spans="1:12">
      <c r="A218" s="442"/>
      <c r="B218" s="442"/>
      <c r="C218" s="442"/>
      <c r="D218" s="442"/>
      <c r="E218" s="442"/>
      <c r="F218" s="442"/>
      <c r="G218" s="442"/>
      <c r="H218" s="442"/>
      <c r="I218" s="442"/>
      <c r="J218" s="442"/>
      <c r="K218" s="442"/>
      <c r="L218" s="442"/>
    </row>
    <row r="219" spans="1:12">
      <c r="A219" s="442"/>
      <c r="B219" s="442"/>
      <c r="C219" s="442"/>
      <c r="D219" s="442"/>
      <c r="E219" s="442"/>
      <c r="F219" s="442"/>
      <c r="G219" s="442"/>
      <c r="H219" s="442"/>
      <c r="I219" s="442"/>
      <c r="J219" s="442"/>
      <c r="K219" s="442"/>
      <c r="L219" s="442"/>
    </row>
    <row r="220" spans="1:12">
      <c r="A220" s="442"/>
      <c r="B220" s="442"/>
      <c r="C220" s="442"/>
      <c r="D220" s="442"/>
      <c r="E220" s="442"/>
      <c r="F220" s="442"/>
      <c r="G220" s="442"/>
      <c r="H220" s="442"/>
      <c r="I220" s="442"/>
      <c r="J220" s="442"/>
      <c r="K220" s="442"/>
      <c r="L220" s="442"/>
    </row>
    <row r="221" spans="1:12">
      <c r="A221" s="442"/>
      <c r="B221" s="442"/>
      <c r="C221" s="442"/>
      <c r="D221" s="442"/>
      <c r="E221" s="442"/>
      <c r="F221" s="442"/>
      <c r="G221" s="442"/>
      <c r="H221" s="442"/>
      <c r="I221" s="442"/>
      <c r="J221" s="442"/>
      <c r="K221" s="442"/>
      <c r="L221" s="442"/>
    </row>
    <row r="222" spans="1:12">
      <c r="A222" s="442"/>
      <c r="B222" s="442"/>
      <c r="C222" s="442"/>
      <c r="D222" s="442"/>
      <c r="E222" s="442"/>
      <c r="F222" s="442"/>
      <c r="G222" s="442"/>
      <c r="H222" s="442"/>
      <c r="I222" s="442"/>
      <c r="J222" s="442"/>
      <c r="K222" s="442"/>
      <c r="L222" s="442"/>
    </row>
    <row r="223" spans="1:12">
      <c r="A223" s="442"/>
      <c r="B223" s="442"/>
      <c r="C223" s="442"/>
      <c r="D223" s="442"/>
      <c r="E223" s="442"/>
      <c r="F223" s="442"/>
      <c r="G223" s="442"/>
      <c r="H223" s="442"/>
      <c r="I223" s="442"/>
      <c r="J223" s="442"/>
      <c r="K223" s="442"/>
      <c r="L223" s="442"/>
    </row>
    <row r="224" spans="1:12">
      <c r="A224" s="442"/>
      <c r="B224" s="442"/>
      <c r="C224" s="442"/>
      <c r="D224" s="442"/>
      <c r="E224" s="442"/>
      <c r="F224" s="442"/>
      <c r="G224" s="442"/>
      <c r="H224" s="442"/>
      <c r="I224" s="442"/>
      <c r="J224" s="442"/>
      <c r="K224" s="442"/>
      <c r="L224" s="442"/>
    </row>
    <row r="225" spans="1:12">
      <c r="A225" s="442"/>
      <c r="B225" s="442"/>
      <c r="C225" s="442"/>
      <c r="D225" s="442"/>
      <c r="E225" s="442"/>
      <c r="F225" s="442"/>
      <c r="G225" s="442"/>
      <c r="H225" s="442"/>
      <c r="I225" s="442"/>
      <c r="J225" s="442"/>
      <c r="K225" s="442"/>
      <c r="L225" s="442"/>
    </row>
    <row r="226" spans="1:12">
      <c r="A226" s="442"/>
      <c r="B226" s="442"/>
      <c r="C226" s="442"/>
      <c r="D226" s="442"/>
      <c r="E226" s="442"/>
      <c r="F226" s="442"/>
      <c r="G226" s="442"/>
      <c r="H226" s="442"/>
      <c r="I226" s="442"/>
      <c r="J226" s="442"/>
      <c r="K226" s="442"/>
      <c r="L226" s="442"/>
    </row>
    <row r="227" spans="1:12">
      <c r="A227" s="442"/>
      <c r="B227" s="442"/>
      <c r="C227" s="442"/>
      <c r="D227" s="442"/>
      <c r="E227" s="442"/>
      <c r="F227" s="442"/>
      <c r="G227" s="442"/>
      <c r="H227" s="442"/>
      <c r="I227" s="442"/>
      <c r="J227" s="442"/>
      <c r="K227" s="442"/>
      <c r="L227" s="442"/>
    </row>
    <row r="228" spans="1:12">
      <c r="A228" s="442"/>
      <c r="B228" s="442"/>
      <c r="C228" s="442"/>
      <c r="D228" s="442"/>
      <c r="E228" s="442"/>
      <c r="F228" s="442"/>
      <c r="G228" s="442"/>
      <c r="H228" s="442"/>
      <c r="I228" s="442"/>
      <c r="J228" s="442"/>
      <c r="K228" s="442"/>
      <c r="L228" s="442"/>
    </row>
    <row r="229" spans="1:12">
      <c r="A229" s="442"/>
      <c r="B229" s="442"/>
      <c r="C229" s="442"/>
      <c r="D229" s="442"/>
      <c r="E229" s="442"/>
      <c r="F229" s="442"/>
      <c r="G229" s="442"/>
      <c r="H229" s="442"/>
      <c r="I229" s="442"/>
      <c r="J229" s="442"/>
      <c r="K229" s="442"/>
      <c r="L229" s="442"/>
    </row>
    <row r="230" spans="1:12">
      <c r="A230" s="442"/>
      <c r="B230" s="442"/>
      <c r="C230" s="442"/>
      <c r="D230" s="442"/>
      <c r="E230" s="442"/>
      <c r="F230" s="442"/>
      <c r="G230" s="442"/>
      <c r="H230" s="442"/>
      <c r="I230" s="442"/>
      <c r="J230" s="442"/>
      <c r="K230" s="442"/>
      <c r="L230" s="442"/>
    </row>
    <row r="231" spans="1:12">
      <c r="A231" s="442"/>
      <c r="B231" s="442"/>
      <c r="C231" s="442"/>
      <c r="D231" s="442"/>
      <c r="E231" s="442"/>
      <c r="F231" s="442"/>
      <c r="G231" s="442"/>
      <c r="H231" s="442"/>
      <c r="I231" s="442"/>
      <c r="J231" s="442"/>
      <c r="K231" s="442"/>
      <c r="L231" s="442"/>
    </row>
    <row r="232" spans="1:12">
      <c r="A232" s="442"/>
      <c r="B232" s="442"/>
      <c r="C232" s="442"/>
      <c r="D232" s="442"/>
      <c r="E232" s="442"/>
      <c r="F232" s="442"/>
      <c r="G232" s="442"/>
      <c r="H232" s="442"/>
      <c r="I232" s="442"/>
      <c r="J232" s="442"/>
      <c r="K232" s="442"/>
      <c r="L232" s="442"/>
    </row>
    <row r="233" spans="1:12">
      <c r="A233" s="442"/>
      <c r="B233" s="442"/>
      <c r="C233" s="442"/>
      <c r="D233" s="442"/>
      <c r="E233" s="442"/>
      <c r="F233" s="442"/>
      <c r="G233" s="442"/>
      <c r="H233" s="442"/>
      <c r="I233" s="442"/>
      <c r="J233" s="442"/>
      <c r="K233" s="442"/>
      <c r="L233" s="442"/>
    </row>
    <row r="234" spans="1:12">
      <c r="A234" s="442"/>
      <c r="B234" s="442"/>
      <c r="C234" s="442"/>
      <c r="D234" s="442"/>
      <c r="E234" s="442"/>
      <c r="F234" s="442"/>
      <c r="G234" s="442"/>
      <c r="H234" s="442"/>
      <c r="I234" s="442"/>
      <c r="J234" s="442"/>
      <c r="K234" s="442"/>
      <c r="L234" s="442"/>
    </row>
    <row r="235" spans="1:12">
      <c r="A235" s="442"/>
      <c r="B235" s="442"/>
      <c r="C235" s="442"/>
      <c r="D235" s="442"/>
      <c r="E235" s="442"/>
      <c r="F235" s="442"/>
      <c r="G235" s="442"/>
      <c r="H235" s="442"/>
      <c r="I235" s="442"/>
      <c r="J235" s="442"/>
      <c r="K235" s="442"/>
      <c r="L235" s="442"/>
    </row>
    <row r="236" spans="1:12">
      <c r="A236" s="442"/>
      <c r="B236" s="442"/>
      <c r="C236" s="442"/>
      <c r="D236" s="442"/>
      <c r="E236" s="442"/>
      <c r="F236" s="442"/>
      <c r="G236" s="442"/>
      <c r="H236" s="442"/>
      <c r="I236" s="442"/>
      <c r="J236" s="442"/>
      <c r="K236" s="442"/>
      <c r="L236" s="442"/>
    </row>
    <row r="237" spans="1:12">
      <c r="A237" s="442"/>
      <c r="B237" s="442"/>
      <c r="C237" s="442"/>
      <c r="D237" s="442"/>
      <c r="E237" s="442"/>
      <c r="F237" s="442"/>
      <c r="G237" s="442"/>
      <c r="H237" s="442"/>
      <c r="I237" s="442"/>
      <c r="J237" s="442"/>
      <c r="K237" s="442"/>
      <c r="L237" s="442"/>
    </row>
    <row r="238" spans="1:12">
      <c r="A238" s="442"/>
      <c r="B238" s="442"/>
      <c r="C238" s="442"/>
      <c r="D238" s="442"/>
      <c r="E238" s="442"/>
      <c r="F238" s="442"/>
      <c r="G238" s="442"/>
      <c r="H238" s="442"/>
      <c r="I238" s="442"/>
      <c r="J238" s="442"/>
      <c r="K238" s="442"/>
      <c r="L238" s="442"/>
    </row>
    <row r="239" spans="1:12">
      <c r="A239" s="442"/>
      <c r="B239" s="442"/>
      <c r="C239" s="442"/>
      <c r="D239" s="442"/>
      <c r="E239" s="442"/>
      <c r="F239" s="442"/>
      <c r="G239" s="442"/>
      <c r="H239" s="442"/>
      <c r="I239" s="442"/>
      <c r="J239" s="442"/>
      <c r="K239" s="442"/>
      <c r="L239" s="442"/>
    </row>
    <row r="240" spans="1:12">
      <c r="A240" s="442"/>
      <c r="B240" s="442"/>
      <c r="C240" s="442"/>
      <c r="D240" s="442"/>
      <c r="E240" s="442"/>
      <c r="F240" s="442"/>
      <c r="G240" s="442"/>
      <c r="H240" s="442"/>
      <c r="I240" s="442"/>
      <c r="J240" s="442"/>
      <c r="K240" s="442"/>
      <c r="L240" s="442"/>
    </row>
    <row r="241" spans="1:12">
      <c r="A241" s="442"/>
      <c r="B241" s="442"/>
      <c r="C241" s="442"/>
      <c r="D241" s="442"/>
      <c r="E241" s="442"/>
      <c r="F241" s="442"/>
      <c r="G241" s="442"/>
      <c r="H241" s="442"/>
      <c r="I241" s="442"/>
      <c r="J241" s="442"/>
      <c r="K241" s="442"/>
      <c r="L241" s="442"/>
    </row>
    <row r="242" spans="1:12">
      <c r="A242" s="442"/>
      <c r="B242" s="442"/>
      <c r="C242" s="442"/>
      <c r="D242" s="442"/>
      <c r="E242" s="442"/>
      <c r="F242" s="442"/>
      <c r="G242" s="442"/>
      <c r="H242" s="442"/>
      <c r="I242" s="442"/>
      <c r="J242" s="442"/>
      <c r="K242" s="442"/>
      <c r="L242" s="442"/>
    </row>
    <row r="243" spans="1:12">
      <c r="A243" s="442"/>
      <c r="B243" s="442"/>
      <c r="C243" s="442"/>
      <c r="D243" s="442"/>
      <c r="E243" s="442"/>
      <c r="F243" s="442"/>
      <c r="G243" s="442"/>
      <c r="H243" s="442"/>
      <c r="I243" s="442"/>
      <c r="J243" s="442"/>
      <c r="K243" s="442"/>
      <c r="L243" s="442"/>
    </row>
    <row r="244" spans="1:12">
      <c r="A244" s="442"/>
      <c r="B244" s="442"/>
      <c r="C244" s="442"/>
      <c r="D244" s="442"/>
      <c r="E244" s="442"/>
      <c r="F244" s="442"/>
      <c r="G244" s="442"/>
      <c r="H244" s="442"/>
      <c r="I244" s="442"/>
      <c r="J244" s="442"/>
      <c r="K244" s="442"/>
      <c r="L244" s="442"/>
    </row>
    <row r="245" spans="1:12">
      <c r="A245" s="442"/>
      <c r="B245" s="442"/>
      <c r="C245" s="442"/>
      <c r="D245" s="442"/>
      <c r="E245" s="442"/>
      <c r="F245" s="442"/>
      <c r="G245" s="442"/>
      <c r="H245" s="442"/>
      <c r="I245" s="442"/>
      <c r="J245" s="442"/>
      <c r="K245" s="442"/>
      <c r="L245" s="442"/>
    </row>
    <row r="246" spans="1:12">
      <c r="A246" s="442"/>
      <c r="B246" s="442"/>
      <c r="C246" s="442"/>
      <c r="D246" s="442"/>
      <c r="E246" s="442"/>
      <c r="F246" s="442"/>
      <c r="G246" s="442"/>
      <c r="H246" s="442"/>
      <c r="I246" s="442"/>
      <c r="J246" s="442"/>
      <c r="K246" s="442"/>
      <c r="L246" s="442"/>
    </row>
    <row r="247" spans="1:12">
      <c r="A247" s="442"/>
      <c r="B247" s="442"/>
      <c r="C247" s="442"/>
      <c r="D247" s="442"/>
      <c r="E247" s="442"/>
      <c r="F247" s="442"/>
      <c r="G247" s="442"/>
      <c r="H247" s="442"/>
      <c r="I247" s="442"/>
      <c r="J247" s="442"/>
      <c r="K247" s="442"/>
      <c r="L247" s="442"/>
    </row>
    <row r="248" spans="1:12">
      <c r="A248" s="442"/>
      <c r="B248" s="442"/>
      <c r="C248" s="442"/>
      <c r="D248" s="442"/>
      <c r="E248" s="442"/>
      <c r="F248" s="442"/>
      <c r="G248" s="442"/>
      <c r="H248" s="442"/>
      <c r="I248" s="442"/>
      <c r="J248" s="442"/>
      <c r="K248" s="442"/>
      <c r="L248" s="442"/>
    </row>
    <row r="249" spans="1:12">
      <c r="A249" s="442"/>
      <c r="B249" s="442"/>
      <c r="C249" s="442"/>
      <c r="D249" s="442"/>
      <c r="E249" s="442"/>
      <c r="F249" s="442"/>
      <c r="G249" s="442"/>
      <c r="H249" s="442"/>
      <c r="I249" s="442"/>
      <c r="J249" s="442"/>
      <c r="K249" s="442"/>
      <c r="L249" s="442"/>
    </row>
    <row r="250" spans="1:12">
      <c r="A250" s="442"/>
      <c r="B250" s="442"/>
      <c r="C250" s="442"/>
      <c r="D250" s="442"/>
      <c r="E250" s="442"/>
      <c r="F250" s="442"/>
      <c r="G250" s="442"/>
      <c r="H250" s="442"/>
      <c r="I250" s="442"/>
      <c r="J250" s="442"/>
      <c r="K250" s="442"/>
      <c r="L250" s="442"/>
    </row>
    <row r="251" spans="1:12">
      <c r="A251" s="442"/>
      <c r="B251" s="442"/>
      <c r="C251" s="442"/>
      <c r="D251" s="442"/>
      <c r="E251" s="442"/>
      <c r="F251" s="442"/>
      <c r="G251" s="442"/>
      <c r="H251" s="442"/>
      <c r="I251" s="442"/>
      <c r="J251" s="442"/>
      <c r="K251" s="442"/>
      <c r="L251" s="442"/>
    </row>
    <row r="252" spans="1:12">
      <c r="A252" s="442"/>
      <c r="B252" s="442"/>
      <c r="C252" s="442"/>
      <c r="D252" s="442"/>
      <c r="E252" s="442"/>
      <c r="F252" s="442"/>
      <c r="G252" s="442"/>
      <c r="H252" s="442"/>
      <c r="I252" s="442"/>
      <c r="J252" s="442"/>
      <c r="K252" s="442"/>
      <c r="L252" s="442"/>
    </row>
    <row r="253" spans="1:12">
      <c r="A253" s="442"/>
      <c r="B253" s="442"/>
      <c r="C253" s="442"/>
      <c r="D253" s="442"/>
      <c r="E253" s="442"/>
      <c r="F253" s="442"/>
      <c r="G253" s="442"/>
      <c r="H253" s="442"/>
      <c r="I253" s="442"/>
      <c r="J253" s="442"/>
      <c r="K253" s="442"/>
      <c r="L253" s="442"/>
    </row>
    <row r="254" spans="1:12">
      <c r="A254" s="442"/>
      <c r="B254" s="442"/>
      <c r="C254" s="442"/>
      <c r="D254" s="442"/>
      <c r="E254" s="442"/>
      <c r="F254" s="442"/>
      <c r="G254" s="442"/>
      <c r="H254" s="442"/>
      <c r="I254" s="442"/>
      <c r="J254" s="442"/>
      <c r="K254" s="442"/>
      <c r="L254" s="442"/>
    </row>
    <row r="255" spans="1:12">
      <c r="A255" s="442"/>
      <c r="B255" s="442"/>
      <c r="C255" s="442"/>
      <c r="D255" s="442"/>
      <c r="E255" s="442"/>
      <c r="F255" s="442"/>
      <c r="G255" s="442"/>
      <c r="H255" s="442"/>
      <c r="I255" s="442"/>
      <c r="J255" s="442"/>
      <c r="K255" s="442"/>
      <c r="L255" s="442"/>
    </row>
    <row r="256" spans="1:12">
      <c r="A256" s="442"/>
      <c r="B256" s="442"/>
      <c r="C256" s="442"/>
      <c r="D256" s="442"/>
      <c r="E256" s="442"/>
      <c r="F256" s="442"/>
      <c r="G256" s="442"/>
      <c r="H256" s="442"/>
      <c r="I256" s="442"/>
      <c r="J256" s="442"/>
      <c r="K256" s="442"/>
      <c r="L256" s="442"/>
    </row>
    <row r="257" spans="1:12">
      <c r="A257" s="442"/>
      <c r="B257" s="442"/>
      <c r="C257" s="442"/>
      <c r="D257" s="442"/>
      <c r="E257" s="442"/>
      <c r="F257" s="442"/>
      <c r="G257" s="442"/>
      <c r="H257" s="442"/>
      <c r="I257" s="442"/>
      <c r="J257" s="442"/>
      <c r="K257" s="442"/>
      <c r="L257" s="442"/>
    </row>
    <row r="258" spans="1:12">
      <c r="A258" s="442"/>
      <c r="B258" s="442"/>
      <c r="C258" s="442"/>
      <c r="D258" s="442"/>
      <c r="E258" s="442"/>
      <c r="F258" s="442"/>
      <c r="G258" s="442"/>
      <c r="H258" s="442"/>
      <c r="I258" s="442"/>
      <c r="J258" s="442"/>
      <c r="K258" s="442"/>
      <c r="L258" s="442"/>
    </row>
    <row r="259" spans="1:12">
      <c r="A259" s="442"/>
      <c r="B259" s="442"/>
      <c r="C259" s="442"/>
      <c r="D259" s="442"/>
      <c r="E259" s="442"/>
      <c r="F259" s="442"/>
      <c r="G259" s="442"/>
      <c r="H259" s="442"/>
      <c r="I259" s="442"/>
      <c r="J259" s="442"/>
      <c r="K259" s="442"/>
      <c r="L259" s="442"/>
    </row>
    <row r="260" spans="1:12">
      <c r="A260" s="442"/>
      <c r="B260" s="442"/>
      <c r="C260" s="442"/>
      <c r="D260" s="442"/>
      <c r="E260" s="442"/>
      <c r="F260" s="442"/>
      <c r="G260" s="442"/>
      <c r="H260" s="442"/>
      <c r="I260" s="442"/>
      <c r="J260" s="442"/>
      <c r="K260" s="442"/>
      <c r="L260" s="442"/>
    </row>
    <row r="261" spans="1:12">
      <c r="A261" s="442"/>
      <c r="B261" s="442"/>
      <c r="C261" s="442"/>
      <c r="D261" s="442"/>
      <c r="E261" s="442"/>
      <c r="F261" s="442"/>
      <c r="G261" s="442"/>
      <c r="H261" s="442"/>
      <c r="I261" s="442"/>
      <c r="J261" s="442"/>
      <c r="K261" s="442"/>
      <c r="L261" s="442"/>
    </row>
    <row r="262" spans="1:12">
      <c r="A262" s="442"/>
      <c r="B262" s="442"/>
      <c r="C262" s="442"/>
      <c r="D262" s="442"/>
      <c r="E262" s="442"/>
      <c r="F262" s="442"/>
      <c r="G262" s="442"/>
      <c r="H262" s="442"/>
      <c r="I262" s="442"/>
      <c r="J262" s="442"/>
      <c r="K262" s="442"/>
      <c r="L262" s="442"/>
    </row>
    <row r="263" spans="1:12">
      <c r="A263" s="442"/>
      <c r="B263" s="442"/>
      <c r="C263" s="442"/>
      <c r="D263" s="442"/>
      <c r="E263" s="442"/>
      <c r="F263" s="442"/>
      <c r="G263" s="442"/>
      <c r="H263" s="442"/>
      <c r="I263" s="442"/>
      <c r="J263" s="442"/>
      <c r="K263" s="442"/>
      <c r="L263" s="442"/>
    </row>
    <row r="264" spans="1:12">
      <c r="A264" s="442"/>
      <c r="B264" s="442"/>
      <c r="C264" s="442"/>
      <c r="D264" s="442"/>
      <c r="E264" s="442"/>
      <c r="F264" s="442"/>
      <c r="G264" s="442"/>
      <c r="H264" s="442"/>
      <c r="I264" s="442"/>
      <c r="J264" s="442"/>
      <c r="K264" s="442"/>
      <c r="L264" s="442"/>
    </row>
    <row r="265" spans="1:12">
      <c r="A265" s="442"/>
      <c r="B265" s="442"/>
      <c r="C265" s="442"/>
      <c r="D265" s="442"/>
      <c r="E265" s="442"/>
      <c r="F265" s="442"/>
      <c r="G265" s="442"/>
      <c r="H265" s="442"/>
      <c r="I265" s="442"/>
      <c r="J265" s="442"/>
      <c r="K265" s="442"/>
      <c r="L265" s="442"/>
    </row>
    <row r="266" spans="1:12">
      <c r="A266" s="442"/>
      <c r="B266" s="442"/>
      <c r="C266" s="442"/>
      <c r="D266" s="442"/>
      <c r="E266" s="442"/>
      <c r="F266" s="442"/>
      <c r="G266" s="442"/>
      <c r="H266" s="442"/>
      <c r="I266" s="442"/>
      <c r="J266" s="442"/>
      <c r="K266" s="442"/>
      <c r="L266" s="442"/>
    </row>
    <row r="267" spans="1:12">
      <c r="A267" s="442"/>
      <c r="B267" s="442"/>
      <c r="C267" s="442"/>
      <c r="D267" s="442"/>
      <c r="E267" s="442"/>
      <c r="F267" s="442"/>
      <c r="G267" s="442"/>
      <c r="H267" s="442"/>
      <c r="I267" s="442"/>
      <c r="J267" s="442"/>
      <c r="K267" s="442"/>
      <c r="L267" s="442"/>
    </row>
    <row r="268" spans="1:12">
      <c r="A268" s="442"/>
      <c r="B268" s="442"/>
      <c r="C268" s="442"/>
      <c r="D268" s="442"/>
      <c r="E268" s="442"/>
      <c r="F268" s="442"/>
      <c r="G268" s="442"/>
      <c r="H268" s="442"/>
      <c r="I268" s="442"/>
      <c r="J268" s="442"/>
      <c r="K268" s="442"/>
      <c r="L268" s="442"/>
    </row>
    <row r="269" spans="1:12">
      <c r="A269" s="442"/>
      <c r="B269" s="442"/>
      <c r="C269" s="442"/>
      <c r="D269" s="442"/>
      <c r="E269" s="442"/>
      <c r="F269" s="442"/>
      <c r="G269" s="442"/>
      <c r="H269" s="442"/>
      <c r="I269" s="442"/>
      <c r="J269" s="442"/>
      <c r="K269" s="442"/>
      <c r="L269" s="442"/>
    </row>
    <row r="270" spans="1:12">
      <c r="A270" s="442"/>
      <c r="B270" s="442"/>
      <c r="C270" s="442"/>
      <c r="D270" s="442"/>
      <c r="E270" s="442"/>
      <c r="F270" s="442"/>
      <c r="G270" s="442"/>
      <c r="H270" s="442"/>
      <c r="I270" s="442"/>
      <c r="J270" s="442"/>
      <c r="K270" s="442"/>
      <c r="L270" s="442"/>
    </row>
    <row r="271" spans="1:12">
      <c r="A271" s="442"/>
      <c r="B271" s="442"/>
      <c r="C271" s="442"/>
      <c r="D271" s="442"/>
      <c r="E271" s="442"/>
      <c r="F271" s="442"/>
      <c r="G271" s="442"/>
      <c r="H271" s="442"/>
      <c r="I271" s="442"/>
      <c r="J271" s="442"/>
      <c r="K271" s="442"/>
      <c r="L271" s="442"/>
    </row>
    <row r="272" spans="1:12">
      <c r="A272" s="442"/>
      <c r="B272" s="442"/>
      <c r="C272" s="442"/>
      <c r="D272" s="442"/>
      <c r="E272" s="442"/>
      <c r="F272" s="442"/>
      <c r="G272" s="442"/>
      <c r="H272" s="442"/>
      <c r="I272" s="442"/>
      <c r="J272" s="442"/>
      <c r="K272" s="442"/>
      <c r="L272" s="442"/>
    </row>
    <row r="273" spans="1:12">
      <c r="A273" s="442"/>
      <c r="B273" s="442"/>
      <c r="C273" s="442"/>
      <c r="D273" s="442"/>
      <c r="E273" s="442"/>
      <c r="F273" s="442"/>
      <c r="G273" s="442"/>
      <c r="H273" s="442"/>
      <c r="I273" s="442"/>
      <c r="J273" s="442"/>
      <c r="K273" s="442"/>
      <c r="L273" s="442"/>
    </row>
    <row r="274" spans="1:12">
      <c r="A274" s="442"/>
      <c r="B274" s="442"/>
      <c r="C274" s="442"/>
      <c r="D274" s="442"/>
      <c r="E274" s="442"/>
      <c r="F274" s="442"/>
      <c r="G274" s="442"/>
      <c r="H274" s="442"/>
      <c r="I274" s="442"/>
      <c r="J274" s="442"/>
      <c r="K274" s="442"/>
      <c r="L274" s="442"/>
    </row>
    <row r="275" spans="1:12">
      <c r="A275" s="442"/>
      <c r="B275" s="442"/>
      <c r="C275" s="442"/>
      <c r="D275" s="442"/>
      <c r="E275" s="442"/>
      <c r="F275" s="442"/>
      <c r="G275" s="442"/>
      <c r="H275" s="442"/>
      <c r="I275" s="442"/>
      <c r="J275" s="442"/>
      <c r="K275" s="442"/>
      <c r="L275" s="442"/>
    </row>
    <row r="276" spans="1:12">
      <c r="A276" s="442"/>
      <c r="B276" s="442"/>
      <c r="C276" s="442"/>
      <c r="D276" s="442"/>
      <c r="E276" s="442"/>
      <c r="F276" s="442"/>
      <c r="G276" s="442"/>
      <c r="H276" s="442"/>
      <c r="I276" s="442"/>
      <c r="J276" s="442"/>
      <c r="K276" s="442"/>
      <c r="L276" s="442"/>
    </row>
    <row r="277" spans="1:12">
      <c r="A277" s="442"/>
      <c r="B277" s="442"/>
      <c r="C277" s="442"/>
      <c r="D277" s="442"/>
      <c r="E277" s="442"/>
      <c r="F277" s="442"/>
      <c r="G277" s="442"/>
      <c r="H277" s="442"/>
      <c r="I277" s="442"/>
      <c r="J277" s="442"/>
      <c r="K277" s="442"/>
      <c r="L277" s="442"/>
    </row>
    <row r="278" spans="1:12">
      <c r="A278" s="442"/>
      <c r="B278" s="442"/>
      <c r="C278" s="442"/>
      <c r="D278" s="442"/>
      <c r="E278" s="442"/>
      <c r="F278" s="442"/>
      <c r="G278" s="442"/>
      <c r="H278" s="442"/>
      <c r="I278" s="442"/>
      <c r="J278" s="442"/>
      <c r="K278" s="442"/>
      <c r="L278" s="442"/>
    </row>
    <row r="279" spans="1:12">
      <c r="A279" s="442"/>
      <c r="B279" s="442"/>
      <c r="C279" s="442"/>
      <c r="D279" s="442"/>
      <c r="E279" s="442"/>
      <c r="F279" s="442"/>
      <c r="G279" s="442"/>
      <c r="H279" s="442"/>
      <c r="I279" s="442"/>
      <c r="J279" s="442"/>
      <c r="K279" s="442"/>
      <c r="L279" s="442"/>
    </row>
    <row r="280" spans="1:12">
      <c r="A280" s="442"/>
      <c r="B280" s="442"/>
      <c r="C280" s="442"/>
      <c r="D280" s="442"/>
      <c r="E280" s="442"/>
      <c r="F280" s="442"/>
      <c r="G280" s="442"/>
      <c r="H280" s="442"/>
      <c r="I280" s="442"/>
      <c r="J280" s="442"/>
      <c r="K280" s="442"/>
      <c r="L280" s="442"/>
    </row>
    <row r="281" spans="1:12">
      <c r="A281" s="442"/>
      <c r="B281" s="442"/>
      <c r="C281" s="442"/>
      <c r="D281" s="442"/>
      <c r="E281" s="442"/>
      <c r="F281" s="442"/>
      <c r="G281" s="442"/>
      <c r="H281" s="442"/>
      <c r="I281" s="442"/>
      <c r="J281" s="442"/>
      <c r="K281" s="442"/>
      <c r="L281" s="442"/>
    </row>
    <row r="282" spans="1:12">
      <c r="A282" s="442"/>
      <c r="B282" s="442"/>
      <c r="C282" s="442"/>
      <c r="D282" s="442"/>
      <c r="E282" s="442"/>
      <c r="F282" s="442"/>
      <c r="G282" s="442"/>
      <c r="H282" s="442"/>
      <c r="I282" s="442"/>
      <c r="J282" s="442"/>
      <c r="K282" s="442"/>
      <c r="L282" s="442"/>
    </row>
    <row r="283" spans="1:12">
      <c r="A283" s="442"/>
      <c r="B283" s="442"/>
      <c r="C283" s="442"/>
      <c r="D283" s="442"/>
      <c r="E283" s="442"/>
      <c r="F283" s="442"/>
      <c r="G283" s="442"/>
      <c r="H283" s="442"/>
      <c r="I283" s="442"/>
      <c r="J283" s="442"/>
      <c r="K283" s="442"/>
      <c r="L283" s="442"/>
    </row>
    <row r="284" spans="1:12">
      <c r="A284" s="442"/>
      <c r="B284" s="442"/>
      <c r="C284" s="442"/>
      <c r="D284" s="442"/>
      <c r="E284" s="442"/>
      <c r="F284" s="442"/>
      <c r="G284" s="442"/>
      <c r="H284" s="442"/>
      <c r="I284" s="442"/>
      <c r="J284" s="442"/>
      <c r="K284" s="442"/>
      <c r="L284" s="442"/>
    </row>
    <row r="285" spans="1:12">
      <c r="A285" s="442"/>
      <c r="B285" s="442"/>
      <c r="C285" s="442"/>
      <c r="D285" s="442"/>
      <c r="E285" s="442"/>
      <c r="F285" s="442"/>
      <c r="G285" s="442"/>
      <c r="H285" s="442"/>
      <c r="I285" s="442"/>
      <c r="J285" s="442"/>
      <c r="K285" s="442"/>
      <c r="L285" s="442"/>
    </row>
    <row r="286" spans="1:12">
      <c r="A286" s="442"/>
      <c r="B286" s="442"/>
      <c r="C286" s="442"/>
      <c r="D286" s="442"/>
      <c r="E286" s="442"/>
      <c r="F286" s="442"/>
      <c r="G286" s="442"/>
      <c r="H286" s="442"/>
      <c r="I286" s="442"/>
      <c r="J286" s="442"/>
      <c r="K286" s="442"/>
      <c r="L286" s="442"/>
    </row>
    <row r="287" spans="1:12">
      <c r="A287" s="442"/>
      <c r="B287" s="442"/>
      <c r="C287" s="442"/>
      <c r="D287" s="442"/>
      <c r="E287" s="442"/>
      <c r="F287" s="442"/>
      <c r="G287" s="442"/>
      <c r="H287" s="442"/>
      <c r="I287" s="442"/>
      <c r="J287" s="442"/>
      <c r="K287" s="442"/>
      <c r="L287" s="442"/>
    </row>
    <row r="288" spans="1:12">
      <c r="A288" s="442"/>
      <c r="B288" s="442"/>
      <c r="C288" s="442"/>
      <c r="D288" s="442"/>
      <c r="E288" s="442"/>
      <c r="F288" s="442"/>
      <c r="G288" s="442"/>
      <c r="H288" s="442"/>
      <c r="I288" s="442"/>
      <c r="J288" s="442"/>
      <c r="K288" s="442"/>
      <c r="L288" s="442"/>
    </row>
    <row r="289" spans="1:12">
      <c r="A289" s="442"/>
      <c r="B289" s="442"/>
      <c r="C289" s="442"/>
      <c r="D289" s="442"/>
      <c r="E289" s="442"/>
      <c r="F289" s="442"/>
      <c r="G289" s="442"/>
      <c r="H289" s="442"/>
      <c r="I289" s="442"/>
      <c r="J289" s="442"/>
      <c r="K289" s="442"/>
      <c r="L289" s="442"/>
    </row>
    <row r="290" spans="1:12">
      <c r="A290" s="442"/>
      <c r="B290" s="442"/>
      <c r="C290" s="442"/>
      <c r="D290" s="442"/>
      <c r="E290" s="442"/>
      <c r="F290" s="442"/>
      <c r="G290" s="442"/>
      <c r="H290" s="442"/>
      <c r="I290" s="442"/>
      <c r="J290" s="442"/>
      <c r="K290" s="442"/>
      <c r="L290" s="442"/>
    </row>
    <row r="291" spans="1:12">
      <c r="A291" s="442"/>
      <c r="B291" s="442"/>
      <c r="C291" s="442"/>
      <c r="D291" s="442"/>
      <c r="E291" s="442"/>
      <c r="F291" s="442"/>
      <c r="G291" s="442"/>
      <c r="H291" s="442"/>
      <c r="I291" s="442"/>
      <c r="J291" s="442"/>
      <c r="K291" s="442"/>
      <c r="L291" s="442"/>
    </row>
    <row r="292" spans="1:12">
      <c r="A292" s="442"/>
      <c r="B292" s="442"/>
      <c r="C292" s="442"/>
      <c r="D292" s="442"/>
      <c r="E292" s="442"/>
      <c r="F292" s="442"/>
      <c r="G292" s="442"/>
      <c r="H292" s="442"/>
      <c r="I292" s="442"/>
      <c r="J292" s="442"/>
      <c r="K292" s="442"/>
      <c r="L292" s="442"/>
    </row>
    <row r="293" spans="1:12">
      <c r="A293" s="442"/>
      <c r="B293" s="442"/>
      <c r="C293" s="442"/>
      <c r="D293" s="442"/>
      <c r="E293" s="442"/>
      <c r="F293" s="442"/>
      <c r="G293" s="442"/>
      <c r="H293" s="442"/>
      <c r="I293" s="442"/>
      <c r="J293" s="442"/>
      <c r="K293" s="442"/>
      <c r="L293" s="442"/>
    </row>
    <row r="294" spans="1:12">
      <c r="A294" s="442"/>
      <c r="B294" s="442"/>
      <c r="C294" s="442"/>
      <c r="D294" s="442"/>
      <c r="E294" s="442"/>
      <c r="F294" s="442"/>
      <c r="G294" s="442"/>
      <c r="H294" s="442"/>
      <c r="I294" s="442"/>
      <c r="J294" s="442"/>
      <c r="K294" s="442"/>
      <c r="L294" s="442"/>
    </row>
    <row r="295" spans="1:12">
      <c r="A295" s="442"/>
      <c r="B295" s="442"/>
      <c r="C295" s="442"/>
      <c r="D295" s="442"/>
      <c r="E295" s="442"/>
      <c r="F295" s="442"/>
      <c r="G295" s="442"/>
      <c r="H295" s="442"/>
      <c r="I295" s="442"/>
      <c r="J295" s="442"/>
      <c r="K295" s="442"/>
      <c r="L295" s="442"/>
    </row>
    <row r="296" spans="1:12">
      <c r="A296" s="442"/>
      <c r="B296" s="442"/>
      <c r="C296" s="442"/>
      <c r="D296" s="442"/>
      <c r="E296" s="442"/>
      <c r="F296" s="442"/>
      <c r="G296" s="442"/>
      <c r="H296" s="442"/>
      <c r="I296" s="442"/>
      <c r="J296" s="442"/>
      <c r="K296" s="442"/>
      <c r="L296" s="442"/>
    </row>
    <row r="297" spans="1:12">
      <c r="A297" s="442"/>
      <c r="B297" s="442"/>
      <c r="C297" s="442"/>
      <c r="D297" s="442"/>
      <c r="E297" s="442"/>
      <c r="F297" s="442"/>
      <c r="G297" s="442"/>
      <c r="H297" s="442"/>
      <c r="I297" s="442"/>
      <c r="J297" s="442"/>
      <c r="K297" s="442"/>
      <c r="L297" s="442"/>
    </row>
    <row r="298" spans="1:12">
      <c r="A298" s="442"/>
      <c r="B298" s="442"/>
      <c r="C298" s="442"/>
      <c r="D298" s="442"/>
      <c r="E298" s="442"/>
      <c r="F298" s="442"/>
      <c r="G298" s="442"/>
      <c r="H298" s="442"/>
      <c r="I298" s="442"/>
      <c r="J298" s="442"/>
      <c r="K298" s="442"/>
      <c r="L298" s="442"/>
    </row>
    <row r="299" spans="1:12">
      <c r="A299" s="442"/>
      <c r="B299" s="442"/>
      <c r="C299" s="442"/>
      <c r="D299" s="442"/>
      <c r="E299" s="442"/>
      <c r="F299" s="442"/>
      <c r="G299" s="442"/>
      <c r="H299" s="442"/>
      <c r="I299" s="442"/>
      <c r="J299" s="442"/>
      <c r="K299" s="442"/>
      <c r="L299" s="442"/>
    </row>
    <row r="300" spans="1:12">
      <c r="A300" s="442"/>
      <c r="B300" s="442"/>
      <c r="C300" s="442"/>
      <c r="D300" s="442"/>
      <c r="E300" s="442"/>
      <c r="F300" s="442"/>
      <c r="G300" s="442"/>
      <c r="H300" s="442"/>
      <c r="I300" s="442"/>
      <c r="J300" s="442"/>
      <c r="K300" s="442"/>
      <c r="L300" s="442"/>
    </row>
    <row r="301" spans="1:12">
      <c r="A301" s="442"/>
      <c r="B301" s="442"/>
      <c r="C301" s="442"/>
      <c r="D301" s="442"/>
      <c r="E301" s="442"/>
      <c r="F301" s="442"/>
      <c r="G301" s="442"/>
      <c r="H301" s="442"/>
      <c r="I301" s="442"/>
      <c r="J301" s="442"/>
      <c r="K301" s="442"/>
      <c r="L301" s="442"/>
    </row>
    <row r="302" spans="1:12">
      <c r="A302" s="442"/>
      <c r="B302" s="442"/>
      <c r="C302" s="442"/>
      <c r="D302" s="442"/>
      <c r="E302" s="442"/>
      <c r="F302" s="442"/>
      <c r="G302" s="442"/>
      <c r="H302" s="442"/>
      <c r="I302" s="442"/>
      <c r="J302" s="442"/>
      <c r="K302" s="442"/>
      <c r="L302" s="442"/>
    </row>
    <row r="303" spans="1:12">
      <c r="A303" s="442"/>
      <c r="B303" s="442"/>
      <c r="C303" s="442"/>
      <c r="D303" s="442"/>
      <c r="E303" s="442"/>
      <c r="F303" s="442"/>
      <c r="G303" s="442"/>
      <c r="H303" s="442"/>
      <c r="I303" s="442"/>
      <c r="J303" s="442"/>
      <c r="K303" s="442"/>
      <c r="L303" s="442"/>
    </row>
    <row r="304" spans="1:12">
      <c r="A304" s="442"/>
      <c r="B304" s="442"/>
      <c r="C304" s="442"/>
      <c r="D304" s="442"/>
      <c r="E304" s="442"/>
      <c r="F304" s="442"/>
      <c r="G304" s="442"/>
      <c r="H304" s="442"/>
      <c r="I304" s="442"/>
      <c r="J304" s="442"/>
      <c r="K304" s="442"/>
      <c r="L304" s="442"/>
    </row>
    <row r="305" spans="1:12">
      <c r="A305" s="442"/>
      <c r="B305" s="442"/>
      <c r="C305" s="442"/>
      <c r="D305" s="442"/>
      <c r="E305" s="442"/>
      <c r="F305" s="442"/>
      <c r="G305" s="442"/>
      <c r="H305" s="442"/>
      <c r="I305" s="442"/>
      <c r="J305" s="442"/>
      <c r="K305" s="442"/>
      <c r="L305" s="442"/>
    </row>
    <row r="306" spans="1:12">
      <c r="A306" s="442"/>
      <c r="B306" s="442"/>
      <c r="C306" s="442"/>
      <c r="D306" s="442"/>
      <c r="E306" s="442"/>
      <c r="F306" s="442"/>
      <c r="G306" s="442"/>
      <c r="H306" s="442"/>
      <c r="I306" s="442"/>
      <c r="J306" s="442"/>
      <c r="K306" s="442"/>
      <c r="L306" s="442"/>
    </row>
    <row r="307" spans="1:12">
      <c r="A307" s="442"/>
      <c r="B307" s="442"/>
      <c r="C307" s="442"/>
      <c r="D307" s="442"/>
      <c r="E307" s="442"/>
      <c r="F307" s="442"/>
      <c r="G307" s="442"/>
      <c r="H307" s="442"/>
      <c r="I307" s="442"/>
      <c r="J307" s="442"/>
      <c r="K307" s="442"/>
      <c r="L307" s="442"/>
    </row>
    <row r="308" spans="1:12">
      <c r="A308" s="442"/>
      <c r="B308" s="442"/>
      <c r="C308" s="442"/>
      <c r="D308" s="442"/>
      <c r="E308" s="442"/>
      <c r="F308" s="442"/>
      <c r="G308" s="442"/>
      <c r="H308" s="442"/>
      <c r="I308" s="442"/>
      <c r="J308" s="442"/>
      <c r="K308" s="442"/>
      <c r="L308" s="442"/>
    </row>
    <row r="309" spans="1:12">
      <c r="A309" s="442"/>
      <c r="B309" s="442"/>
      <c r="C309" s="442"/>
      <c r="D309" s="442"/>
      <c r="E309" s="442"/>
      <c r="F309" s="442"/>
      <c r="G309" s="442"/>
      <c r="H309" s="442"/>
      <c r="I309" s="442"/>
      <c r="J309" s="442"/>
      <c r="K309" s="442"/>
      <c r="L309" s="442"/>
    </row>
    <row r="310" spans="1:12">
      <c r="A310" s="442"/>
      <c r="B310" s="442"/>
      <c r="C310" s="442"/>
      <c r="D310" s="442"/>
      <c r="E310" s="442"/>
      <c r="F310" s="442"/>
      <c r="G310" s="442"/>
      <c r="H310" s="442"/>
      <c r="I310" s="442"/>
      <c r="J310" s="442"/>
      <c r="K310" s="442"/>
      <c r="L310" s="442"/>
    </row>
    <row r="311" spans="1:12">
      <c r="A311" s="442"/>
      <c r="B311" s="442"/>
      <c r="C311" s="442"/>
      <c r="D311" s="442"/>
      <c r="E311" s="442"/>
      <c r="F311" s="442"/>
      <c r="G311" s="442"/>
      <c r="H311" s="442"/>
      <c r="I311" s="442"/>
      <c r="J311" s="442"/>
      <c r="K311" s="442"/>
      <c r="L311" s="442"/>
    </row>
    <row r="312" spans="1:12">
      <c r="A312" s="442"/>
      <c r="B312" s="442"/>
      <c r="C312" s="442"/>
      <c r="D312" s="442"/>
      <c r="E312" s="442"/>
      <c r="F312" s="442"/>
      <c r="G312" s="442"/>
      <c r="H312" s="442"/>
      <c r="I312" s="442"/>
      <c r="J312" s="442"/>
      <c r="K312" s="442"/>
      <c r="L312" s="442"/>
    </row>
    <row r="313" spans="1:12">
      <c r="A313" s="442"/>
      <c r="B313" s="442"/>
      <c r="C313" s="442"/>
      <c r="D313" s="442"/>
      <c r="E313" s="442"/>
      <c r="F313" s="442"/>
      <c r="G313" s="442"/>
      <c r="H313" s="442"/>
      <c r="I313" s="442"/>
      <c r="J313" s="442"/>
      <c r="K313" s="442"/>
      <c r="L313" s="442"/>
    </row>
    <row r="314" spans="1:12">
      <c r="A314" s="442"/>
      <c r="B314" s="442"/>
      <c r="C314" s="442"/>
      <c r="D314" s="442"/>
      <c r="E314" s="442"/>
      <c r="F314" s="442"/>
      <c r="G314" s="442"/>
      <c r="H314" s="442"/>
      <c r="I314" s="442"/>
      <c r="J314" s="442"/>
      <c r="K314" s="442"/>
      <c r="L314" s="442"/>
    </row>
    <row r="315" spans="1:12">
      <c r="A315" s="442"/>
      <c r="B315" s="442"/>
      <c r="C315" s="442"/>
      <c r="D315" s="442"/>
      <c r="E315" s="442"/>
      <c r="F315" s="442"/>
      <c r="G315" s="442"/>
      <c r="H315" s="442"/>
      <c r="I315" s="442"/>
      <c r="J315" s="442"/>
      <c r="K315" s="442"/>
      <c r="L315" s="442"/>
    </row>
    <row r="316" spans="1:12">
      <c r="A316" s="442"/>
      <c r="B316" s="442"/>
      <c r="C316" s="442"/>
      <c r="D316" s="442"/>
      <c r="E316" s="442"/>
      <c r="F316" s="442"/>
      <c r="G316" s="442"/>
      <c r="H316" s="442"/>
      <c r="I316" s="442"/>
      <c r="J316" s="442"/>
      <c r="K316" s="442"/>
      <c r="L316" s="442"/>
    </row>
    <row r="317" spans="1:12">
      <c r="A317" s="442"/>
      <c r="B317" s="442"/>
      <c r="C317" s="442"/>
      <c r="D317" s="442"/>
      <c r="E317" s="442"/>
      <c r="F317" s="442"/>
      <c r="G317" s="442"/>
      <c r="H317" s="442"/>
      <c r="I317" s="442"/>
      <c r="J317" s="442"/>
      <c r="K317" s="442"/>
      <c r="L317" s="442"/>
    </row>
    <row r="318" spans="1:12">
      <c r="A318" s="442"/>
      <c r="B318" s="442"/>
      <c r="C318" s="442"/>
      <c r="D318" s="442"/>
      <c r="E318" s="442"/>
      <c r="F318" s="442"/>
      <c r="G318" s="442"/>
      <c r="H318" s="442"/>
      <c r="I318" s="442"/>
      <c r="J318" s="442"/>
      <c r="K318" s="442"/>
      <c r="L318" s="442"/>
    </row>
    <row r="319" spans="1:12">
      <c r="A319" s="442"/>
      <c r="B319" s="442"/>
      <c r="C319" s="442"/>
      <c r="D319" s="442"/>
      <c r="E319" s="442"/>
      <c r="F319" s="442"/>
      <c r="G319" s="442"/>
      <c r="H319" s="442"/>
      <c r="I319" s="442"/>
      <c r="J319" s="442"/>
      <c r="K319" s="442"/>
      <c r="L319" s="442"/>
    </row>
    <row r="320" spans="1:12">
      <c r="A320" s="442"/>
      <c r="B320" s="442"/>
      <c r="C320" s="442"/>
      <c r="D320" s="442"/>
      <c r="E320" s="442"/>
      <c r="F320" s="442"/>
      <c r="G320" s="442"/>
      <c r="H320" s="442"/>
      <c r="I320" s="442"/>
      <c r="J320" s="442"/>
      <c r="K320" s="442"/>
      <c r="L320" s="442"/>
    </row>
    <row r="321" spans="1:12">
      <c r="A321" s="442"/>
      <c r="B321" s="442"/>
      <c r="C321" s="442"/>
      <c r="D321" s="442"/>
      <c r="E321" s="442"/>
      <c r="F321" s="442"/>
      <c r="G321" s="442"/>
      <c r="H321" s="442"/>
      <c r="I321" s="442"/>
      <c r="J321" s="442"/>
      <c r="K321" s="442"/>
      <c r="L321" s="442"/>
    </row>
    <row r="322" spans="1:12">
      <c r="A322" s="442"/>
      <c r="B322" s="442"/>
      <c r="C322" s="442"/>
      <c r="D322" s="442"/>
      <c r="E322" s="442"/>
      <c r="F322" s="442"/>
      <c r="G322" s="442"/>
      <c r="H322" s="442"/>
      <c r="I322" s="442"/>
      <c r="J322" s="442"/>
      <c r="K322" s="442"/>
      <c r="L322" s="442"/>
    </row>
    <row r="323" spans="1:12">
      <c r="A323" s="442"/>
      <c r="B323" s="442"/>
      <c r="C323" s="442"/>
      <c r="D323" s="442"/>
      <c r="E323" s="442"/>
      <c r="F323" s="442"/>
      <c r="G323" s="442"/>
      <c r="H323" s="442"/>
      <c r="I323" s="442"/>
      <c r="J323" s="442"/>
      <c r="K323" s="442"/>
      <c r="L323" s="442"/>
    </row>
    <row r="324" spans="1:12">
      <c r="A324" s="442"/>
      <c r="B324" s="442"/>
      <c r="C324" s="442"/>
      <c r="D324" s="442"/>
      <c r="E324" s="442"/>
      <c r="F324" s="442"/>
      <c r="G324" s="442"/>
      <c r="H324" s="442"/>
      <c r="I324" s="442"/>
      <c r="J324" s="442"/>
      <c r="K324" s="442"/>
      <c r="L324" s="442"/>
    </row>
    <row r="325" spans="1:12">
      <c r="A325" s="442"/>
      <c r="B325" s="442"/>
      <c r="C325" s="442"/>
      <c r="D325" s="442"/>
      <c r="E325" s="442"/>
      <c r="F325" s="442"/>
      <c r="G325" s="442"/>
      <c r="H325" s="442"/>
      <c r="I325" s="442"/>
      <c r="J325" s="442"/>
      <c r="K325" s="442"/>
      <c r="L325" s="442"/>
    </row>
    <row r="326" spans="1:12">
      <c r="A326" s="442"/>
      <c r="B326" s="442"/>
      <c r="C326" s="442"/>
      <c r="D326" s="442"/>
      <c r="E326" s="442"/>
      <c r="F326" s="442"/>
      <c r="G326" s="442"/>
      <c r="H326" s="442"/>
      <c r="I326" s="442"/>
      <c r="J326" s="442"/>
      <c r="K326" s="442"/>
      <c r="L326" s="442"/>
    </row>
    <row r="327" spans="1:12">
      <c r="A327" s="442"/>
      <c r="B327" s="442"/>
      <c r="C327" s="442"/>
      <c r="D327" s="442"/>
      <c r="E327" s="442"/>
      <c r="F327" s="442"/>
      <c r="G327" s="442"/>
      <c r="H327" s="442"/>
      <c r="I327" s="442"/>
      <c r="J327" s="442"/>
      <c r="K327" s="442"/>
      <c r="L327" s="442"/>
    </row>
    <row r="328" spans="1:12">
      <c r="A328" s="442"/>
      <c r="B328" s="442"/>
      <c r="C328" s="442"/>
      <c r="D328" s="442"/>
      <c r="E328" s="442"/>
      <c r="F328" s="442"/>
      <c r="G328" s="442"/>
      <c r="H328" s="442"/>
      <c r="I328" s="442"/>
      <c r="J328" s="442"/>
      <c r="K328" s="442"/>
      <c r="L328" s="442"/>
    </row>
    <row r="329" spans="1:12">
      <c r="A329" s="442"/>
      <c r="B329" s="442"/>
      <c r="C329" s="442"/>
      <c r="D329" s="442"/>
      <c r="E329" s="442"/>
      <c r="F329" s="442"/>
      <c r="G329" s="442"/>
      <c r="H329" s="442"/>
      <c r="I329" s="442"/>
      <c r="J329" s="442"/>
      <c r="K329" s="442"/>
      <c r="L329" s="442"/>
    </row>
    <row r="330" spans="1:12">
      <c r="A330" s="442"/>
      <c r="B330" s="442"/>
      <c r="C330" s="442"/>
      <c r="D330" s="442"/>
      <c r="E330" s="442"/>
      <c r="F330" s="442"/>
      <c r="G330" s="442"/>
      <c r="H330" s="442"/>
      <c r="I330" s="442"/>
      <c r="J330" s="442"/>
      <c r="K330" s="442"/>
      <c r="L330" s="442"/>
    </row>
    <row r="331" spans="1:12">
      <c r="A331" s="442"/>
      <c r="B331" s="442"/>
      <c r="C331" s="442"/>
      <c r="D331" s="442"/>
      <c r="E331" s="442"/>
      <c r="F331" s="442"/>
      <c r="G331" s="442"/>
      <c r="H331" s="442"/>
      <c r="I331" s="442"/>
      <c r="J331" s="442"/>
      <c r="K331" s="442"/>
      <c r="L331" s="442"/>
    </row>
    <row r="332" spans="1:12">
      <c r="A332" s="442"/>
      <c r="B332" s="442"/>
      <c r="C332" s="442"/>
      <c r="D332" s="442"/>
      <c r="E332" s="442"/>
      <c r="F332" s="442"/>
      <c r="G332" s="442"/>
      <c r="H332" s="442"/>
      <c r="I332" s="442"/>
      <c r="J332" s="442"/>
      <c r="K332" s="442"/>
      <c r="L332" s="442"/>
    </row>
    <row r="333" spans="1:12">
      <c r="A333" s="442"/>
      <c r="B333" s="442"/>
      <c r="C333" s="442"/>
      <c r="D333" s="442"/>
      <c r="E333" s="442"/>
      <c r="F333" s="442"/>
      <c r="G333" s="442"/>
      <c r="H333" s="442"/>
      <c r="I333" s="442"/>
      <c r="J333" s="442"/>
      <c r="K333" s="442"/>
      <c r="L333" s="442"/>
    </row>
    <row r="334" spans="1:12">
      <c r="A334" s="442"/>
      <c r="B334" s="442"/>
      <c r="C334" s="442"/>
      <c r="D334" s="442"/>
      <c r="E334" s="442"/>
      <c r="F334" s="442"/>
      <c r="G334" s="442"/>
      <c r="H334" s="442"/>
      <c r="I334" s="442"/>
      <c r="J334" s="442"/>
      <c r="K334" s="442"/>
      <c r="L334" s="442"/>
    </row>
    <row r="335" spans="1:12">
      <c r="A335" s="442"/>
      <c r="B335" s="442"/>
      <c r="C335" s="442"/>
      <c r="D335" s="442"/>
      <c r="E335" s="442"/>
      <c r="F335" s="442"/>
      <c r="G335" s="442"/>
      <c r="H335" s="442"/>
      <c r="I335" s="442"/>
      <c r="J335" s="442"/>
      <c r="K335" s="442"/>
      <c r="L335" s="442"/>
    </row>
    <row r="336" spans="1:12">
      <c r="A336" s="442"/>
      <c r="B336" s="442"/>
      <c r="C336" s="442"/>
      <c r="D336" s="442"/>
      <c r="E336" s="442"/>
      <c r="F336" s="442"/>
      <c r="G336" s="442"/>
      <c r="H336" s="442"/>
      <c r="I336" s="442"/>
      <c r="J336" s="442"/>
      <c r="K336" s="442"/>
      <c r="L336" s="442"/>
    </row>
    <row r="337" spans="1:12">
      <c r="A337" s="442"/>
      <c r="B337" s="442"/>
      <c r="C337" s="442"/>
      <c r="D337" s="442"/>
      <c r="E337" s="442"/>
      <c r="F337" s="442"/>
      <c r="G337" s="442"/>
      <c r="H337" s="442"/>
      <c r="I337" s="442"/>
      <c r="J337" s="442"/>
      <c r="K337" s="442"/>
      <c r="L337" s="442"/>
    </row>
    <row r="338" spans="1:12">
      <c r="A338" s="442"/>
      <c r="B338" s="442"/>
      <c r="C338" s="442"/>
      <c r="D338" s="442"/>
      <c r="E338" s="442"/>
      <c r="F338" s="442"/>
      <c r="G338" s="442"/>
      <c r="H338" s="442"/>
      <c r="I338" s="442"/>
      <c r="J338" s="442"/>
      <c r="K338" s="442"/>
      <c r="L338" s="442"/>
    </row>
    <row r="339" spans="1:12">
      <c r="A339" s="442"/>
      <c r="B339" s="442"/>
      <c r="C339" s="442"/>
      <c r="D339" s="442"/>
      <c r="E339" s="442"/>
      <c r="F339" s="442"/>
      <c r="G339" s="442"/>
      <c r="H339" s="442"/>
      <c r="I339" s="442"/>
      <c r="J339" s="442"/>
      <c r="K339" s="442"/>
      <c r="L339" s="442"/>
    </row>
    <row r="340" spans="1:12">
      <c r="A340" s="442"/>
      <c r="B340" s="442"/>
      <c r="C340" s="442"/>
      <c r="D340" s="442"/>
      <c r="E340" s="442"/>
      <c r="F340" s="442"/>
      <c r="G340" s="442"/>
      <c r="H340" s="442"/>
      <c r="I340" s="442"/>
      <c r="J340" s="442"/>
      <c r="K340" s="442"/>
      <c r="L340" s="442"/>
    </row>
    <row r="341" spans="1:12">
      <c r="A341" s="442"/>
      <c r="B341" s="442"/>
      <c r="C341" s="442"/>
      <c r="D341" s="442"/>
      <c r="E341" s="442"/>
      <c r="F341" s="442"/>
      <c r="G341" s="442"/>
      <c r="H341" s="442"/>
      <c r="I341" s="442"/>
      <c r="J341" s="442"/>
      <c r="K341" s="442"/>
      <c r="L341" s="442"/>
    </row>
    <row r="342" spans="1:12">
      <c r="A342" s="442"/>
      <c r="B342" s="442"/>
      <c r="C342" s="442"/>
      <c r="D342" s="442"/>
      <c r="E342" s="442"/>
      <c r="F342" s="442"/>
      <c r="G342" s="442"/>
      <c r="H342" s="442"/>
      <c r="I342" s="442"/>
      <c r="J342" s="442"/>
      <c r="K342" s="442"/>
      <c r="L342" s="442"/>
    </row>
    <row r="343" spans="1:12">
      <c r="A343" s="442"/>
      <c r="B343" s="442"/>
      <c r="C343" s="442"/>
      <c r="D343" s="442"/>
      <c r="E343" s="442"/>
      <c r="F343" s="442"/>
      <c r="G343" s="442"/>
      <c r="H343" s="442"/>
      <c r="I343" s="442"/>
      <c r="J343" s="442"/>
      <c r="K343" s="442"/>
      <c r="L343" s="442"/>
    </row>
    <row r="344" spans="1:12">
      <c r="A344" s="442"/>
      <c r="B344" s="442"/>
      <c r="C344" s="442"/>
      <c r="D344" s="442"/>
      <c r="E344" s="442"/>
      <c r="F344" s="442"/>
      <c r="G344" s="442"/>
      <c r="H344" s="442"/>
      <c r="I344" s="442"/>
      <c r="J344" s="442"/>
      <c r="K344" s="442"/>
      <c r="L344" s="442"/>
    </row>
    <row r="345" spans="1:12">
      <c r="A345" s="442"/>
      <c r="B345" s="442"/>
      <c r="C345" s="442"/>
      <c r="D345" s="442"/>
      <c r="E345" s="442"/>
      <c r="F345" s="442"/>
      <c r="G345" s="442"/>
      <c r="H345" s="442"/>
      <c r="I345" s="442"/>
      <c r="J345" s="442"/>
      <c r="K345" s="442"/>
      <c r="L345" s="442"/>
    </row>
    <row r="346" spans="1:12">
      <c r="A346" s="442"/>
      <c r="B346" s="442"/>
      <c r="C346" s="442"/>
      <c r="D346" s="442"/>
      <c r="E346" s="442"/>
      <c r="F346" s="442"/>
      <c r="G346" s="442"/>
      <c r="H346" s="442"/>
      <c r="I346" s="442"/>
      <c r="J346" s="442"/>
      <c r="K346" s="442"/>
      <c r="L346" s="442"/>
    </row>
    <row r="347" spans="1:12">
      <c r="A347" s="442"/>
      <c r="B347" s="442"/>
      <c r="C347" s="442"/>
      <c r="D347" s="442"/>
      <c r="E347" s="442"/>
      <c r="F347" s="442"/>
      <c r="G347" s="442"/>
      <c r="H347" s="442"/>
      <c r="I347" s="442"/>
      <c r="J347" s="442"/>
      <c r="K347" s="442"/>
      <c r="L347" s="442"/>
    </row>
    <row r="348" spans="1:12">
      <c r="A348" s="442"/>
      <c r="B348" s="442"/>
      <c r="C348" s="442"/>
      <c r="D348" s="442"/>
      <c r="E348" s="442"/>
      <c r="F348" s="442"/>
      <c r="G348" s="442"/>
      <c r="H348" s="442"/>
      <c r="I348" s="442"/>
      <c r="J348" s="442"/>
      <c r="K348" s="442"/>
      <c r="L348" s="442"/>
    </row>
    <row r="349" spans="1:12">
      <c r="A349" s="442"/>
      <c r="B349" s="442"/>
      <c r="C349" s="442"/>
      <c r="D349" s="442"/>
      <c r="E349" s="442"/>
      <c r="F349" s="442"/>
      <c r="G349" s="442"/>
      <c r="H349" s="442"/>
      <c r="I349" s="442"/>
      <c r="J349" s="442"/>
      <c r="K349" s="442"/>
      <c r="L349" s="442"/>
    </row>
    <row r="350" spans="1:12">
      <c r="A350" s="442"/>
      <c r="B350" s="442"/>
      <c r="C350" s="442"/>
      <c r="D350" s="442"/>
      <c r="E350" s="442"/>
      <c r="F350" s="442"/>
      <c r="G350" s="442"/>
      <c r="H350" s="442"/>
      <c r="I350" s="442"/>
      <c r="J350" s="442"/>
      <c r="K350" s="442"/>
      <c r="L350" s="442"/>
    </row>
    <row r="351" spans="1:12">
      <c r="A351" s="442"/>
      <c r="B351" s="442"/>
      <c r="C351" s="442"/>
      <c r="D351" s="442"/>
      <c r="E351" s="442"/>
      <c r="F351" s="442"/>
      <c r="G351" s="442"/>
      <c r="H351" s="442"/>
      <c r="I351" s="442"/>
      <c r="J351" s="442"/>
      <c r="K351" s="442"/>
      <c r="L351" s="442"/>
    </row>
    <row r="352" spans="1:12">
      <c r="A352" s="442"/>
      <c r="B352" s="442"/>
      <c r="C352" s="442"/>
      <c r="D352" s="442"/>
      <c r="E352" s="442"/>
      <c r="F352" s="442"/>
      <c r="G352" s="442"/>
      <c r="H352" s="442"/>
      <c r="I352" s="442"/>
      <c r="J352" s="442"/>
      <c r="K352" s="442"/>
      <c r="L352" s="442"/>
    </row>
    <row r="353" spans="1:12">
      <c r="A353" s="442"/>
      <c r="B353" s="442"/>
      <c r="C353" s="442"/>
      <c r="D353" s="442"/>
      <c r="E353" s="442"/>
      <c r="F353" s="442"/>
      <c r="G353" s="442"/>
      <c r="H353" s="442"/>
      <c r="I353" s="442"/>
      <c r="J353" s="442"/>
      <c r="K353" s="442"/>
      <c r="L353" s="442"/>
    </row>
    <row r="354" spans="1:12">
      <c r="A354" s="442"/>
      <c r="B354" s="442"/>
      <c r="C354" s="442"/>
      <c r="D354" s="442"/>
      <c r="E354" s="442"/>
      <c r="F354" s="442"/>
      <c r="G354" s="442"/>
      <c r="H354" s="442"/>
      <c r="I354" s="442"/>
      <c r="J354" s="442"/>
      <c r="K354" s="442"/>
      <c r="L354" s="442"/>
    </row>
  </sheetData>
  <mergeCells count="55">
    <mergeCell ref="B110:K110"/>
    <mergeCell ref="C120:D120"/>
    <mergeCell ref="B106:K106"/>
    <mergeCell ref="B108:K108"/>
    <mergeCell ref="B6:K6"/>
    <mergeCell ref="B7:K7"/>
    <mergeCell ref="B8:K8"/>
    <mergeCell ref="B10:K10"/>
    <mergeCell ref="B12:K12"/>
    <mergeCell ref="C25:D25"/>
    <mergeCell ref="F23:G23"/>
    <mergeCell ref="B30:K30"/>
    <mergeCell ref="B31:K31"/>
    <mergeCell ref="B33:K33"/>
    <mergeCell ref="B35:K35"/>
    <mergeCell ref="C41:D41"/>
    <mergeCell ref="B48:C48"/>
    <mergeCell ref="G50:H50"/>
    <mergeCell ref="I51:K51"/>
    <mergeCell ref="B52:K52"/>
    <mergeCell ref="B53:K53"/>
    <mergeCell ref="B58:K58"/>
    <mergeCell ref="B55:K55"/>
    <mergeCell ref="B57:K57"/>
    <mergeCell ref="C74:D74"/>
    <mergeCell ref="C77:D77"/>
    <mergeCell ref="C80:D80"/>
    <mergeCell ref="C83:D83"/>
    <mergeCell ref="B85:K85"/>
    <mergeCell ref="B86:K86"/>
    <mergeCell ref="B88:K88"/>
    <mergeCell ref="B90:K90"/>
    <mergeCell ref="C94:D94"/>
    <mergeCell ref="C97:D97"/>
    <mergeCell ref="C100:D100"/>
    <mergeCell ref="B105:K105"/>
    <mergeCell ref="C103:D103"/>
    <mergeCell ref="C136:D136"/>
    <mergeCell ref="C137:D137"/>
    <mergeCell ref="C114:D114"/>
    <mergeCell ref="C117:D117"/>
    <mergeCell ref="B125:K125"/>
    <mergeCell ref="B126:K126"/>
    <mergeCell ref="B128:K128"/>
    <mergeCell ref="B130:K130"/>
    <mergeCell ref="C123:D123"/>
    <mergeCell ref="C133:D133"/>
    <mergeCell ref="H133:I133"/>
    <mergeCell ref="C134:D134"/>
    <mergeCell ref="H134:I134"/>
    <mergeCell ref="B144:K144"/>
    <mergeCell ref="C147:D147"/>
    <mergeCell ref="J147:K147"/>
    <mergeCell ref="C148:D148"/>
    <mergeCell ref="J148:K148"/>
  </mergeCells>
  <pageMargins left="0.7" right="0.7" top="0.75" bottom="0.75" header="0.3" footer="0.3"/>
  <pageSetup scale="71" orientation="portrait" blackAndWhite="1" r:id="rId1"/>
</worksheet>
</file>

<file path=xl/worksheets/sheet43.xml><?xml version="1.0" encoding="utf-8"?>
<worksheet xmlns="http://schemas.openxmlformats.org/spreadsheetml/2006/main" xmlns:r="http://schemas.openxmlformats.org/officeDocument/2006/relationships">
  <dimension ref="A1:A40"/>
  <sheetViews>
    <sheetView workbookViewId="0">
      <selection activeCell="C11" sqref="C11"/>
    </sheetView>
  </sheetViews>
  <sheetFormatPr defaultRowHeight="15"/>
  <cols>
    <col min="1" max="1" width="71.21875" customWidth="1"/>
  </cols>
  <sheetData>
    <row r="1" spans="1:1" ht="16.5">
      <c r="A1" s="454" t="s">
        <v>645</v>
      </c>
    </row>
    <row r="3" spans="1:1" ht="31.5">
      <c r="A3" s="455" t="s">
        <v>646</v>
      </c>
    </row>
    <row r="4" spans="1:1" ht="15.75">
      <c r="A4" s="456" t="s">
        <v>647</v>
      </c>
    </row>
    <row r="7" spans="1:1" ht="31.5">
      <c r="A7" s="455" t="s">
        <v>648</v>
      </c>
    </row>
    <row r="8" spans="1:1" ht="15.75">
      <c r="A8" s="456" t="s">
        <v>649</v>
      </c>
    </row>
    <row r="11" spans="1:1" ht="15.75">
      <c r="A11" s="384" t="s">
        <v>650</v>
      </c>
    </row>
    <row r="12" spans="1:1" ht="15.75">
      <c r="A12" s="456" t="s">
        <v>651</v>
      </c>
    </row>
    <row r="15" spans="1:1" ht="15.75">
      <c r="A15" s="384" t="s">
        <v>652</v>
      </c>
    </row>
    <row r="16" spans="1:1" ht="15.75">
      <c r="A16" s="456" t="s">
        <v>653</v>
      </c>
    </row>
    <row r="19" spans="1:1" ht="15.75">
      <c r="A19" s="384" t="s">
        <v>654</v>
      </c>
    </row>
    <row r="20" spans="1:1" ht="15.75">
      <c r="A20" s="456" t="s">
        <v>655</v>
      </c>
    </row>
    <row r="23" spans="1:1" ht="15.75">
      <c r="A23" s="384" t="s">
        <v>656</v>
      </c>
    </row>
    <row r="24" spans="1:1" ht="15.75">
      <c r="A24" s="456" t="s">
        <v>657</v>
      </c>
    </row>
    <row r="27" spans="1:1" ht="15.75">
      <c r="A27" s="384" t="s">
        <v>658</v>
      </c>
    </row>
    <row r="28" spans="1:1" ht="15.75">
      <c r="A28" s="456" t="s">
        <v>659</v>
      </c>
    </row>
    <row r="31" spans="1:1" ht="15.75">
      <c r="A31" s="384" t="s">
        <v>660</v>
      </c>
    </row>
    <row r="32" spans="1:1" ht="15.75">
      <c r="A32" s="456" t="s">
        <v>661</v>
      </c>
    </row>
    <row r="35" spans="1:1" ht="15.75">
      <c r="A35" s="384" t="s">
        <v>662</v>
      </c>
    </row>
    <row r="36" spans="1:1" ht="15.75">
      <c r="A36" s="456" t="s">
        <v>663</v>
      </c>
    </row>
    <row r="39" spans="1:1" ht="15.75">
      <c r="A39" s="384" t="s">
        <v>664</v>
      </c>
    </row>
    <row r="40" spans="1:1" ht="15.75">
      <c r="A40" s="456" t="s">
        <v>665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44.xml><?xml version="1.0" encoding="utf-8"?>
<worksheet xmlns="http://schemas.openxmlformats.org/spreadsheetml/2006/main" xmlns:r="http://schemas.openxmlformats.org/officeDocument/2006/relationships">
  <dimension ref="A1:A198"/>
  <sheetViews>
    <sheetView workbookViewId="0">
      <selection activeCell="C13" sqref="C13"/>
    </sheetView>
  </sheetViews>
  <sheetFormatPr defaultRowHeight="15.75"/>
  <cols>
    <col min="1" max="1" width="82.88671875" style="8" customWidth="1"/>
    <col min="2" max="16384" width="8.88671875" style="8"/>
  </cols>
  <sheetData>
    <row r="1" spans="1:1">
      <c r="A1" s="388" t="s">
        <v>973</v>
      </c>
    </row>
    <row r="2" spans="1:1">
      <c r="A2" s="8" t="s">
        <v>974</v>
      </c>
    </row>
    <row r="4" spans="1:1">
      <c r="A4" s="388" t="s">
        <v>970</v>
      </c>
    </row>
    <row r="5" spans="1:1">
      <c r="A5" s="8" t="s">
        <v>971</v>
      </c>
    </row>
    <row r="7" spans="1:1">
      <c r="A7" s="388" t="s">
        <v>967</v>
      </c>
    </row>
    <row r="8" spans="1:1">
      <c r="A8" s="8" t="s">
        <v>968</v>
      </c>
    </row>
    <row r="9" spans="1:1">
      <c r="A9" s="8" t="s">
        <v>969</v>
      </c>
    </row>
    <row r="11" spans="1:1">
      <c r="A11" s="388" t="s">
        <v>892</v>
      </c>
    </row>
    <row r="12" spans="1:1">
      <c r="A12" s="676" t="s">
        <v>893</v>
      </c>
    </row>
    <row r="13" spans="1:1">
      <c r="A13" s="8" t="s">
        <v>894</v>
      </c>
    </row>
    <row r="14" spans="1:1">
      <c r="A14" s="8" t="s">
        <v>895</v>
      </c>
    </row>
    <row r="15" spans="1:1">
      <c r="A15" s="8" t="s">
        <v>896</v>
      </c>
    </row>
    <row r="16" spans="1:1">
      <c r="A16" s="8" t="s">
        <v>897</v>
      </c>
    </row>
    <row r="17" spans="1:1">
      <c r="A17" s="8" t="s">
        <v>898</v>
      </c>
    </row>
    <row r="18" spans="1:1">
      <c r="A18" s="8" t="s">
        <v>899</v>
      </c>
    </row>
    <row r="19" spans="1:1">
      <c r="A19" s="8" t="s">
        <v>900</v>
      </c>
    </row>
    <row r="20" spans="1:1">
      <c r="A20" s="8" t="s">
        <v>901</v>
      </c>
    </row>
    <row r="21" spans="1:1">
      <c r="A21" s="8" t="s">
        <v>902</v>
      </c>
    </row>
    <row r="22" spans="1:1">
      <c r="A22" s="8" t="s">
        <v>903</v>
      </c>
    </row>
    <row r="23" spans="1:1">
      <c r="A23" s="8" t="s">
        <v>904</v>
      </c>
    </row>
    <row r="24" spans="1:1">
      <c r="A24" s="8" t="s">
        <v>905</v>
      </c>
    </row>
    <row r="25" spans="1:1">
      <c r="A25" s="8" t="s">
        <v>906</v>
      </c>
    </row>
    <row r="26" spans="1:1">
      <c r="A26" s="8" t="s">
        <v>907</v>
      </c>
    </row>
    <row r="27" spans="1:1">
      <c r="A27" s="8" t="s">
        <v>908</v>
      </c>
    </row>
    <row r="28" spans="1:1" ht="47.25">
      <c r="A28" s="11" t="s">
        <v>909</v>
      </c>
    </row>
    <row r="29" spans="1:1">
      <c r="A29" s="10" t="s">
        <v>910</v>
      </c>
    </row>
    <row r="30" spans="1:1" ht="31.5">
      <c r="A30" s="11" t="s">
        <v>911</v>
      </c>
    </row>
    <row r="31" spans="1:1">
      <c r="A31" s="8" t="s">
        <v>912</v>
      </c>
    </row>
    <row r="32" spans="1:1">
      <c r="A32" s="8" t="s">
        <v>913</v>
      </c>
    </row>
    <row r="33" spans="1:1">
      <c r="A33" s="8" t="s">
        <v>914</v>
      </c>
    </row>
    <row r="34" spans="1:1">
      <c r="A34" s="8" t="s">
        <v>915</v>
      </c>
    </row>
    <row r="35" spans="1:1">
      <c r="A35" s="8" t="s">
        <v>916</v>
      </c>
    </row>
    <row r="36" spans="1:1">
      <c r="A36" s="8" t="s">
        <v>917</v>
      </c>
    </row>
    <row r="37" spans="1:1">
      <c r="A37" s="8" t="s">
        <v>918</v>
      </c>
    </row>
    <row r="38" spans="1:1">
      <c r="A38" s="8" t="s">
        <v>919</v>
      </c>
    </row>
    <row r="39" spans="1:1">
      <c r="A39" s="8" t="s">
        <v>920</v>
      </c>
    </row>
    <row r="40" spans="1:1">
      <c r="A40" s="8" t="s">
        <v>921</v>
      </c>
    </row>
    <row r="41" spans="1:1">
      <c r="A41" s="8" t="s">
        <v>922</v>
      </c>
    </row>
    <row r="42" spans="1:1">
      <c r="A42" s="8" t="s">
        <v>923</v>
      </c>
    </row>
    <row r="43" spans="1:1">
      <c r="A43" s="8" t="s">
        <v>924</v>
      </c>
    </row>
    <row r="44" spans="1:1">
      <c r="A44" s="8" t="s">
        <v>925</v>
      </c>
    </row>
    <row r="45" spans="1:1">
      <c r="A45" s="8" t="s">
        <v>926</v>
      </c>
    </row>
    <row r="46" spans="1:1">
      <c r="A46" s="8" t="s">
        <v>927</v>
      </c>
    </row>
    <row r="48" spans="1:1">
      <c r="A48" s="388" t="s">
        <v>799</v>
      </c>
    </row>
    <row r="49" spans="1:1">
      <c r="A49" s="8" t="s">
        <v>800</v>
      </c>
    </row>
    <row r="50" spans="1:1">
      <c r="A50" s="8" t="s">
        <v>801</v>
      </c>
    </row>
    <row r="52" spans="1:1">
      <c r="A52" s="388" t="s">
        <v>797</v>
      </c>
    </row>
    <row r="53" spans="1:1">
      <c r="A53" s="8" t="s">
        <v>798</v>
      </c>
    </row>
    <row r="55" spans="1:1">
      <c r="A55" s="388" t="s">
        <v>795</v>
      </c>
    </row>
    <row r="56" spans="1:1">
      <c r="A56" s="8" t="s">
        <v>796</v>
      </c>
    </row>
    <row r="58" spans="1:1">
      <c r="A58" s="388" t="s">
        <v>794</v>
      </c>
    </row>
    <row r="59" spans="1:1">
      <c r="A59" s="390" t="s">
        <v>793</v>
      </c>
    </row>
    <row r="61" spans="1:1">
      <c r="A61" s="388" t="s">
        <v>642</v>
      </c>
    </row>
    <row r="62" spans="1:1">
      <c r="A62" s="390" t="s">
        <v>639</v>
      </c>
    </row>
    <row r="63" spans="1:1">
      <c r="A63" s="390" t="s">
        <v>640</v>
      </c>
    </row>
    <row r="64" spans="1:1" ht="31.5">
      <c r="A64" s="389" t="s">
        <v>641</v>
      </c>
    </row>
    <row r="65" spans="1:1">
      <c r="A65" s="390" t="s">
        <v>757</v>
      </c>
    </row>
    <row r="66" spans="1:1">
      <c r="A66" s="390" t="s">
        <v>758</v>
      </c>
    </row>
    <row r="67" spans="1:1">
      <c r="A67" s="390" t="s">
        <v>759</v>
      </c>
    </row>
    <row r="68" spans="1:1">
      <c r="A68" s="390" t="s">
        <v>760</v>
      </c>
    </row>
    <row r="69" spans="1:1">
      <c r="A69" s="390" t="s">
        <v>761</v>
      </c>
    </row>
    <row r="70" spans="1:1">
      <c r="A70" s="390" t="s">
        <v>762</v>
      </c>
    </row>
    <row r="71" spans="1:1">
      <c r="A71" s="390" t="s">
        <v>763</v>
      </c>
    </row>
    <row r="72" spans="1:1">
      <c r="A72" s="390" t="s">
        <v>764</v>
      </c>
    </row>
    <row r="73" spans="1:1">
      <c r="A73" s="390" t="s">
        <v>765</v>
      </c>
    </row>
    <row r="74" spans="1:1">
      <c r="A74" s="390" t="s">
        <v>766</v>
      </c>
    </row>
    <row r="75" spans="1:1">
      <c r="A75" s="390" t="s">
        <v>767</v>
      </c>
    </row>
    <row r="76" spans="1:1">
      <c r="A76" s="390" t="s">
        <v>768</v>
      </c>
    </row>
    <row r="77" spans="1:1">
      <c r="A77" s="390" t="s">
        <v>769</v>
      </c>
    </row>
    <row r="78" spans="1:1">
      <c r="A78" s="390" t="s">
        <v>770</v>
      </c>
    </row>
    <row r="79" spans="1:1">
      <c r="A79" s="390" t="s">
        <v>771</v>
      </c>
    </row>
    <row r="80" spans="1:1">
      <c r="A80" s="390" t="s">
        <v>772</v>
      </c>
    </row>
    <row r="81" spans="1:1">
      <c r="A81" s="390" t="s">
        <v>773</v>
      </c>
    </row>
    <row r="82" spans="1:1">
      <c r="A82" s="390" t="s">
        <v>774</v>
      </c>
    </row>
    <row r="83" spans="1:1">
      <c r="A83" s="390" t="s">
        <v>775</v>
      </c>
    </row>
    <row r="84" spans="1:1">
      <c r="A84" s="390" t="s">
        <v>776</v>
      </c>
    </row>
    <row r="85" spans="1:1">
      <c r="A85" s="390" t="s">
        <v>777</v>
      </c>
    </row>
    <row r="86" spans="1:1">
      <c r="A86" s="390" t="s">
        <v>778</v>
      </c>
    </row>
    <row r="87" spans="1:1">
      <c r="A87" s="390" t="s">
        <v>779</v>
      </c>
    </row>
    <row r="88" spans="1:1">
      <c r="A88" s="390" t="s">
        <v>780</v>
      </c>
    </row>
    <row r="89" spans="1:1">
      <c r="A89" s="390" t="s">
        <v>781</v>
      </c>
    </row>
    <row r="92" spans="1:1">
      <c r="A92" s="344" t="s">
        <v>624</v>
      </c>
    </row>
    <row r="93" spans="1:1">
      <c r="A93" s="8" t="s">
        <v>625</v>
      </c>
    </row>
    <row r="94" spans="1:1">
      <c r="A94" s="8" t="s">
        <v>626</v>
      </c>
    </row>
    <row r="95" spans="1:1">
      <c r="A95" s="8" t="s">
        <v>627</v>
      </c>
    </row>
    <row r="97" spans="1:1">
      <c r="A97" s="344" t="s">
        <v>614</v>
      </c>
    </row>
    <row r="98" spans="1:1">
      <c r="A98" s="8" t="s">
        <v>623</v>
      </c>
    </row>
    <row r="100" spans="1:1">
      <c r="A100" s="344" t="s">
        <v>598</v>
      </c>
    </row>
    <row r="101" spans="1:1">
      <c r="A101" s="342" t="s">
        <v>599</v>
      </c>
    </row>
    <row r="102" spans="1:1">
      <c r="A102" s="342" t="s">
        <v>600</v>
      </c>
    </row>
    <row r="103" spans="1:1">
      <c r="A103" s="342" t="s">
        <v>601</v>
      </c>
    </row>
    <row r="105" spans="1:1">
      <c r="A105" s="320" t="s">
        <v>371</v>
      </c>
    </row>
    <row r="106" spans="1:1">
      <c r="A106" s="329" t="s">
        <v>373</v>
      </c>
    </row>
    <row r="107" spans="1:1">
      <c r="A107" s="327" t="s">
        <v>374</v>
      </c>
    </row>
    <row r="108" spans="1:1">
      <c r="A108" s="327" t="s">
        <v>375</v>
      </c>
    </row>
    <row r="109" spans="1:1" ht="21" customHeight="1">
      <c r="A109" s="328" t="s">
        <v>376</v>
      </c>
    </row>
    <row r="110" spans="1:1">
      <c r="A110" s="327" t="s">
        <v>377</v>
      </c>
    </row>
    <row r="111" spans="1:1">
      <c r="A111" s="327" t="s">
        <v>378</v>
      </c>
    </row>
    <row r="112" spans="1:1">
      <c r="A112" s="327" t="s">
        <v>379</v>
      </c>
    </row>
    <row r="113" spans="1:1">
      <c r="A113" s="327" t="s">
        <v>380</v>
      </c>
    </row>
    <row r="114" spans="1:1">
      <c r="A114" s="8" t="s">
        <v>381</v>
      </c>
    </row>
    <row r="116" spans="1:1">
      <c r="A116" s="320" t="s">
        <v>342</v>
      </c>
    </row>
    <row r="117" spans="1:1">
      <c r="A117" s="8" t="s">
        <v>343</v>
      </c>
    </row>
    <row r="118" spans="1:1">
      <c r="A118" s="8" t="s">
        <v>344</v>
      </c>
    </row>
    <row r="119" spans="1:1">
      <c r="A119" s="8" t="s">
        <v>345</v>
      </c>
    </row>
    <row r="120" spans="1:1">
      <c r="A120" s="8" t="s">
        <v>346</v>
      </c>
    </row>
    <row r="122" spans="1:1">
      <c r="A122" s="320" t="s">
        <v>339</v>
      </c>
    </row>
    <row r="123" spans="1:1">
      <c r="A123" s="8" t="s">
        <v>340</v>
      </c>
    </row>
    <row r="124" spans="1:1">
      <c r="A124" s="8" t="s">
        <v>341</v>
      </c>
    </row>
    <row r="126" spans="1:1">
      <c r="A126" s="320" t="s">
        <v>321</v>
      </c>
    </row>
    <row r="127" spans="1:1">
      <c r="A127" s="8" t="s">
        <v>309</v>
      </c>
    </row>
    <row r="128" spans="1:1">
      <c r="A128" s="8" t="s">
        <v>310</v>
      </c>
    </row>
    <row r="129" spans="1:1">
      <c r="A129" s="8" t="s">
        <v>311</v>
      </c>
    </row>
    <row r="130" spans="1:1">
      <c r="A130" s="8" t="s">
        <v>304</v>
      </c>
    </row>
    <row r="131" spans="1:1">
      <c r="A131" s="8" t="s">
        <v>312</v>
      </c>
    </row>
    <row r="132" spans="1:1">
      <c r="A132" s="8" t="s">
        <v>313</v>
      </c>
    </row>
    <row r="133" spans="1:1" ht="31.5">
      <c r="A133" s="11" t="s">
        <v>314</v>
      </c>
    </row>
    <row r="134" spans="1:1" ht="31.5">
      <c r="A134" s="11" t="s">
        <v>315</v>
      </c>
    </row>
    <row r="135" spans="1:1">
      <c r="A135" s="11" t="s">
        <v>322</v>
      </c>
    </row>
    <row r="136" spans="1:1">
      <c r="A136" s="11" t="s">
        <v>316</v>
      </c>
    </row>
    <row r="137" spans="1:1" ht="31.5">
      <c r="A137" s="11" t="s">
        <v>317</v>
      </c>
    </row>
    <row r="138" spans="1:1">
      <c r="A138" s="8" t="s">
        <v>318</v>
      </c>
    </row>
    <row r="139" spans="1:1" ht="31.5">
      <c r="A139" s="11" t="s">
        <v>323</v>
      </c>
    </row>
    <row r="140" spans="1:1">
      <c r="A140" s="8" t="s">
        <v>189</v>
      </c>
    </row>
    <row r="141" spans="1:1">
      <c r="A141" s="8" t="s">
        <v>319</v>
      </c>
    </row>
    <row r="142" spans="1:1" ht="35.25" customHeight="1">
      <c r="A142" s="8" t="s">
        <v>320</v>
      </c>
    </row>
    <row r="143" spans="1:1" ht="20.25" customHeight="1">
      <c r="A143" s="11" t="s">
        <v>188</v>
      </c>
    </row>
    <row r="144" spans="1:1">
      <c r="A144" s="8" t="s">
        <v>190</v>
      </c>
    </row>
    <row r="145" spans="1:1" ht="31.5">
      <c r="A145" s="11" t="s">
        <v>186</v>
      </c>
    </row>
    <row r="146" spans="1:1">
      <c r="A146" s="8" t="s">
        <v>187</v>
      </c>
    </row>
    <row r="148" spans="1:1">
      <c r="A148" s="320" t="s">
        <v>324</v>
      </c>
    </row>
    <row r="149" spans="1:1">
      <c r="A149" s="8" t="s">
        <v>325</v>
      </c>
    </row>
    <row r="150" spans="1:1">
      <c r="A150" s="8" t="s">
        <v>326</v>
      </c>
    </row>
    <row r="151" spans="1:1">
      <c r="A151" s="8" t="s">
        <v>327</v>
      </c>
    </row>
    <row r="152" spans="1:1">
      <c r="A152" s="8" t="s">
        <v>328</v>
      </c>
    </row>
    <row r="154" spans="1:1">
      <c r="A154" s="320" t="s">
        <v>301</v>
      </c>
    </row>
    <row r="155" spans="1:1">
      <c r="A155" s="8" t="s">
        <v>302</v>
      </c>
    </row>
    <row r="157" spans="1:1">
      <c r="A157" s="320" t="s">
        <v>296</v>
      </c>
    </row>
    <row r="158" spans="1:1" ht="31.5">
      <c r="A158" s="11" t="s">
        <v>297</v>
      </c>
    </row>
    <row r="159" spans="1:1">
      <c r="A159" s="8" t="s">
        <v>298</v>
      </c>
    </row>
    <row r="160" spans="1:1">
      <c r="A160" s="8" t="s">
        <v>300</v>
      </c>
    </row>
    <row r="161" spans="1:1">
      <c r="A161" s="8" t="s">
        <v>299</v>
      </c>
    </row>
    <row r="162" spans="1:1" ht="18" customHeight="1"/>
    <row r="163" spans="1:1" ht="48.75" customHeight="1">
      <c r="A163" s="8" t="s">
        <v>223</v>
      </c>
    </row>
    <row r="164" spans="1:1" ht="47.25">
      <c r="A164" s="11" t="s">
        <v>254</v>
      </c>
    </row>
    <row r="165" spans="1:1">
      <c r="A165" s="8" t="s">
        <v>224</v>
      </c>
    </row>
    <row r="166" spans="1:1">
      <c r="A166" s="8" t="s">
        <v>225</v>
      </c>
    </row>
    <row r="167" spans="1:1">
      <c r="A167" s="8" t="s">
        <v>255</v>
      </c>
    </row>
    <row r="168" spans="1:1">
      <c r="A168" s="8" t="s">
        <v>226</v>
      </c>
    </row>
    <row r="169" spans="1:1">
      <c r="A169" s="8" t="s">
        <v>227</v>
      </c>
    </row>
    <row r="170" spans="1:1">
      <c r="A170" s="8" t="s">
        <v>264</v>
      </c>
    </row>
    <row r="171" spans="1:1">
      <c r="A171" s="8" t="s">
        <v>228</v>
      </c>
    </row>
    <row r="172" spans="1:1">
      <c r="A172" s="8" t="s">
        <v>229</v>
      </c>
    </row>
    <row r="173" spans="1:1" ht="31.5">
      <c r="A173" s="11" t="s">
        <v>230</v>
      </c>
    </row>
    <row r="174" spans="1:1" ht="31.5">
      <c r="A174" s="11" t="s">
        <v>330</v>
      </c>
    </row>
    <row r="175" spans="1:1">
      <c r="A175" s="8" t="s">
        <v>231</v>
      </c>
    </row>
    <row r="176" spans="1:1">
      <c r="A176" s="8" t="s">
        <v>232</v>
      </c>
    </row>
    <row r="177" spans="1:1">
      <c r="A177" s="8" t="s">
        <v>256</v>
      </c>
    </row>
    <row r="178" spans="1:1">
      <c r="A178" s="8" t="s">
        <v>233</v>
      </c>
    </row>
    <row r="179" spans="1:1">
      <c r="A179" s="8" t="s">
        <v>257</v>
      </c>
    </row>
    <row r="180" spans="1:1" ht="31.5">
      <c r="A180" s="11" t="s">
        <v>258</v>
      </c>
    </row>
    <row r="181" spans="1:1">
      <c r="A181" s="8" t="s">
        <v>240</v>
      </c>
    </row>
    <row r="182" spans="1:1">
      <c r="A182" s="8" t="s">
        <v>241</v>
      </c>
    </row>
    <row r="183" spans="1:1" ht="31.5">
      <c r="A183" s="11" t="s">
        <v>242</v>
      </c>
    </row>
    <row r="184" spans="1:1">
      <c r="A184" s="8" t="s">
        <v>282</v>
      </c>
    </row>
    <row r="185" spans="1:1">
      <c r="A185" s="8" t="s">
        <v>281</v>
      </c>
    </row>
    <row r="186" spans="1:1">
      <c r="A186" s="8" t="s">
        <v>283</v>
      </c>
    </row>
    <row r="187" spans="1:1">
      <c r="A187" s="8" t="s">
        <v>284</v>
      </c>
    </row>
    <row r="188" spans="1:1">
      <c r="A188" s="8" t="s">
        <v>285</v>
      </c>
    </row>
    <row r="189" spans="1:1">
      <c r="A189" s="8" t="s">
        <v>286</v>
      </c>
    </row>
    <row r="190" spans="1:1">
      <c r="A190" s="8" t="s">
        <v>287</v>
      </c>
    </row>
    <row r="191" spans="1:1">
      <c r="A191" s="8" t="s">
        <v>288</v>
      </c>
    </row>
    <row r="192" spans="1:1">
      <c r="A192" s="8" t="s">
        <v>289</v>
      </c>
    </row>
    <row r="193" spans="1:1">
      <c r="A193" s="8" t="s">
        <v>290</v>
      </c>
    </row>
    <row r="194" spans="1:1">
      <c r="A194" s="8" t="s">
        <v>291</v>
      </c>
    </row>
    <row r="195" spans="1:1">
      <c r="A195" s="8" t="s">
        <v>292</v>
      </c>
    </row>
    <row r="196" spans="1:1">
      <c r="A196" s="8" t="s">
        <v>293</v>
      </c>
    </row>
    <row r="197" spans="1:1">
      <c r="A197" s="8" t="s">
        <v>295</v>
      </c>
    </row>
    <row r="198" spans="1:1">
      <c r="A198" s="8" t="s">
        <v>294</v>
      </c>
    </row>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
  <sheetViews>
    <sheetView tabSelected="1" topLeftCell="A4" workbookViewId="0">
      <selection activeCell="M37" sqref="M37"/>
    </sheetView>
  </sheetViews>
  <sheetFormatPr defaultRowHeight="15"/>
  <cols>
    <col min="10" max="10" width="10.5546875" customWidth="1"/>
  </cols>
  <sheetData/>
  <pageMargins left="0.7" right="0.7" top="0.75" bottom="0.75" header="0.3" footer="0.3"/>
  <pageSetup scale="80"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B1:G77"/>
  <sheetViews>
    <sheetView topLeftCell="A16" workbookViewId="0">
      <selection activeCell="F34" sqref="F34"/>
    </sheetView>
  </sheetViews>
  <sheetFormatPr defaultRowHeight="15.75"/>
  <cols>
    <col min="1" max="1" width="8.88671875" style="83"/>
    <col min="2" max="2" width="24.44140625" style="23" customWidth="1"/>
    <col min="3" max="3" width="10.77734375" style="23" customWidth="1"/>
    <col min="4" max="4" width="5.77734375" style="23" customWidth="1"/>
    <col min="5" max="5" width="14" style="23" customWidth="1"/>
    <col min="6" max="7" width="13.77734375" style="23" customWidth="1"/>
    <col min="8" max="16384" width="8.88671875" style="83"/>
  </cols>
  <sheetData>
    <row r="1" spans="2:7">
      <c r="B1" s="22"/>
      <c r="C1" s="22"/>
      <c r="D1" s="22"/>
      <c r="E1" s="22"/>
      <c r="F1" s="22"/>
      <c r="G1" s="22">
        <f>inputPrYr!C5</f>
        <v>2013</v>
      </c>
    </row>
    <row r="2" spans="2:7">
      <c r="B2" s="22"/>
      <c r="C2" s="22"/>
      <c r="D2" s="24" t="s">
        <v>85</v>
      </c>
      <c r="E2" s="22"/>
      <c r="F2" s="22"/>
      <c r="G2" s="119"/>
    </row>
    <row r="3" spans="2:7">
      <c r="B3" s="724" t="str">
        <f>CONCATENATE("To the Clerk of ",inputPrYr!D3,", State of Kansas")</f>
        <v>To the Clerk of Cheyenne County, State of Kansas</v>
      </c>
      <c r="C3" s="714"/>
      <c r="D3" s="714"/>
      <c r="E3" s="714"/>
      <c r="F3" s="714"/>
      <c r="G3" s="714"/>
    </row>
    <row r="4" spans="2:7">
      <c r="B4" s="34" t="s">
        <v>628</v>
      </c>
      <c r="C4" s="33"/>
      <c r="D4" s="33"/>
      <c r="E4" s="33"/>
      <c r="F4" s="33"/>
      <c r="G4" s="33"/>
    </row>
    <row r="5" spans="2:7">
      <c r="B5" s="722" t="str">
        <f>(inputPrYr!D2)</f>
        <v>City of St.Francis</v>
      </c>
      <c r="C5" s="723"/>
      <c r="D5" s="723"/>
      <c r="E5" s="723"/>
      <c r="F5" s="723"/>
      <c r="G5" s="723"/>
    </row>
    <row r="6" spans="2:7">
      <c r="B6" s="34" t="s">
        <v>338</v>
      </c>
      <c r="C6" s="33"/>
      <c r="D6" s="33"/>
      <c r="E6" s="33"/>
      <c r="F6" s="33"/>
      <c r="G6" s="33"/>
    </row>
    <row r="7" spans="2:7">
      <c r="B7" s="34" t="s">
        <v>0</v>
      </c>
      <c r="C7" s="33"/>
      <c r="D7" s="33"/>
      <c r="E7" s="33"/>
      <c r="F7" s="33"/>
      <c r="G7" s="33"/>
    </row>
    <row r="8" spans="2:7">
      <c r="B8" s="34" t="str">
        <f>CONCATENATE("maximum expenditures for the various funds for the year ",G1,"; and")</f>
        <v>maximum expenditures for the various funds for the year 2013; and</v>
      </c>
      <c r="C8" s="33"/>
      <c r="D8" s="33"/>
      <c r="E8" s="33"/>
      <c r="F8" s="33"/>
      <c r="G8" s="33"/>
    </row>
    <row r="9" spans="2:7">
      <c r="B9" s="34" t="str">
        <f>CONCATENATE("(3) the Amount(s) of ",G1-1," Ad Valorem Tax are within statutory limitations.")</f>
        <v>(3) the Amount(s) of 2012 Ad Valorem Tax are within statutory limitations.</v>
      </c>
      <c r="C9" s="33"/>
      <c r="D9" s="33"/>
      <c r="E9" s="33"/>
      <c r="F9" s="33"/>
      <c r="G9" s="33"/>
    </row>
    <row r="10" spans="2:7">
      <c r="B10" s="22"/>
      <c r="C10" s="22"/>
      <c r="D10" s="22"/>
      <c r="E10" s="120" t="str">
        <f>CONCATENATE("",G1," Adopted Budget")</f>
        <v>2013 Adopted Budget</v>
      </c>
      <c r="F10" s="121"/>
      <c r="G10" s="122"/>
    </row>
    <row r="11" spans="2:7" ht="21" customHeight="1">
      <c r="B11" s="22"/>
      <c r="C11" s="22"/>
      <c r="D11" s="123"/>
      <c r="E11" s="124" t="s">
        <v>1</v>
      </c>
      <c r="F11" s="125" t="s">
        <v>182</v>
      </c>
      <c r="G11" s="125" t="s">
        <v>2</v>
      </c>
    </row>
    <row r="12" spans="2:7">
      <c r="B12" s="29"/>
      <c r="C12" s="22"/>
      <c r="D12" s="125" t="s">
        <v>3</v>
      </c>
      <c r="E12" s="126" t="s">
        <v>267</v>
      </c>
      <c r="F12" s="127" t="str">
        <f>CONCATENATE("",G1-1," Ad")</f>
        <v>2012 Ad</v>
      </c>
      <c r="G12" s="126" t="s">
        <v>4</v>
      </c>
    </row>
    <row r="13" spans="2:7">
      <c r="B13" s="128" t="s">
        <v>5</v>
      </c>
      <c r="C13" s="55"/>
      <c r="D13" s="129" t="s">
        <v>6</v>
      </c>
      <c r="E13" s="129" t="s">
        <v>635</v>
      </c>
      <c r="F13" s="130" t="s">
        <v>183</v>
      </c>
      <c r="G13" s="129" t="s">
        <v>7</v>
      </c>
    </row>
    <row r="14" spans="2:7">
      <c r="B14" s="131" t="str">
        <f>CONCATENATE("Computation to Determine Limit for ",G1,"")</f>
        <v>Computation to Determine Limit for 2013</v>
      </c>
      <c r="C14" s="77"/>
      <c r="D14" s="132">
        <v>2</v>
      </c>
      <c r="E14" s="133"/>
      <c r="F14" s="133"/>
      <c r="G14" s="133"/>
    </row>
    <row r="15" spans="2:7">
      <c r="B15" s="131" t="s">
        <v>807</v>
      </c>
      <c r="C15" s="55"/>
      <c r="D15" s="129">
        <v>3</v>
      </c>
      <c r="E15" s="126"/>
      <c r="F15" s="126"/>
      <c r="G15" s="126"/>
    </row>
    <row r="16" spans="2:7">
      <c r="B16" s="131" t="s">
        <v>149</v>
      </c>
      <c r="C16" s="55"/>
      <c r="D16" s="129">
        <v>4</v>
      </c>
      <c r="E16" s="126"/>
      <c r="F16" s="126"/>
      <c r="G16" s="126"/>
    </row>
    <row r="17" spans="2:7">
      <c r="B17" s="131" t="s">
        <v>8</v>
      </c>
      <c r="C17" s="77"/>
      <c r="D17" s="132">
        <v>5</v>
      </c>
      <c r="E17" s="134"/>
      <c r="F17" s="134"/>
      <c r="G17" s="134"/>
    </row>
    <row r="18" spans="2:7">
      <c r="B18" s="131" t="s">
        <v>9</v>
      </c>
      <c r="C18" s="77"/>
      <c r="D18" s="132">
        <v>6</v>
      </c>
      <c r="E18" s="134"/>
      <c r="F18" s="134"/>
      <c r="G18" s="134"/>
    </row>
    <row r="19" spans="2:7">
      <c r="B19" s="142" t="str">
        <f>IF(inputPrYr!D19="","","Computation to Determine State Library Grant")</f>
        <v>Computation to Determine State Library Grant</v>
      </c>
      <c r="C19" s="77"/>
      <c r="D19" s="140">
        <f>IF(inputPrYr!D19="","",'Library Grant '!F40)</f>
        <v>7</v>
      </c>
      <c r="E19" s="134"/>
      <c r="F19" s="134"/>
      <c r="G19" s="134"/>
    </row>
    <row r="20" spans="2:7">
      <c r="B20" s="135" t="s">
        <v>10</v>
      </c>
      <c r="C20" s="136" t="s">
        <v>11</v>
      </c>
      <c r="D20" s="137"/>
      <c r="E20" s="69"/>
      <c r="F20" s="69"/>
      <c r="G20" s="69"/>
    </row>
    <row r="21" spans="2:7">
      <c r="B21" s="47" t="str">
        <f>inputPrYr!B17</f>
        <v>General</v>
      </c>
      <c r="C21" s="138" t="str">
        <f>IF(inputPrYr!C17&gt;0,(inputPrYr!C17),"  ")</f>
        <v>12-101a</v>
      </c>
      <c r="D21" s="132">
        <f>IF(general!D39&gt;0,general!D39,"")</f>
        <v>8</v>
      </c>
      <c r="E21" s="484">
        <f>IF(general!$E$79&lt;&gt;0,general!$E$79,"  ")</f>
        <v>930484.28249999997</v>
      </c>
      <c r="F21" s="525">
        <f>IF(general!$E$86&lt;&gt;0,general!$E$86,0)</f>
        <v>255766.22250000003</v>
      </c>
      <c r="G21" s="524" t="str">
        <f>IF($G$35=0,"",ROUND(F21/$G$35*1000,3))</f>
        <v/>
      </c>
    </row>
    <row r="22" spans="2:7">
      <c r="B22" s="68" t="str">
        <f>IF(inputPrYr!$B19&gt;"  ",(inputPrYr!$B19),"  ")</f>
        <v>Library</v>
      </c>
      <c r="C22" s="138" t="str">
        <f>IF(inputPrYr!C19&gt;0,(inputPrYr!C19),"  ")</f>
        <v>12-1220</v>
      </c>
      <c r="D22" s="132">
        <f>IF('DebtSvs-Library'!C31=0,"",'DebtSvs-Library'!C31)</f>
        <v>9</v>
      </c>
      <c r="E22" s="484">
        <f>IF('DebtSvs-Library'!E21&lt;&gt;0,'DebtSvs-Library'!E21,"  ")</f>
        <v>32486</v>
      </c>
      <c r="F22" s="525">
        <f>IF('DebtSvs-Library'!E28&lt;&gt;0,'DebtSvs-Library'!E28,0)</f>
        <v>26380</v>
      </c>
      <c r="G22" s="524" t="str">
        <f>IF($G$35=0,"",ROUND(F22/$G$35*1000,3))</f>
        <v/>
      </c>
    </row>
    <row r="23" spans="2:7">
      <c r="B23" s="139" t="str">
        <f>IF(inputPrYr!$B34&gt;"  ",(inputPrYr!$B34),"  ")</f>
        <v>Special Highway</v>
      </c>
      <c r="C23" s="77"/>
      <c r="D23" s="140">
        <f>IF('Sp Hiway &amp; Sp Parks'!C44&gt;0,'Sp Hiway &amp; Sp Parks'!C44,"  ")</f>
        <v>10</v>
      </c>
      <c r="E23" s="484">
        <f>IF('Sp Hiway &amp; Sp Parks'!$E$18&gt;0,'Sp Hiway &amp; Sp Parks'!$E$18,"  ")</f>
        <v>84374</v>
      </c>
      <c r="F23" s="484"/>
      <c r="G23" s="528"/>
    </row>
    <row r="24" spans="2:7">
      <c r="B24" s="139" t="str">
        <f>IF(inputPrYr!$B35&gt;"  ",(inputPrYr!$B35),"  ")</f>
        <v>Special Parks &amp; Recreation</v>
      </c>
      <c r="C24" s="77"/>
      <c r="D24" s="140">
        <f>IF('Sp Hiway &amp; Sp Parks'!C44&gt;0,'Sp Hiway &amp; Sp Parks'!C44,"  ")</f>
        <v>10</v>
      </c>
      <c r="E24" s="484">
        <f>IF('Sp Hiway &amp; Sp Parks'!$E$38&gt;0,'Sp Hiway &amp; Sp Parks'!$E$38,"  ")</f>
        <v>1480</v>
      </c>
      <c r="F24" s="484"/>
      <c r="G24" s="528"/>
    </row>
    <row r="25" spans="2:7">
      <c r="B25" s="139" t="str">
        <f>IF(inputPrYr!$B36&gt;"  ",(inputPrYr!$B36),"  ")</f>
        <v>Electric &amp; Water Utility</v>
      </c>
      <c r="C25" s="77"/>
      <c r="D25" s="140">
        <f>IF('Electric &amp; Water Utility'!C54&gt;0,'Electric &amp; Water Utility'!C54,"  ")</f>
        <v>11</v>
      </c>
      <c r="E25" s="484">
        <f>IF('Electric &amp; Water Utility'!$E$49&gt;0,'Electric &amp; Water Utility'!$E$49,"  ")</f>
        <v>1974284</v>
      </c>
      <c r="F25" s="484"/>
      <c r="G25" s="528"/>
    </row>
    <row r="26" spans="2:7">
      <c r="B26" s="139" t="str">
        <f>IF(inputPrYr!$B38&gt;"  ",(inputPrYr!$B38),"  ")</f>
        <v>Sewer Utility</v>
      </c>
      <c r="C26" s="77"/>
      <c r="D26" s="140">
        <f>IF('Sewer &amp; Refuse Utility'!C54&gt;0,'Sewer &amp; Refuse Utility'!C54,"  ")</f>
        <v>12</v>
      </c>
      <c r="E26" s="484">
        <f>IF('Sewer &amp; Refuse Utility'!$E$21&gt;0,'Sewer &amp; Refuse Utility'!$E$21,"  ")</f>
        <v>175632</v>
      </c>
      <c r="F26" s="484"/>
      <c r="G26" s="528"/>
    </row>
    <row r="27" spans="2:7">
      <c r="B27" s="141" t="str">
        <f>IF(inputPrYr!$B39&gt;"  ",(inputPrYr!$B39),"  ")</f>
        <v>Refuse Utility</v>
      </c>
      <c r="C27" s="77"/>
      <c r="D27" s="140">
        <f>IF('Sewer &amp; Refuse Utility'!C54&gt;0,'Sewer &amp; Refuse Utility'!C54,"  ")</f>
        <v>12</v>
      </c>
      <c r="E27" s="484">
        <f>IF('Sewer &amp; Refuse Utility'!$E$48&gt;0,'Sewer &amp; Refuse Utility'!$E$48,"  ")</f>
        <v>198646</v>
      </c>
      <c r="F27" s="484"/>
      <c r="G27" s="528"/>
    </row>
    <row r="28" spans="2:7">
      <c r="B28" s="139" t="str">
        <f>IF(inputPrYr!$B40&gt;"  ",(inputPrYr!$B40),"  ")</f>
        <v>Theatre Enterprise</v>
      </c>
      <c r="C28" s="77"/>
      <c r="D28" s="140">
        <f>IF('Theater &amp; Tourism'!C56&gt;0,'Theater &amp; Tourism'!C56,"  ")</f>
        <v>13</v>
      </c>
      <c r="E28" s="484">
        <f>IF('Theater &amp; Tourism'!$E$29&gt;0,'Theater &amp; Tourism'!$E$29,"  ")</f>
        <v>79264</v>
      </c>
      <c r="F28" s="484"/>
      <c r="G28" s="528"/>
    </row>
    <row r="29" spans="2:7">
      <c r="B29" s="139" t="str">
        <f>IF(inputPrYr!$B41&gt;"  ",(inputPrYr!$B41),"  ")</f>
        <v>Tourism &amp; Convention</v>
      </c>
      <c r="C29" s="77"/>
      <c r="D29" s="140">
        <f>IF('Theater &amp; Tourism'!C56&gt;0,'Theater &amp; Tourism'!C56,"  ")</f>
        <v>13</v>
      </c>
      <c r="E29" s="484">
        <f>IF('Theater &amp; Tourism'!$E$50&gt;0,'Theater &amp; Tourism'!$E$50,"  ")</f>
        <v>14664</v>
      </c>
      <c r="F29" s="484"/>
      <c r="G29" s="528"/>
    </row>
    <row r="30" spans="2:7">
      <c r="B30" s="139" t="str">
        <f>IF(inputPrYr!$B44&gt;"  ",(inputPrYr!$B44),"  ")</f>
        <v>EMS Building Maintenance</v>
      </c>
      <c r="C30" s="74"/>
      <c r="D30" s="140">
        <f>IF('EMS Building'!$C$30&gt;0,'EMS Building'!$C$30,"  ")</f>
        <v>14</v>
      </c>
      <c r="E30" s="484">
        <f>IF('EMS Building'!$E$24&gt;0,'EMS Building'!$E$24,"  ")</f>
        <v>15126</v>
      </c>
      <c r="F30" s="484"/>
      <c r="G30" s="528"/>
    </row>
    <row r="31" spans="2:7">
      <c r="B31" s="139" t="str">
        <f>IF(inputPrYr!$B51&gt;"  ",(NonBudA!$A3),"  ")</f>
        <v>Non-Budgeted Funds-A</v>
      </c>
      <c r="C31" s="74"/>
      <c r="D31" s="140">
        <f>IF(NonBudA!F33&gt;0,NonBudA!F33,"  ")</f>
        <v>15</v>
      </c>
      <c r="E31" s="484"/>
      <c r="F31" s="484"/>
      <c r="G31" s="528"/>
    </row>
    <row r="32" spans="2:7" ht="16.5" thickBot="1">
      <c r="B32" s="139" t="str">
        <f>IF(inputPrYr!$B57&gt;"  ",(NonBudB!$A3),"  ")</f>
        <v xml:space="preserve">  </v>
      </c>
      <c r="C32" s="74"/>
      <c r="D32" s="140" t="str">
        <f>IF(NonBudB!F33&gt;0,NonBudB!F33,"  ")</f>
        <v xml:space="preserve">  </v>
      </c>
      <c r="E32" s="484"/>
      <c r="F32" s="484"/>
      <c r="G32" s="528"/>
    </row>
    <row r="33" spans="2:7" ht="16.5" thickBot="1">
      <c r="B33" s="368" t="s">
        <v>756</v>
      </c>
      <c r="C33" s="74"/>
      <c r="D33" s="229" t="s">
        <v>13</v>
      </c>
      <c r="E33" s="527">
        <f>SUM(E21:E32)</f>
        <v>3506440.2824999997</v>
      </c>
      <c r="F33" s="527">
        <f>SUM(F21:F32)</f>
        <v>282146.22250000003</v>
      </c>
      <c r="G33" s="526" t="str">
        <f>IF(SUM(G21:G32)=0,"",SUM(G21:G32))</f>
        <v/>
      </c>
    </row>
    <row r="34" spans="2:7" ht="16.5" thickTop="1">
      <c r="B34" s="144" t="s">
        <v>247</v>
      </c>
      <c r="C34" s="145"/>
      <c r="D34" s="146"/>
      <c r="E34" s="481"/>
      <c r="F34" s="482" t="str">
        <f>IF(F33&gt;computation!J40,"Yes","No")</f>
        <v>No</v>
      </c>
      <c r="G34" s="515" t="s">
        <v>153</v>
      </c>
    </row>
    <row r="35" spans="2:7">
      <c r="B35" s="131" t="s">
        <v>246</v>
      </c>
      <c r="C35" s="77"/>
      <c r="D35" s="132">
        <f>summ!D46</f>
        <v>16</v>
      </c>
      <c r="E35" s="143"/>
      <c r="F35" s="22"/>
      <c r="G35" s="377"/>
    </row>
    <row r="36" spans="2:7">
      <c r="B36" s="131" t="s">
        <v>271</v>
      </c>
      <c r="C36" s="77"/>
      <c r="D36" s="132" t="str">
        <f>IF(nhood!C40&gt;0,nhood!C40,"")</f>
        <v/>
      </c>
      <c r="E36" s="143"/>
      <c r="F36" s="22"/>
      <c r="G36" s="727" t="str">
        <f>CONCATENATE("Nov 1, ",G1-1," Total Assessed Valuation")</f>
        <v>Nov 1, 2012 Total Assessed Valuation</v>
      </c>
    </row>
    <row r="37" spans="2:7">
      <c r="B37" s="372"/>
      <c r="C37" s="373"/>
      <c r="D37" s="374"/>
      <c r="E37" s="370"/>
      <c r="F37" s="371"/>
      <c r="G37" s="728"/>
    </row>
    <row r="38" spans="2:7">
      <c r="B38" s="61" t="s">
        <v>14</v>
      </c>
      <c r="C38" s="60"/>
      <c r="D38" s="22"/>
      <c r="E38" s="369"/>
      <c r="F38" s="60"/>
      <c r="G38" s="60"/>
    </row>
    <row r="39" spans="2:7">
      <c r="B39" s="331" t="s">
        <v>1121</v>
      </c>
      <c r="C39" s="60"/>
      <c r="D39" s="60" t="s">
        <v>805</v>
      </c>
      <c r="E39" s="522"/>
      <c r="F39" s="60"/>
      <c r="G39" s="60"/>
    </row>
    <row r="40" spans="2:7">
      <c r="B40" s="330" t="s">
        <v>1122</v>
      </c>
      <c r="C40" s="22"/>
      <c r="D40" s="61"/>
      <c r="E40" s="523"/>
      <c r="F40" s="60"/>
      <c r="G40" s="60"/>
    </row>
    <row r="41" spans="2:7">
      <c r="B41" s="61" t="s">
        <v>165</v>
      </c>
      <c r="C41" s="60"/>
      <c r="D41" s="60" t="s">
        <v>805</v>
      </c>
      <c r="E41" s="521"/>
      <c r="F41" s="257"/>
      <c r="G41" s="257"/>
    </row>
    <row r="42" spans="2:7">
      <c r="B42" s="331" t="s">
        <v>1123</v>
      </c>
      <c r="C42" s="29"/>
      <c r="D42" s="60"/>
      <c r="E42" s="60"/>
      <c r="F42" s="22"/>
      <c r="G42" s="22"/>
    </row>
    <row r="43" spans="2:7">
      <c r="B43" s="330" t="s">
        <v>1124</v>
      </c>
      <c r="C43" s="147"/>
      <c r="D43" s="60" t="s">
        <v>805</v>
      </c>
      <c r="E43" s="60"/>
      <c r="F43" s="257"/>
      <c r="G43" s="257"/>
    </row>
    <row r="44" spans="2:7">
      <c r="B44" s="61" t="s">
        <v>866</v>
      </c>
      <c r="C44" s="60"/>
      <c r="D44" s="22"/>
      <c r="E44" s="22"/>
      <c r="F44" s="22"/>
      <c r="G44" s="22"/>
    </row>
    <row r="45" spans="2:7">
      <c r="B45" s="696" t="s">
        <v>1125</v>
      </c>
      <c r="C45" s="148"/>
      <c r="D45" s="60" t="s">
        <v>805</v>
      </c>
      <c r="E45" s="60"/>
      <c r="F45" s="257"/>
      <c r="G45" s="257"/>
    </row>
    <row r="46" spans="2:7">
      <c r="B46" s="30" t="s">
        <v>263</v>
      </c>
      <c r="C46" s="149">
        <f>G1-1</f>
        <v>2012</v>
      </c>
      <c r="D46" s="22"/>
      <c r="E46" s="22"/>
      <c r="F46" s="34"/>
      <c r="G46" s="22"/>
    </row>
    <row r="47" spans="2:7">
      <c r="B47" s="487"/>
      <c r="C47" s="22"/>
      <c r="D47" s="60" t="s">
        <v>805</v>
      </c>
      <c r="E47" s="60"/>
      <c r="F47" s="60"/>
      <c r="G47" s="60"/>
    </row>
    <row r="48" spans="2:7">
      <c r="B48" s="44" t="s">
        <v>16</v>
      </c>
      <c r="C48" s="22"/>
      <c r="D48" s="725" t="s">
        <v>15</v>
      </c>
      <c r="E48" s="726"/>
      <c r="F48" s="726"/>
      <c r="G48" s="726"/>
    </row>
    <row r="49" spans="2:7">
      <c r="B49" s="8"/>
    </row>
    <row r="59" spans="2:7" ht="15">
      <c r="B59" s="83"/>
      <c r="C59" s="83"/>
      <c r="D59" s="83"/>
      <c r="E59" s="83"/>
      <c r="F59" s="83"/>
      <c r="G59" s="83"/>
    </row>
    <row r="60" spans="2:7" ht="15">
      <c r="B60" s="83"/>
      <c r="C60" s="83"/>
      <c r="D60" s="83"/>
      <c r="E60" s="83"/>
      <c r="F60" s="83"/>
      <c r="G60" s="83"/>
    </row>
    <row r="61" spans="2:7" ht="15">
      <c r="B61" s="83"/>
      <c r="C61" s="83"/>
      <c r="D61" s="83"/>
      <c r="E61" s="83"/>
      <c r="F61" s="83"/>
      <c r="G61" s="83"/>
    </row>
    <row r="62" spans="2:7" ht="15">
      <c r="B62" s="83"/>
      <c r="C62" s="83"/>
      <c r="D62" s="83"/>
      <c r="E62" s="83"/>
      <c r="F62" s="83"/>
      <c r="G62" s="83"/>
    </row>
    <row r="63" spans="2:7" ht="15">
      <c r="B63" s="83"/>
      <c r="C63" s="83"/>
      <c r="D63" s="83"/>
      <c r="E63" s="83"/>
      <c r="F63" s="83"/>
      <c r="G63" s="83"/>
    </row>
    <row r="64" spans="2:7" ht="15">
      <c r="B64" s="83"/>
      <c r="C64" s="83"/>
      <c r="D64" s="83"/>
      <c r="E64" s="83"/>
      <c r="F64" s="83"/>
      <c r="G64" s="83"/>
    </row>
    <row r="65" spans="2:7" ht="15">
      <c r="B65" s="83"/>
      <c r="C65" s="83"/>
      <c r="D65" s="83"/>
      <c r="E65" s="83"/>
      <c r="F65" s="83"/>
      <c r="G65" s="83"/>
    </row>
    <row r="66" spans="2:7" ht="15">
      <c r="B66" s="83"/>
      <c r="C66" s="83"/>
      <c r="D66" s="83"/>
      <c r="E66" s="83"/>
      <c r="F66" s="83"/>
      <c r="G66" s="83"/>
    </row>
    <row r="67" spans="2:7" ht="15">
      <c r="B67" s="83"/>
      <c r="C67" s="83"/>
      <c r="D67" s="83"/>
      <c r="E67" s="83"/>
      <c r="F67" s="83"/>
      <c r="G67" s="83"/>
    </row>
    <row r="68" spans="2:7" ht="15">
      <c r="B68" s="83"/>
      <c r="C68" s="83"/>
      <c r="D68" s="83"/>
      <c r="E68" s="83"/>
      <c r="F68" s="83"/>
      <c r="G68" s="83"/>
    </row>
    <row r="69" spans="2:7" ht="15">
      <c r="B69" s="83"/>
      <c r="C69" s="83"/>
      <c r="D69" s="83"/>
      <c r="E69" s="83"/>
      <c r="F69" s="83"/>
      <c r="G69" s="83"/>
    </row>
    <row r="70" spans="2:7" ht="15">
      <c r="B70" s="83"/>
      <c r="C70" s="83"/>
      <c r="D70" s="83"/>
      <c r="E70" s="83"/>
      <c r="F70" s="83"/>
      <c r="G70" s="83"/>
    </row>
    <row r="71" spans="2:7" ht="15">
      <c r="B71" s="83"/>
      <c r="C71" s="83"/>
      <c r="D71" s="83"/>
      <c r="E71" s="83"/>
      <c r="F71" s="83"/>
      <c r="G71" s="83"/>
    </row>
    <row r="72" spans="2:7" ht="15">
      <c r="B72" s="83"/>
      <c r="C72" s="83"/>
      <c r="D72" s="83"/>
      <c r="E72" s="83"/>
      <c r="F72" s="83"/>
      <c r="G72" s="83"/>
    </row>
    <row r="73" spans="2:7" ht="15">
      <c r="B73" s="83"/>
      <c r="C73" s="83"/>
      <c r="D73" s="83"/>
      <c r="E73" s="83"/>
      <c r="F73" s="83"/>
      <c r="G73" s="83"/>
    </row>
    <row r="74" spans="2:7" ht="15">
      <c r="B74" s="83"/>
      <c r="C74" s="83"/>
      <c r="D74" s="83"/>
      <c r="E74" s="83"/>
      <c r="F74" s="83"/>
      <c r="G74" s="83"/>
    </row>
    <row r="77" spans="2:7">
      <c r="B77" s="8"/>
      <c r="C77" s="8"/>
      <c r="D77" s="8"/>
      <c r="E77" s="8"/>
      <c r="F77" s="8"/>
      <c r="G77" s="8"/>
    </row>
  </sheetData>
  <mergeCells count="4">
    <mergeCell ref="B5:G5"/>
    <mergeCell ref="B3:G3"/>
    <mergeCell ref="D48:G48"/>
    <mergeCell ref="G36:G37"/>
  </mergeCells>
  <phoneticPr fontId="0" type="noConversion"/>
  <hyperlinks>
    <hyperlink ref="B45" r:id="rId1"/>
  </hyperlinks>
  <pageMargins left="1" right="0.5" top="0.75" bottom="0.5" header="0.5" footer="0.25"/>
  <pageSetup scale="90" orientation="portrait" blackAndWhite="1" r:id="rId2"/>
  <headerFooter alignWithMargins="0">
    <oddHeader xml:space="preserve">&amp;RState of Kansas
City
</oddHeader>
    <oddFooter>&amp;CPage No. 1</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44"/>
  <sheetViews>
    <sheetView zoomScale="85" workbookViewId="0">
      <selection activeCell="L19" sqref="L19"/>
    </sheetView>
  </sheetViews>
  <sheetFormatPr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2"/>
      <c r="B1" s="22"/>
      <c r="C1" s="151" t="str">
        <f>inputPrYr!D2</f>
        <v>City of St.Francis</v>
      </c>
      <c r="D1" s="22"/>
      <c r="E1" s="22"/>
      <c r="F1" s="22"/>
      <c r="G1" s="22"/>
      <c r="H1" s="22"/>
      <c r="I1" s="22"/>
      <c r="J1" s="22">
        <f>inputPrYr!$C$5</f>
        <v>2013</v>
      </c>
    </row>
    <row r="2" spans="1:10" ht="15.95" customHeight="1">
      <c r="A2" s="22"/>
      <c r="B2" s="22"/>
      <c r="C2" s="22"/>
      <c r="D2" s="22"/>
      <c r="E2" s="22"/>
      <c r="F2" s="22"/>
      <c r="G2" s="22"/>
      <c r="H2" s="22"/>
      <c r="I2" s="22"/>
      <c r="J2" s="22"/>
    </row>
    <row r="3" spans="1:10" ht="15.75">
      <c r="A3" s="732" t="str">
        <f>CONCATENATE("Computation to Determine Limit for ",J1,"")</f>
        <v>Computation to Determine Limit for 2013</v>
      </c>
      <c r="B3" s="733"/>
      <c r="C3" s="733"/>
      <c r="D3" s="733"/>
      <c r="E3" s="733"/>
      <c r="F3" s="733"/>
      <c r="G3" s="733"/>
      <c r="H3" s="733"/>
      <c r="I3" s="733"/>
      <c r="J3" s="733"/>
    </row>
    <row r="4" spans="1:10" ht="15.75">
      <c r="A4" s="22"/>
      <c r="B4" s="22"/>
      <c r="C4" s="22"/>
      <c r="D4" s="22"/>
      <c r="E4" s="733"/>
      <c r="F4" s="733"/>
      <c r="G4" s="733"/>
      <c r="H4" s="152"/>
      <c r="I4" s="22"/>
      <c r="J4" s="153" t="s">
        <v>98</v>
      </c>
    </row>
    <row r="5" spans="1:10" ht="15.75">
      <c r="A5" s="154" t="s">
        <v>99</v>
      </c>
      <c r="B5" s="22" t="str">
        <f>CONCATENATE("Total Tax Levy Amount in ",J1-1," Budget")</f>
        <v>Total Tax Levy Amount in 2012 Budget</v>
      </c>
      <c r="C5" s="22"/>
      <c r="D5" s="22"/>
      <c r="E5" s="51"/>
      <c r="F5" s="51"/>
      <c r="G5" s="51"/>
      <c r="H5" s="155" t="s">
        <v>100</v>
      </c>
      <c r="I5" s="51" t="s">
        <v>101</v>
      </c>
      <c r="J5" s="156">
        <f>inputPrYr!E31</f>
        <v>280368</v>
      </c>
    </row>
    <row r="6" spans="1:10" ht="15.75">
      <c r="A6" s="154" t="s">
        <v>102</v>
      </c>
      <c r="B6" s="22" t="str">
        <f>CONCATENATE("Debt Service Levy in ",J1-1," Budget")</f>
        <v>Debt Service Levy in 2012 Budget</v>
      </c>
      <c r="C6" s="22"/>
      <c r="D6" s="22"/>
      <c r="E6" s="51"/>
      <c r="F6" s="51"/>
      <c r="G6" s="51"/>
      <c r="H6" s="155" t="s">
        <v>103</v>
      </c>
      <c r="I6" s="51" t="s">
        <v>101</v>
      </c>
      <c r="J6" s="56">
        <f>inputPrYr!E18</f>
        <v>0</v>
      </c>
    </row>
    <row r="7" spans="1:10" ht="15.75">
      <c r="A7" s="154" t="s">
        <v>130</v>
      </c>
      <c r="B7" s="41" t="s">
        <v>127</v>
      </c>
      <c r="C7" s="22"/>
      <c r="D7" s="22"/>
      <c r="E7" s="51"/>
      <c r="F7" s="51"/>
      <c r="G7" s="51"/>
      <c r="H7" s="51"/>
      <c r="I7" s="51" t="s">
        <v>101</v>
      </c>
      <c r="J7" s="56">
        <f>J5-J6</f>
        <v>280368</v>
      </c>
    </row>
    <row r="8" spans="1:10" ht="15.75">
      <c r="A8" s="22"/>
      <c r="B8" s="22"/>
      <c r="C8" s="22"/>
      <c r="D8" s="22"/>
      <c r="E8" s="51"/>
      <c r="F8" s="51"/>
      <c r="G8" s="51"/>
      <c r="H8" s="51"/>
      <c r="I8" s="51"/>
      <c r="J8" s="51"/>
    </row>
    <row r="9" spans="1:10" ht="15.75">
      <c r="A9" s="22"/>
      <c r="B9" s="41" t="str">
        <f>CONCATENATE("",J1-1," Valuation Information for Valuation Adjustments:")</f>
        <v>2012 Valuation Information for Valuation Adjustments:</v>
      </c>
      <c r="C9" s="22"/>
      <c r="D9" s="22"/>
      <c r="E9" s="51"/>
      <c r="F9" s="51"/>
      <c r="G9" s="51"/>
      <c r="H9" s="51"/>
      <c r="I9" s="51"/>
      <c r="J9" s="51"/>
    </row>
    <row r="10" spans="1:10" ht="15.75">
      <c r="A10" s="22"/>
      <c r="B10" s="22"/>
      <c r="C10" s="41"/>
      <c r="D10" s="22"/>
      <c r="E10" s="51"/>
      <c r="F10" s="51"/>
      <c r="G10" s="51"/>
      <c r="H10" s="51"/>
      <c r="I10" s="51"/>
      <c r="J10" s="51"/>
    </row>
    <row r="11" spans="1:10" ht="15.75">
      <c r="A11" s="154" t="s">
        <v>104</v>
      </c>
      <c r="B11" s="41" t="str">
        <f>CONCATENATE("New Improvements for ",J1-1,":")</f>
        <v>New Improvements for 2012:</v>
      </c>
      <c r="C11" s="22"/>
      <c r="D11" s="22"/>
      <c r="E11" s="155"/>
      <c r="F11" s="155" t="s">
        <v>100</v>
      </c>
      <c r="G11" s="156">
        <f>inputOth!E8</f>
        <v>40772</v>
      </c>
      <c r="H11" s="58"/>
      <c r="I11" s="51"/>
      <c r="J11" s="51"/>
    </row>
    <row r="12" spans="1:10" ht="15.75">
      <c r="A12" s="154"/>
      <c r="B12" s="157"/>
      <c r="C12" s="22"/>
      <c r="D12" s="22"/>
      <c r="E12" s="155"/>
      <c r="F12" s="155"/>
      <c r="G12" s="58"/>
      <c r="H12" s="58"/>
      <c r="I12" s="51"/>
      <c r="J12" s="51"/>
    </row>
    <row r="13" spans="1:10" ht="15.75">
      <c r="A13" s="154" t="s">
        <v>105</v>
      </c>
      <c r="B13" s="41" t="str">
        <f>CONCATENATE("Increase in Personal Property for ",J1-1,":")</f>
        <v>Increase in Personal Property for 2012:</v>
      </c>
      <c r="C13" s="22"/>
      <c r="D13" s="22"/>
      <c r="E13" s="155"/>
      <c r="F13" s="155"/>
      <c r="G13" s="58"/>
      <c r="H13" s="58"/>
      <c r="I13" s="51"/>
      <c r="J13" s="51"/>
    </row>
    <row r="14" spans="1:10" ht="15.75">
      <c r="A14" s="119"/>
      <c r="B14" s="22" t="s">
        <v>106</v>
      </c>
      <c r="C14" s="22" t="str">
        <f>CONCATENATE("Personal Property ",J1-1,"")</f>
        <v>Personal Property 2012</v>
      </c>
      <c r="D14" s="157" t="s">
        <v>100</v>
      </c>
      <c r="E14" s="156">
        <f>inputOth!E9</f>
        <v>341915</v>
      </c>
      <c r="F14" s="155"/>
      <c r="G14" s="51"/>
      <c r="H14" s="51"/>
      <c r="I14" s="58"/>
      <c r="J14" s="51"/>
    </row>
    <row r="15" spans="1:10" ht="15.75">
      <c r="A15" s="157"/>
      <c r="B15" s="22" t="s">
        <v>107</v>
      </c>
      <c r="C15" s="22" t="str">
        <f>CONCATENATE("Personal Property ",J1-2,"")</f>
        <v>Personal Property 2011</v>
      </c>
      <c r="D15" s="157" t="s">
        <v>103</v>
      </c>
      <c r="E15" s="56">
        <f>inputOth!E15</f>
        <v>470712</v>
      </c>
      <c r="F15" s="155"/>
      <c r="G15" s="58"/>
      <c r="H15" s="58"/>
      <c r="I15" s="51"/>
      <c r="J15" s="51"/>
    </row>
    <row r="16" spans="1:10" ht="15.75">
      <c r="A16" s="157"/>
      <c r="B16" s="22" t="s">
        <v>108</v>
      </c>
      <c r="C16" s="22" t="s">
        <v>129</v>
      </c>
      <c r="D16" s="22"/>
      <c r="E16" s="51"/>
      <c r="F16" s="51" t="s">
        <v>100</v>
      </c>
      <c r="G16" s="156">
        <f>IF(E14&gt;E15,E14-E15,0)</f>
        <v>0</v>
      </c>
      <c r="H16" s="58"/>
      <c r="I16" s="51"/>
      <c r="J16" s="51"/>
    </row>
    <row r="17" spans="1:10" ht="15.75">
      <c r="A17" s="157"/>
      <c r="B17" s="157"/>
      <c r="C17" s="22"/>
      <c r="D17" s="22"/>
      <c r="E17" s="51"/>
      <c r="F17" s="51"/>
      <c r="G17" s="58" t="s">
        <v>121</v>
      </c>
      <c r="H17" s="58"/>
      <c r="I17" s="51"/>
      <c r="J17" s="51"/>
    </row>
    <row r="18" spans="1:10" ht="15.75">
      <c r="A18" s="157" t="s">
        <v>109</v>
      </c>
      <c r="B18" s="41" t="str">
        <f>CONCATENATE("Valuation of annexed territory for ",J1-1,":")</f>
        <v>Valuation of annexed territory for 2012:</v>
      </c>
      <c r="C18" s="22"/>
      <c r="D18" s="22"/>
      <c r="E18" s="58"/>
      <c r="F18" s="51"/>
      <c r="G18" s="51"/>
      <c r="H18" s="51"/>
      <c r="I18" s="51"/>
      <c r="J18" s="51"/>
    </row>
    <row r="19" spans="1:10" ht="15.75">
      <c r="A19" s="157"/>
      <c r="B19" s="22" t="s">
        <v>110</v>
      </c>
      <c r="C19" s="22" t="s">
        <v>131</v>
      </c>
      <c r="D19" s="157" t="s">
        <v>100</v>
      </c>
      <c r="E19" s="156">
        <f>inputOth!E11</f>
        <v>0</v>
      </c>
      <c r="F19" s="51"/>
      <c r="G19" s="51"/>
      <c r="H19" s="51"/>
      <c r="I19" s="51"/>
      <c r="J19" s="51"/>
    </row>
    <row r="20" spans="1:10" ht="15.75">
      <c r="A20" s="157"/>
      <c r="B20" s="22" t="s">
        <v>111</v>
      </c>
      <c r="C20" s="22" t="s">
        <v>132</v>
      </c>
      <c r="D20" s="157" t="s">
        <v>100</v>
      </c>
      <c r="E20" s="156">
        <f>inputOth!E12</f>
        <v>0</v>
      </c>
      <c r="F20" s="51"/>
      <c r="G20" s="58"/>
      <c r="H20" s="58"/>
      <c r="I20" s="51"/>
      <c r="J20" s="51"/>
    </row>
    <row r="21" spans="1:10" ht="15.75">
      <c r="A21" s="157"/>
      <c r="B21" s="22" t="s">
        <v>112</v>
      </c>
      <c r="C21" s="22" t="s">
        <v>128</v>
      </c>
      <c r="D21" s="157" t="s">
        <v>103</v>
      </c>
      <c r="E21" s="156">
        <f>inputOth!E13</f>
        <v>0</v>
      </c>
      <c r="F21" s="51"/>
      <c r="G21" s="58"/>
      <c r="H21" s="58"/>
      <c r="I21" s="51"/>
      <c r="J21" s="51"/>
    </row>
    <row r="22" spans="1:10" ht="15.75">
      <c r="A22" s="157"/>
      <c r="B22" s="22" t="s">
        <v>113</v>
      </c>
      <c r="C22" s="22" t="s">
        <v>133</v>
      </c>
      <c r="D22" s="157"/>
      <c r="E22" s="58"/>
      <c r="F22" s="51" t="s">
        <v>100</v>
      </c>
      <c r="G22" s="156">
        <f>E19+E20-E21</f>
        <v>0</v>
      </c>
      <c r="H22" s="58"/>
      <c r="I22" s="51"/>
      <c r="J22" s="51"/>
    </row>
    <row r="23" spans="1:10" ht="15.75">
      <c r="A23" s="157"/>
      <c r="B23" s="157"/>
      <c r="C23" s="22"/>
      <c r="D23" s="157"/>
      <c r="E23" s="58"/>
      <c r="F23" s="51"/>
      <c r="G23" s="58"/>
      <c r="H23" s="58"/>
      <c r="I23" s="51"/>
      <c r="J23" s="51"/>
    </row>
    <row r="24" spans="1:10" ht="15.75">
      <c r="A24" s="157" t="s">
        <v>114</v>
      </c>
      <c r="B24" s="41" t="str">
        <f>CONCATENATE("Valuation of Property that has Changed in Use during ",J1-1,":")</f>
        <v>Valuation of Property that has Changed in Use during 2012:</v>
      </c>
      <c r="C24" s="22"/>
      <c r="D24" s="22"/>
      <c r="E24" s="51"/>
      <c r="F24" s="51"/>
      <c r="G24" s="51">
        <f>inputOth!E14</f>
        <v>814</v>
      </c>
      <c r="H24" s="51"/>
      <c r="I24" s="51"/>
      <c r="J24" s="51"/>
    </row>
    <row r="25" spans="1:10" ht="15.75">
      <c r="A25" s="22" t="s">
        <v>1</v>
      </c>
      <c r="B25" s="22"/>
      <c r="C25" s="22"/>
      <c r="D25" s="157"/>
      <c r="E25" s="58"/>
      <c r="F25" s="51"/>
      <c r="G25" s="158"/>
      <c r="H25" s="58"/>
      <c r="I25" s="51"/>
      <c r="J25" s="51"/>
    </row>
    <row r="26" spans="1:10" ht="15.75">
      <c r="A26" s="157" t="s">
        <v>115</v>
      </c>
      <c r="B26" s="41" t="s">
        <v>134</v>
      </c>
      <c r="C26" s="22"/>
      <c r="D26" s="22"/>
      <c r="E26" s="51"/>
      <c r="F26" s="51"/>
      <c r="G26" s="156">
        <f>G11+G16+G22+G24</f>
        <v>41586</v>
      </c>
      <c r="H26" s="58"/>
      <c r="I26" s="51"/>
      <c r="J26" s="51"/>
    </row>
    <row r="27" spans="1:10" ht="15.75">
      <c r="A27" s="157"/>
      <c r="B27" s="157"/>
      <c r="C27" s="41"/>
      <c r="D27" s="22"/>
      <c r="E27" s="51"/>
      <c r="F27" s="51"/>
      <c r="G27" s="58"/>
      <c r="H27" s="58"/>
      <c r="I27" s="51"/>
      <c r="J27" s="51"/>
    </row>
    <row r="28" spans="1:10" ht="15.75">
      <c r="A28" s="157" t="s">
        <v>116</v>
      </c>
      <c r="B28" s="22" t="str">
        <f>CONCATENATE("Total Estimated Valuation July 1, ",J1-1,"")</f>
        <v>Total Estimated Valuation July 1, 2012</v>
      </c>
      <c r="C28" s="22"/>
      <c r="D28" s="22"/>
      <c r="E28" s="156">
        <f>inputOth!E7</f>
        <v>6596051</v>
      </c>
      <c r="F28" s="51"/>
      <c r="G28" s="51"/>
      <c r="H28" s="51"/>
      <c r="I28" s="155"/>
      <c r="J28" s="51"/>
    </row>
    <row r="29" spans="1:10" ht="15.75">
      <c r="A29" s="157"/>
      <c r="B29" s="157"/>
      <c r="C29" s="22"/>
      <c r="D29" s="22"/>
      <c r="E29" s="58"/>
      <c r="F29" s="51"/>
      <c r="G29" s="51"/>
      <c r="H29" s="51"/>
      <c r="I29" s="155"/>
      <c r="J29" s="51"/>
    </row>
    <row r="30" spans="1:10" ht="15.75">
      <c r="A30" s="157" t="s">
        <v>117</v>
      </c>
      <c r="B30" s="41" t="s">
        <v>135</v>
      </c>
      <c r="C30" s="22"/>
      <c r="D30" s="22"/>
      <c r="E30" s="51"/>
      <c r="F30" s="51"/>
      <c r="G30" s="156">
        <f>E28-G26</f>
        <v>6554465</v>
      </c>
      <c r="H30" s="58"/>
      <c r="I30" s="155"/>
      <c r="J30" s="51"/>
    </row>
    <row r="31" spans="1:10" ht="15.75">
      <c r="A31" s="157"/>
      <c r="B31" s="157"/>
      <c r="C31" s="41"/>
      <c r="D31" s="22"/>
      <c r="E31" s="22"/>
      <c r="F31" s="22"/>
      <c r="G31" s="94"/>
      <c r="H31" s="60"/>
      <c r="I31" s="157"/>
      <c r="J31" s="22"/>
    </row>
    <row r="32" spans="1:10" ht="15.75">
      <c r="A32" s="157" t="s">
        <v>118</v>
      </c>
      <c r="B32" s="22" t="s">
        <v>136</v>
      </c>
      <c r="C32" s="22"/>
      <c r="D32" s="22"/>
      <c r="E32" s="22"/>
      <c r="F32" s="22"/>
      <c r="G32" s="159">
        <f>IF(G30&gt;0,G26/G30,0)</f>
        <v>6.3446825942315658E-3</v>
      </c>
      <c r="H32" s="60"/>
      <c r="I32" s="22"/>
      <c r="J32" s="22"/>
    </row>
    <row r="33" spans="1:10" ht="15.75">
      <c r="A33" s="157"/>
      <c r="B33" s="157"/>
      <c r="C33" s="22"/>
      <c r="D33" s="22"/>
      <c r="E33" s="22"/>
      <c r="F33" s="22"/>
      <c r="G33" s="60"/>
      <c r="H33" s="60"/>
      <c r="I33" s="22"/>
      <c r="J33" s="22"/>
    </row>
    <row r="34" spans="1:10" ht="15.75">
      <c r="A34" s="157" t="s">
        <v>119</v>
      </c>
      <c r="B34" s="22" t="s">
        <v>137</v>
      </c>
      <c r="C34" s="22"/>
      <c r="D34" s="22"/>
      <c r="E34" s="22"/>
      <c r="F34" s="22"/>
      <c r="G34" s="60"/>
      <c r="H34" s="160" t="s">
        <v>100</v>
      </c>
      <c r="I34" s="22" t="s">
        <v>101</v>
      </c>
      <c r="J34" s="156">
        <f>ROUND(G32*J7,0)</f>
        <v>1779</v>
      </c>
    </row>
    <row r="35" spans="1:10" ht="15.75">
      <c r="A35" s="157"/>
      <c r="B35" s="157"/>
      <c r="C35" s="22"/>
      <c r="D35" s="22"/>
      <c r="E35" s="22"/>
      <c r="F35" s="22"/>
      <c r="G35" s="60"/>
      <c r="H35" s="160"/>
      <c r="I35" s="22"/>
      <c r="J35" s="58"/>
    </row>
    <row r="36" spans="1:10" ht="16.5" thickBot="1">
      <c r="A36" s="157" t="s">
        <v>120</v>
      </c>
      <c r="B36" s="41" t="s">
        <v>143</v>
      </c>
      <c r="C36" s="22"/>
      <c r="D36" s="22"/>
      <c r="E36" s="22"/>
      <c r="F36" s="22"/>
      <c r="G36" s="22"/>
      <c r="H36" s="22"/>
      <c r="I36" s="22" t="s">
        <v>101</v>
      </c>
      <c r="J36" s="161">
        <f>J7+J34</f>
        <v>282147</v>
      </c>
    </row>
    <row r="37" spans="1:10" ht="16.5" thickTop="1">
      <c r="A37" s="22"/>
      <c r="B37" s="22"/>
      <c r="C37" s="22"/>
      <c r="D37" s="22"/>
      <c r="E37" s="22"/>
      <c r="F37" s="22"/>
      <c r="G37" s="22"/>
      <c r="H37" s="22"/>
      <c r="I37" s="22"/>
      <c r="J37" s="22"/>
    </row>
    <row r="38" spans="1:10" ht="15.75">
      <c r="A38" s="157" t="s">
        <v>141</v>
      </c>
      <c r="B38" s="41" t="str">
        <f>CONCATENATE("Debt Service Levy in this ",J1," Budget")</f>
        <v>Debt Service Levy in this 2013 Budget</v>
      </c>
      <c r="C38" s="22"/>
      <c r="D38" s="22"/>
      <c r="E38" s="22"/>
      <c r="F38" s="22"/>
      <c r="G38" s="22"/>
      <c r="H38" s="22"/>
      <c r="I38" s="22"/>
      <c r="J38" s="162">
        <v>0</v>
      </c>
    </row>
    <row r="39" spans="1:10" ht="15.75">
      <c r="A39" s="157"/>
      <c r="B39" s="41"/>
      <c r="C39" s="22"/>
      <c r="D39" s="22"/>
      <c r="E39" s="22"/>
      <c r="F39" s="22"/>
      <c r="G39" s="22"/>
      <c r="H39" s="22"/>
      <c r="I39" s="22"/>
      <c r="J39" s="60"/>
    </row>
    <row r="40" spans="1:10" ht="16.5" thickBot="1">
      <c r="A40" s="157" t="s">
        <v>142</v>
      </c>
      <c r="B40" s="41" t="s">
        <v>144</v>
      </c>
      <c r="C40" s="22"/>
      <c r="D40" s="22"/>
      <c r="E40" s="22"/>
      <c r="F40" s="22"/>
      <c r="G40" s="22"/>
      <c r="H40" s="22"/>
      <c r="I40" s="22"/>
      <c r="J40" s="161">
        <f>J36+J38</f>
        <v>282147</v>
      </c>
    </row>
    <row r="41" spans="1:10" ht="16.5" thickTop="1">
      <c r="A41" s="22"/>
      <c r="B41" s="22"/>
      <c r="C41" s="22"/>
      <c r="D41" s="22"/>
      <c r="E41" s="22"/>
      <c r="F41" s="22"/>
      <c r="G41" s="22"/>
      <c r="H41" s="22"/>
      <c r="I41" s="22"/>
      <c r="J41" s="22"/>
    </row>
    <row r="42" spans="1:10" s="163" customFormat="1" ht="18.75">
      <c r="A42" s="730" t="str">
        <f>CONCATENATE("If the ",J1," budget includes tax levies exceeding the total on line 15, you must")</f>
        <v>If the 2013 budget includes tax levies exceeding the total on line 15, you must</v>
      </c>
      <c r="B42" s="730"/>
      <c r="C42" s="730"/>
      <c r="D42" s="730"/>
      <c r="E42" s="730"/>
      <c r="F42" s="730"/>
      <c r="G42" s="730"/>
      <c r="H42" s="730"/>
      <c r="I42" s="730"/>
      <c r="J42" s="730"/>
    </row>
    <row r="43" spans="1:10" s="163" customFormat="1" ht="18.75">
      <c r="A43" s="731" t="s">
        <v>210</v>
      </c>
      <c r="B43" s="731"/>
      <c r="C43" s="731"/>
      <c r="D43" s="731"/>
      <c r="E43" s="731"/>
      <c r="F43" s="731"/>
      <c r="G43" s="731"/>
      <c r="H43" s="731"/>
      <c r="I43" s="731"/>
      <c r="J43" s="731"/>
    </row>
    <row r="44" spans="1:10" ht="15.95" customHeight="1">
      <c r="A44" s="725" t="s">
        <v>211</v>
      </c>
      <c r="B44" s="725"/>
      <c r="C44" s="725"/>
      <c r="D44" s="725"/>
      <c r="E44" s="729"/>
      <c r="F44" s="725"/>
      <c r="G44" s="725"/>
      <c r="H44" s="725"/>
      <c r="I44" s="725"/>
      <c r="J44" s="725"/>
    </row>
  </sheetData>
  <mergeCells count="5">
    <mergeCell ref="A44:J44"/>
    <mergeCell ref="A42:J42"/>
    <mergeCell ref="A43:J43"/>
    <mergeCell ref="A3:J3"/>
    <mergeCell ref="E4:G4"/>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46"/>
  <sheetViews>
    <sheetView workbookViewId="0">
      <selection activeCell="D22" sqref="D22"/>
    </sheetView>
  </sheetViews>
  <sheetFormatPr defaultRowHeight="15.75"/>
  <cols>
    <col min="1" max="1" width="8.88671875" style="23"/>
    <col min="2" max="2" width="17.88671875" style="23" customWidth="1"/>
    <col min="3" max="3" width="15.33203125" style="23" customWidth="1"/>
    <col min="4" max="7" width="10.77734375" style="23" customWidth="1"/>
    <col min="8" max="16384" width="8.88671875" style="23"/>
  </cols>
  <sheetData>
    <row r="1" spans="1:7">
      <c r="A1" s="517"/>
      <c r="B1" s="151" t="str">
        <f>inputPrYr!D2</f>
        <v>City of St.Francis</v>
      </c>
      <c r="C1" s="151"/>
      <c r="D1" s="22"/>
      <c r="E1" s="22"/>
      <c r="F1" s="22"/>
      <c r="G1" s="22"/>
    </row>
    <row r="2" spans="1:7">
      <c r="A2" s="517"/>
      <c r="B2" s="22"/>
      <c r="C2" s="22"/>
      <c r="D2" s="22"/>
      <c r="E2" s="22"/>
      <c r="F2" s="22"/>
      <c r="G2" s="22">
        <f>inputPrYr!$C$5</f>
        <v>2013</v>
      </c>
    </row>
    <row r="3" spans="1:7">
      <c r="A3" s="517"/>
      <c r="B3" s="732" t="s">
        <v>958</v>
      </c>
      <c r="C3" s="732"/>
      <c r="D3" s="732"/>
      <c r="E3" s="732"/>
      <c r="F3" s="732"/>
      <c r="G3" s="22"/>
    </row>
    <row r="4" spans="1:7">
      <c r="A4" s="517"/>
      <c r="B4" s="22"/>
      <c r="C4" s="164"/>
      <c r="D4" s="165"/>
      <c r="E4" s="165"/>
      <c r="F4" s="22"/>
      <c r="G4" s="22"/>
    </row>
    <row r="5" spans="1:7" ht="21" customHeight="1">
      <c r="A5" s="517"/>
      <c r="B5" s="166" t="s">
        <v>209</v>
      </c>
      <c r="C5" s="167" t="s">
        <v>806</v>
      </c>
      <c r="D5" s="734" t="str">
        <f>CONCATENATE("Allocation for Year ",G2,"")</f>
        <v>Allocation for Year 2013</v>
      </c>
      <c r="E5" s="735"/>
      <c r="F5" s="736"/>
      <c r="G5" s="518"/>
    </row>
    <row r="6" spans="1:7">
      <c r="A6" s="517"/>
      <c r="B6" s="168" t="str">
        <f>CONCATENATE("for ",G2-1,"")</f>
        <v>for 2012</v>
      </c>
      <c r="C6" s="168" t="str">
        <f>CONCATENATE("Amount for ",G2-2,"")</f>
        <v>Amount for 2011</v>
      </c>
      <c r="D6" s="129" t="s">
        <v>94</v>
      </c>
      <c r="E6" s="129" t="s">
        <v>95</v>
      </c>
      <c r="F6" s="129" t="s">
        <v>93</v>
      </c>
      <c r="G6" s="520"/>
    </row>
    <row r="7" spans="1:7">
      <c r="A7" s="517"/>
      <c r="B7" s="68" t="str">
        <f>(inputPrYr!B17)</f>
        <v>General</v>
      </c>
      <c r="C7" s="132">
        <f>(inputPrYr!E17)</f>
        <v>253766</v>
      </c>
      <c r="D7" s="132">
        <f>IF(inputOth!E39=0,0,D22-SUM(D8:D19))</f>
        <v>55082</v>
      </c>
      <c r="E7" s="132">
        <f>IF(inputOth!E40=0,0,E23-SUM(E8:E19))</f>
        <v>1255</v>
      </c>
      <c r="F7" s="132">
        <f>IF(inputOth!E41=0,0,F24-SUM(F8:F19))</f>
        <v>1367</v>
      </c>
      <c r="G7" s="518"/>
    </row>
    <row r="8" spans="1:7">
      <c r="A8" s="517"/>
      <c r="B8" s="68" t="str">
        <f>IF(inputPrYr!$B18&gt;"  ",(inputPrYr!$B18),"  ")</f>
        <v>Debt Service</v>
      </c>
      <c r="C8" s="132" t="str">
        <f>IF(inputPrYr!$E18&gt;0,(inputPrYr!$E18),"  ")</f>
        <v xml:space="preserve">  </v>
      </c>
      <c r="D8" s="132" t="str">
        <f>IF(inputPrYr!E18&gt;0,ROUND(C8*$D$27,0),"  ")</f>
        <v xml:space="preserve">  </v>
      </c>
      <c r="E8" s="132" t="str">
        <f>IF(inputPrYr!E18&gt;0,ROUND(+C8*E$28,0)," ")</f>
        <v xml:space="preserve"> </v>
      </c>
      <c r="F8" s="132" t="str">
        <f>IF(inputPrYr!E18&gt;0,ROUND(+C8*F$29,0)," ")</f>
        <v xml:space="preserve"> </v>
      </c>
      <c r="G8" s="518"/>
    </row>
    <row r="9" spans="1:7">
      <c r="A9" s="517"/>
      <c r="B9" s="68" t="str">
        <f>IF(inputPrYr!$B19&gt;"  ",(inputPrYr!$B19),"  ")</f>
        <v>Library</v>
      </c>
      <c r="C9" s="132">
        <f>IF(inputPrYr!$E19&gt;0,(inputPrYr!$E19),"  ")</f>
        <v>26602</v>
      </c>
      <c r="D9" s="132">
        <f>IF(inputPrYr!E19&gt;0,ROUND(C9*$D$27,0),"  ")</f>
        <v>5774</v>
      </c>
      <c r="E9" s="132">
        <f>IF(inputPrYr!E19&gt;0,ROUND(+C9*E$28,0)," ")</f>
        <v>132</v>
      </c>
      <c r="F9" s="132">
        <f>IF(inputPrYr!E19&gt;0,ROUND(+C9*F$29,0)," ")</f>
        <v>143</v>
      </c>
      <c r="G9" s="518"/>
    </row>
    <row r="10" spans="1:7">
      <c r="A10" s="517"/>
      <c r="B10" s="68" t="str">
        <f>IF(inputPrYr!$B21&gt;"  ",(inputPrYr!$B21),"  ")</f>
        <v xml:space="preserve">  </v>
      </c>
      <c r="C10" s="132" t="str">
        <f>IF(inputPrYr!$E21&gt;0,(inputPrYr!$E21),"  ")</f>
        <v xml:space="preserve">  </v>
      </c>
      <c r="D10" s="132" t="str">
        <f>IF(inputPrYr!E21&gt;0,ROUND(C10*$D$27,0),"  ")</f>
        <v xml:space="preserve">  </v>
      </c>
      <c r="E10" s="132" t="str">
        <f>IF(inputPrYr!E21&gt;0,ROUND(+C10*E$28,0)," ")</f>
        <v xml:space="preserve"> </v>
      </c>
      <c r="F10" s="132" t="str">
        <f>IF(inputPrYr!E21&gt;0,ROUND(+C10*F$29,0)," ")</f>
        <v xml:space="preserve"> </v>
      </c>
      <c r="G10" s="518"/>
    </row>
    <row r="11" spans="1:7">
      <c r="A11" s="517"/>
      <c r="B11" s="68" t="str">
        <f>IF(inputPrYr!$B22&gt;"  ",(inputPrYr!$B22),"  ")</f>
        <v xml:space="preserve">  </v>
      </c>
      <c r="C11" s="132" t="str">
        <f>IF(inputPrYr!$E22&gt;0,(inputPrYr!$E22),"  ")</f>
        <v xml:space="preserve">  </v>
      </c>
      <c r="D11" s="132" t="str">
        <f>IF(inputPrYr!E22&gt;0,ROUND(C11*$D$27,0),"  ")</f>
        <v xml:space="preserve">  </v>
      </c>
      <c r="E11" s="132" t="str">
        <f>IF(inputPrYr!E22&gt;0,ROUND(+C11*E$28,0)," ")</f>
        <v xml:space="preserve"> </v>
      </c>
      <c r="F11" s="132" t="str">
        <f>IF(inputPrYr!E22&gt;0,ROUND(+C11*F$29,0)," ")</f>
        <v xml:space="preserve"> </v>
      </c>
      <c r="G11" s="518"/>
    </row>
    <row r="12" spans="1:7">
      <c r="A12" s="517"/>
      <c r="B12" s="68" t="str">
        <f>IF(inputPrYr!$B23&gt;"  ",(inputPrYr!$B23),"  ")</f>
        <v xml:space="preserve">  </v>
      </c>
      <c r="C12" s="132" t="str">
        <f>IF(inputPrYr!$E23&gt;0,(inputPrYr!$E23),"  ")</f>
        <v xml:space="preserve">  </v>
      </c>
      <c r="D12" s="132" t="str">
        <f>IF(inputPrYr!E23&gt;0,ROUND(C12*$D$27,0),"  ")</f>
        <v xml:space="preserve">  </v>
      </c>
      <c r="E12" s="132" t="str">
        <f>IF(inputPrYr!E23&gt;0,ROUND(+C12*E$28,0)," ")</f>
        <v xml:space="preserve"> </v>
      </c>
      <c r="F12" s="132" t="str">
        <f>IF(inputPrYr!E23&gt;0,ROUND(+C12*F$29,0)," ")</f>
        <v xml:space="preserve"> </v>
      </c>
      <c r="G12" s="518"/>
    </row>
    <row r="13" spans="1:7">
      <c r="A13" s="517"/>
      <c r="B13" s="68" t="str">
        <f>IF(inputPrYr!$B24&gt;"  ",(inputPrYr!$B24),"  ")</f>
        <v xml:space="preserve">  </v>
      </c>
      <c r="C13" s="132" t="str">
        <f>IF(inputPrYr!$E24&gt;0,(inputPrYr!$E24),"  ")</f>
        <v xml:space="preserve">  </v>
      </c>
      <c r="D13" s="132" t="str">
        <f>IF(inputPrYr!E24&gt;0,ROUND(C13*$D$27,0),"  ")</f>
        <v xml:space="preserve">  </v>
      </c>
      <c r="E13" s="132" t="str">
        <f>IF(inputPrYr!E24&gt;0,ROUND(+C13*E$28,0)," ")</f>
        <v xml:space="preserve"> </v>
      </c>
      <c r="F13" s="132" t="str">
        <f>IF(inputPrYr!E24&gt;0,ROUND(+C13*F$29,0)," ")</f>
        <v xml:space="preserve"> </v>
      </c>
      <c r="G13" s="518"/>
    </row>
    <row r="14" spans="1:7">
      <c r="A14" s="517"/>
      <c r="B14" s="68" t="str">
        <f>IF(inputPrYr!$B25&gt;"  ",(inputPrYr!$B25),"  ")</f>
        <v xml:space="preserve">  </v>
      </c>
      <c r="C14" s="132" t="str">
        <f>IF(inputPrYr!$E25&gt;0,(inputPrYr!$E25),"  ")</f>
        <v xml:space="preserve">  </v>
      </c>
      <c r="D14" s="132" t="str">
        <f>IF(inputPrYr!E25&gt;0,ROUND(C14*$D$27,0),"  ")</f>
        <v xml:space="preserve">  </v>
      </c>
      <c r="E14" s="132" t="str">
        <f>IF(inputPrYr!E25&gt;0,ROUND(+C14*E$28,0)," ")</f>
        <v xml:space="preserve"> </v>
      </c>
      <c r="F14" s="132" t="str">
        <f>IF(inputPrYr!E25&gt;0,ROUND(+C14*F$29,0)," ")</f>
        <v xml:space="preserve"> </v>
      </c>
      <c r="G14" s="518"/>
    </row>
    <row r="15" spans="1:7">
      <c r="A15" s="517"/>
      <c r="B15" s="68" t="str">
        <f>IF(inputPrYr!$B26&gt;"  ",(inputPrYr!$B26),"  ")</f>
        <v xml:space="preserve">  </v>
      </c>
      <c r="C15" s="132" t="str">
        <f>IF(inputPrYr!$E26&gt;0,(inputPrYr!$E26),"  ")</f>
        <v xml:space="preserve">  </v>
      </c>
      <c r="D15" s="132" t="str">
        <f>IF(inputPrYr!E26&gt;0,ROUND(C15*$D$27,0),"  ")</f>
        <v xml:space="preserve">  </v>
      </c>
      <c r="E15" s="132" t="str">
        <f>IF(inputPrYr!E26&gt;0,ROUND(+C15*E$28,0)," ")</f>
        <v xml:space="preserve"> </v>
      </c>
      <c r="F15" s="132" t="str">
        <f>IF(inputPrYr!E26&gt;0,ROUND(+C15*F$29,0)," ")</f>
        <v xml:space="preserve"> </v>
      </c>
      <c r="G15" s="518"/>
    </row>
    <row r="16" spans="1:7">
      <c r="A16" s="517"/>
      <c r="B16" s="68" t="str">
        <f>IF(inputPrYr!$B27&gt;"  ",(inputPrYr!$B27),"  ")</f>
        <v xml:space="preserve">  </v>
      </c>
      <c r="C16" s="132" t="str">
        <f>IF(inputPrYr!$E27&gt;0,(inputPrYr!$E27),"  ")</f>
        <v xml:space="preserve">  </v>
      </c>
      <c r="D16" s="132" t="str">
        <f>IF(inputPrYr!E27&gt;0,ROUND(C16*$D$27,0),"  ")</f>
        <v xml:space="preserve">  </v>
      </c>
      <c r="E16" s="132" t="str">
        <f>IF(inputPrYr!E27&gt;0,ROUND(+C16*E$28,0)," ")</f>
        <v xml:space="preserve"> </v>
      </c>
      <c r="F16" s="132" t="str">
        <f>IF(inputPrYr!E27&gt;0,ROUND(+C16*F$29,0)," ")</f>
        <v xml:space="preserve"> </v>
      </c>
      <c r="G16" s="518"/>
    </row>
    <row r="17" spans="1:7">
      <c r="A17" s="517"/>
      <c r="B17" s="68" t="str">
        <f>IF(inputPrYr!$B28&gt;"  ",(inputPrYr!$B28),"  ")</f>
        <v xml:space="preserve">  </v>
      </c>
      <c r="C17" s="132" t="str">
        <f>IF(inputPrYr!$E28&gt;0,(inputPrYr!$E28),"  ")</f>
        <v xml:space="preserve">  </v>
      </c>
      <c r="D17" s="132" t="str">
        <f>IF(inputPrYr!E28&gt;0,ROUND(C17*$D$27,0),"  ")</f>
        <v xml:space="preserve">  </v>
      </c>
      <c r="E17" s="132" t="str">
        <f>IF(inputPrYr!E28&gt;0,ROUND(+C17*E$28,0)," ")</f>
        <v xml:space="preserve"> </v>
      </c>
      <c r="F17" s="132" t="str">
        <f>IF(inputPrYr!E28&gt;0,ROUND(+C17*F$29,0)," ")</f>
        <v xml:space="preserve"> </v>
      </c>
      <c r="G17" s="518"/>
    </row>
    <row r="18" spans="1:7">
      <c r="A18" s="517"/>
      <c r="B18" s="68" t="str">
        <f>IF(inputPrYr!$B29&gt;"  ",(inputPrYr!$B29),"  ")</f>
        <v xml:space="preserve">  </v>
      </c>
      <c r="C18" s="132" t="str">
        <f>IF(inputPrYr!$E29&gt;0,(inputPrYr!$E29),"  ")</f>
        <v xml:space="preserve">  </v>
      </c>
      <c r="D18" s="132" t="str">
        <f>IF(inputPrYr!E29&gt;0,ROUND(C18*$D$27,0),"  ")</f>
        <v xml:space="preserve">  </v>
      </c>
      <c r="E18" s="132" t="str">
        <f>IF(inputPrYr!E29&gt;0,ROUND(+C18*E$28,0)," ")</f>
        <v xml:space="preserve"> </v>
      </c>
      <c r="F18" s="132" t="str">
        <f>IF(inputPrYr!E29&gt;0,ROUND(+C18*F$29,0)," ")</f>
        <v xml:space="preserve"> </v>
      </c>
      <c r="G18" s="518"/>
    </row>
    <row r="19" spans="1:7">
      <c r="A19" s="517"/>
      <c r="B19" s="68" t="str">
        <f>IF(inputPrYr!$B30&gt;"  ",(inputPrYr!$B30),"  ")</f>
        <v xml:space="preserve">  </v>
      </c>
      <c r="C19" s="132" t="str">
        <f>IF(inputPrYr!$E30&gt;0,(inputPrYr!$E30),"  ")</f>
        <v xml:space="preserve">  </v>
      </c>
      <c r="D19" s="132" t="str">
        <f>IF(inputPrYr!E30&gt;0,ROUND(C19*$D$27,0),"  ")</f>
        <v xml:space="preserve">  </v>
      </c>
      <c r="E19" s="132" t="str">
        <f>IF(inputPrYr!E30&gt;0,ROUND(+C19*E$28,0)," ")</f>
        <v xml:space="preserve"> </v>
      </c>
      <c r="F19" s="132" t="str">
        <f>IF(inputPrYr!E30&gt;0,ROUND(+C19*F$29,0)," ")</f>
        <v xml:space="preserve"> </v>
      </c>
      <c r="G19" s="518"/>
    </row>
    <row r="20" spans="1:7">
      <c r="A20" s="517"/>
      <c r="B20" s="519" t="s">
        <v>19</v>
      </c>
      <c r="C20" s="138">
        <f>SUM(C7:C19)</f>
        <v>280368</v>
      </c>
      <c r="D20" s="138">
        <f>SUM(D7:D19)</f>
        <v>60856</v>
      </c>
      <c r="E20" s="138">
        <f>SUM(E7:E19)</f>
        <v>1387</v>
      </c>
      <c r="F20" s="138">
        <f>SUM(F7:F19)</f>
        <v>1510</v>
      </c>
      <c r="G20" s="518"/>
    </row>
    <row r="21" spans="1:7">
      <c r="A21" s="517"/>
      <c r="B21" s="22"/>
      <c r="C21" s="22"/>
      <c r="D21" s="22"/>
      <c r="E21" s="22"/>
      <c r="F21" s="22"/>
      <c r="G21" s="22"/>
    </row>
    <row r="22" spans="1:7">
      <c r="A22" s="517"/>
      <c r="B22" s="29" t="s">
        <v>20</v>
      </c>
      <c r="C22" s="169"/>
      <c r="D22" s="170">
        <f>(inputOth!E39)</f>
        <v>60856</v>
      </c>
      <c r="E22" s="169"/>
      <c r="F22" s="22"/>
      <c r="G22" s="22"/>
    </row>
    <row r="23" spans="1:7">
      <c r="A23" s="517"/>
      <c r="B23" s="29" t="s">
        <v>21</v>
      </c>
      <c r="C23" s="22"/>
      <c r="D23" s="22"/>
      <c r="E23" s="170">
        <f>(inputOth!E40)</f>
        <v>1387</v>
      </c>
      <c r="F23" s="22"/>
      <c r="G23" s="22"/>
    </row>
    <row r="24" spans="1:7">
      <c r="A24" s="517"/>
      <c r="B24" s="29" t="s">
        <v>96</v>
      </c>
      <c r="C24" s="22"/>
      <c r="D24" s="22"/>
      <c r="E24" s="22"/>
      <c r="F24" s="170">
        <f>inputOth!E41</f>
        <v>1510</v>
      </c>
      <c r="G24" s="22"/>
    </row>
    <row r="25" spans="1:7">
      <c r="A25" s="517"/>
      <c r="B25" s="61"/>
      <c r="C25" s="60"/>
      <c r="D25" s="60"/>
      <c r="E25" s="60"/>
      <c r="F25" s="171"/>
      <c r="G25" s="58"/>
    </row>
    <row r="26" spans="1:7">
      <c r="A26" s="517"/>
      <c r="B26" s="29"/>
      <c r="C26" s="22"/>
      <c r="D26" s="22"/>
      <c r="E26" s="22"/>
      <c r="F26" s="171"/>
      <c r="G26" s="22"/>
    </row>
    <row r="27" spans="1:7">
      <c r="A27" s="517"/>
      <c r="B27" s="29" t="s">
        <v>22</v>
      </c>
      <c r="C27" s="22"/>
      <c r="D27" s="172">
        <f>IF(C20=0,0,D22/C20)</f>
        <v>0.21705758146436113</v>
      </c>
      <c r="E27" s="22"/>
      <c r="F27" s="22"/>
      <c r="G27" s="22"/>
    </row>
    <row r="28" spans="1:7">
      <c r="A28" s="517"/>
      <c r="B28" s="22"/>
      <c r="C28" s="29" t="s">
        <v>23</v>
      </c>
      <c r="D28" s="22"/>
      <c r="E28" s="172">
        <f>IF(C20=0,0,E23/C20)</f>
        <v>4.9470695657136332E-3</v>
      </c>
      <c r="F28" s="22"/>
      <c r="G28" s="22"/>
    </row>
    <row r="29" spans="1:7">
      <c r="A29" s="517"/>
      <c r="B29" s="22"/>
      <c r="C29" s="22"/>
      <c r="D29" s="29" t="s">
        <v>97</v>
      </c>
      <c r="E29" s="22"/>
      <c r="F29" s="172">
        <f>IF(F24=0,0,F24/C20)</f>
        <v>5.3857786908634367E-3</v>
      </c>
      <c r="G29" s="22"/>
    </row>
    <row r="30" spans="1:7">
      <c r="A30" s="517"/>
      <c r="B30" s="22"/>
      <c r="C30" s="22"/>
      <c r="D30" s="22"/>
      <c r="E30" s="22"/>
      <c r="F30" s="22"/>
      <c r="G30" s="22"/>
    </row>
    <row r="31" spans="1:7" ht="15" customHeight="1">
      <c r="A31" s="517"/>
      <c r="B31" s="85"/>
      <c r="C31" s="85"/>
      <c r="D31" s="85"/>
      <c r="E31" s="85"/>
      <c r="F31" s="85"/>
      <c r="G31" s="85"/>
    </row>
    <row r="32" spans="1:7" ht="15" customHeight="1"/>
    <row r="33" s="173"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mergeCells count="2">
    <mergeCell ref="B3:F3"/>
    <mergeCell ref="D5:F5"/>
  </mergeCells>
  <phoneticPr fontId="0" type="noConversion"/>
  <pageMargins left="0.5" right="0.5" top="0.5" bottom="0" header="0.25" footer="0"/>
  <pageSetup scale="94" orientation="portrait" blackAndWhite="1" horizontalDpi="120" verticalDpi="144" r:id="rId1"/>
  <headerFooter alignWithMargins="0">
    <oddHeader xml:space="preserve">&amp;RState of Kansas
City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16</vt:i4>
      </vt:variant>
    </vt:vector>
  </HeadingPairs>
  <TitlesOfParts>
    <vt:vector size="60" baseType="lpstr">
      <vt:lpstr>Instructions</vt:lpstr>
      <vt:lpstr>inputPrYr</vt:lpstr>
      <vt:lpstr>inputOth</vt:lpstr>
      <vt:lpstr>inputBudSum</vt:lpstr>
      <vt:lpstr>NotPub</vt:lpstr>
      <vt:lpstr>SignCert</vt:lpstr>
      <vt:lpstr>cert</vt:lpstr>
      <vt:lpstr>computation</vt:lpstr>
      <vt:lpstr>mvalloc</vt:lpstr>
      <vt:lpstr>transfers</vt:lpstr>
      <vt:lpstr>TransferStatutes</vt:lpstr>
      <vt:lpstr>debt</vt:lpstr>
      <vt:lpstr>lpform</vt:lpstr>
      <vt:lpstr>Library Grant </vt:lpstr>
      <vt:lpstr>general</vt:lpstr>
      <vt:lpstr>GenDetail</vt:lpstr>
      <vt:lpstr>DebtSvs-Library</vt:lpstr>
      <vt:lpstr>levy page9</vt:lpstr>
      <vt:lpstr>levy page10</vt:lpstr>
      <vt:lpstr>levy page11</vt:lpstr>
      <vt:lpstr>levy page12</vt:lpstr>
      <vt:lpstr>levy page13</vt:lpstr>
      <vt:lpstr>Sp Hiway &amp; Sp Parks</vt:lpstr>
      <vt:lpstr>Electric &amp; Water Utility</vt:lpstr>
      <vt:lpstr>Sewer &amp; Refuse Utility</vt:lpstr>
      <vt:lpstr>Theater &amp; Tourism</vt:lpstr>
      <vt:lpstr>EMS Building</vt:lpstr>
      <vt:lpstr>SinNoLevy19</vt:lpstr>
      <vt:lpstr>SinNoLevy20</vt:lpstr>
      <vt:lpstr>SinNoLevy21</vt:lpstr>
      <vt:lpstr>NonBudA</vt:lpstr>
      <vt:lpstr>NonBudB</vt:lpstr>
      <vt:lpstr>NonBudFunds</vt:lpstr>
      <vt:lpstr>summ</vt:lpstr>
      <vt:lpstr>nhood</vt:lpstr>
      <vt:lpstr>Ordinance</vt:lpstr>
      <vt:lpstr>Tab A</vt:lpstr>
      <vt:lpstr>Tab B</vt:lpstr>
      <vt:lpstr>Tab C</vt:lpstr>
      <vt:lpstr>Tab D</vt:lpstr>
      <vt:lpstr>Tab E</vt:lpstr>
      <vt:lpstr>Mill Rate Computation</vt:lpstr>
      <vt:lpstr>Helpful Links</vt:lpstr>
      <vt:lpstr>Legend</vt:lpstr>
      <vt:lpstr>cert!Print_Area</vt:lpstr>
      <vt:lpstr>'DebtSvs-Library'!Print_Area</vt:lpstr>
      <vt:lpstr>'Electric &amp; Water Utility'!Print_Area</vt:lpstr>
      <vt:lpstr>GenDetail!Print_Area</vt:lpstr>
      <vt:lpstr>general!Print_Area</vt:lpstr>
      <vt:lpstr>inputPrYr!Print_Area</vt:lpstr>
      <vt:lpstr>Instructions!Print_Area</vt:lpstr>
      <vt:lpstr>'levy page10'!Print_Area</vt:lpstr>
      <vt:lpstr>'levy page11'!Print_Area</vt:lpstr>
      <vt:lpstr>'levy page12'!Print_Area</vt:lpstr>
      <vt:lpstr>'levy page13'!Print_Area</vt:lpstr>
      <vt:lpstr>'levy page9'!Print_Area</vt:lpstr>
      <vt:lpstr>'Library Grant '!Print_Area</vt:lpstr>
      <vt:lpstr>lpform!Print_Area</vt:lpstr>
      <vt:lpstr>NonBudA!Print_Area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2012-12-04T17:03:02Z</cp:lastPrinted>
  <dcterms:created xsi:type="dcterms:W3CDTF">1999-08-03T13:11:47Z</dcterms:created>
  <dcterms:modified xsi:type="dcterms:W3CDTF">2014-01-21T20:59:07Z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30</vt:i4>
  </property>
  <property fmtid="{D5CDD505-2E9C-101B-9397-08002B2CF9AE}" pid="3" name="Refresh">
    <vt:bool>true</vt:bool>
  </property>
  <property fmtid="{D5CDD505-2E9C-101B-9397-08002B2CF9AE}" pid="4" name="Refresh97">
    <vt:bool>false</vt:bool>
  </property>
</Properties>
</file>