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25"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ordinance"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4">'cert'!$B$1:$G$53</definedName>
    <definedName name="_xlnm.Print_Area" localSheetId="9">'debt'!$B$1:$M$43</definedName>
    <definedName name="_xlnm.Print_Area" localSheetId="14">'DebtSvs-library'!$B$1:$E$88</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page9'!$B$1:$E$59</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22">'no levy page16'!$B$1:$E$66</definedName>
    <definedName name="_xlnm.Print_Area" localSheetId="32">'NonBudA'!$A$1:$L$33</definedName>
    <definedName name="_xlnm.Print_Area" localSheetId="37">'summ'!$A$1:$H$52</definedName>
    <definedName name="_xlnm.Print_Area" localSheetId="7">'transfers'!$B$1:$G$42</definedName>
  </definedNames>
  <calcPr fullCalcOnLoad="1"/>
</workbook>
</file>

<file path=xl/sharedStrings.xml><?xml version="1.0" encoding="utf-8"?>
<sst xmlns="http://schemas.openxmlformats.org/spreadsheetml/2006/main" count="2693" uniqueCount="1214">
  <si>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</si>
  <si>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</si>
  <si>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</si>
  <si>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</si>
  <si>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</si>
  <si>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</si>
  <si>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</si>
  <si>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</si>
  <si>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</si>
  <si>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</si>
  <si>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</si>
  <si>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</si>
  <si>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</si>
  <si>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</si>
  <si>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</si>
  <si>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</si>
  <si>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</si>
  <si>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</si>
  <si>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</si>
  <si>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</si>
  <si>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</si>
  <si>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</si>
  <si>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</si>
  <si>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</si>
  <si>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</si>
  <si>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</si>
  <si>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</si>
  <si>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</si>
  <si>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</si>
  <si>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</si>
  <si>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</si>
  <si>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</si>
  <si>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</si>
  <si>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</si>
  <si>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</si>
  <si>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</si>
  <si>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</si>
  <si>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</si>
  <si>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</si>
  <si>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</si>
  <si>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</si>
  <si>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</si>
  <si>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</si>
  <si>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</si>
  <si>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</si>
  <si>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</si>
  <si>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</si>
  <si>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</si>
  <si>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</si>
  <si>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</si>
  <si>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</si>
  <si>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</si>
  <si>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</si>
  <si>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</si>
  <si>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</si>
  <si>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</si>
  <si>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</si>
  <si>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</si>
  <si>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</si>
  <si>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</si>
  <si>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</si>
  <si>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</si>
  <si>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</si>
  <si>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</si>
  <si>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</si>
  <si>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</si>
  <si>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</si>
  <si>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</si>
  <si>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</si>
  <si>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</si>
  <si>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</si>
  <si>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</si>
  <si>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</si>
  <si>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</si>
  <si>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</si>
  <si>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</si>
  <si>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</si>
  <si>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</si>
  <si>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</si>
  <si>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</si>
  <si>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</si>
  <si>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</si>
  <si>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</si>
  <si>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</si>
  <si>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</si>
  <si>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</si>
  <si>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</si>
  <si>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</si>
  <si>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</si>
  <si>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</si>
  <si>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</si>
  <si>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</si>
  <si>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</si>
  <si>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</si>
  <si>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</si>
  <si>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</si>
  <si>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</si>
  <si>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</si>
  <si>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</si>
  <si>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</si>
  <si>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</si>
  <si>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</si>
  <si>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</si>
  <si>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</si>
  <si>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</si>
  <si>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</si>
  <si>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</si>
  <si>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</si>
  <si>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</si>
  <si>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</si>
  <si>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</si>
  <si>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</si>
  <si>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</si>
  <si>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</si>
  <si>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</si>
  <si>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</si>
  <si>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</si>
  <si>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</si>
  <si>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</si>
  <si>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</si>
  <si>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</si>
  <si>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</si>
  <si>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</si>
  <si>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</si>
  <si>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</si>
  <si>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</si>
  <si>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</si>
  <si>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</si>
  <si>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</si>
  <si>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</si>
  <si>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</si>
  <si>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</si>
  <si>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</si>
  <si>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</si>
  <si>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</si>
  <si>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</si>
  <si>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</si>
  <si>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</si>
  <si>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</si>
  <si>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</si>
  <si>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</si>
  <si>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</si>
  <si>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</si>
  <si>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</si>
  <si>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</si>
  <si>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</si>
  <si>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</si>
  <si>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</si>
  <si>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</si>
  <si>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</si>
  <si>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</si>
  <si>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</si>
  <si>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</si>
  <si>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</si>
  <si>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</si>
  <si>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</si>
  <si>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</si>
  <si>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</si>
  <si>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</si>
  <si>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</si>
  <si>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</si>
  <si>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</si>
  <si>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</si>
  <si>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</si>
  <si>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</si>
  <si>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</si>
  <si>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</si>
  <si>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</si>
  <si>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</si>
  <si>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</si>
  <si>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</si>
  <si>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</si>
  <si>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</si>
  <si>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</si>
  <si>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</si>
  <si>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</si>
  <si>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</si>
  <si>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</si>
  <si>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</si>
  <si>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</si>
  <si>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</si>
  <si>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</si>
  <si>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</si>
  <si>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</si>
  <si>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</si>
  <si>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</si>
  <si>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</si>
  <si>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</si>
  <si>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</si>
  <si>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</si>
  <si>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Transfer to MERF</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</si>
  <si>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</si>
  <si>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</si>
  <si>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</si>
  <si>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</si>
  <si>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</si>
  <si>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</si>
  <si>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</si>
  <si>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</si>
  <si>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</si>
  <si>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</si>
  <si>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</si>
  <si>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</si>
  <si>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</si>
  <si>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</si>
  <si>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</si>
  <si>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</si>
  <si>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</si>
  <si>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</si>
  <si>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</si>
  <si>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</si>
  <si>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</si>
  <si>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</si>
  <si>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</si>
  <si>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</si>
  <si>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</si>
  <si>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</si>
  <si>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</si>
  <si>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</si>
  <si>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</si>
  <si>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</si>
  <si>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</si>
  <si>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</si>
  <si>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</si>
  <si>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</si>
  <si>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</si>
  <si>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</si>
  <si>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</si>
  <si>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</si>
  <si>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</si>
  <si>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</si>
  <si>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</si>
  <si>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</si>
  <si>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</si>
  <si>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</si>
  <si>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</si>
  <si>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</si>
  <si>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</si>
  <si>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</si>
  <si>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</si>
  <si>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</si>
  <si>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</si>
  <si>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19 E Peoria</t>
  </si>
  <si>
    <t>Paola, KS 66071</t>
  </si>
  <si>
    <t>jwieland@cityofpaola.com</t>
  </si>
  <si>
    <t>_________________________________________________</t>
  </si>
  <si>
    <t>Artie Stuteville, Mayor</t>
  </si>
  <si>
    <t>Jim Pritchard, Council Member</t>
  </si>
  <si>
    <t>Gee Gee Wilhoite, Council Member</t>
  </si>
  <si>
    <t>Leigh House, Council Member</t>
  </si>
  <si>
    <t>Kevin Clouse, Council Member</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</si>
  <si>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</si>
  <si>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</si>
  <si>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</si>
  <si>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</si>
  <si>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</si>
  <si>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</si>
  <si>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</si>
  <si>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</si>
  <si>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</si>
  <si>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</si>
  <si>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</si>
  <si>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</si>
  <si>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</si>
  <si>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</si>
  <si>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</si>
  <si>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</si>
  <si>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</si>
  <si>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</si>
  <si>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</si>
  <si>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</si>
  <si>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</si>
  <si>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</si>
  <si>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</si>
  <si>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</si>
  <si>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</si>
  <si>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</si>
  <si>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</si>
  <si>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</si>
  <si>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</si>
  <si>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</si>
  <si>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</si>
  <si>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</si>
  <si>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</si>
  <si>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</si>
  <si>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</si>
  <si>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</si>
  <si>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</si>
  <si>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</si>
  <si>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</si>
  <si>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</si>
  <si>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</si>
  <si>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</si>
  <si>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</si>
  <si>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</si>
  <si>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</si>
  <si>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</si>
  <si>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</si>
  <si>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</si>
  <si>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</si>
  <si>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</si>
  <si>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</si>
  <si>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</si>
  <si>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</si>
  <si>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</si>
  <si>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</si>
  <si>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</si>
  <si>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16. Delinquency rate for actual for 3 decimal and note that rate can be up to 5% over the actual rate.</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</si>
  <si>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</si>
  <si>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</si>
  <si>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</si>
  <si>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</si>
  <si>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</si>
  <si>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</si>
  <si>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</si>
  <si>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</si>
  <si>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</si>
  <si>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</si>
  <si>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</si>
  <si>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</si>
  <si>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</si>
  <si>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</si>
  <si>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</si>
  <si>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</si>
  <si>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</si>
  <si>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</si>
  <si>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</si>
  <si>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</si>
  <si>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</si>
  <si>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</si>
  <si>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</si>
  <si>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</si>
  <si>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</si>
  <si>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</si>
  <si>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</si>
  <si>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</si>
  <si>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</si>
  <si>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</si>
  <si>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</si>
  <si>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</si>
  <si>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</si>
  <si>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</si>
  <si>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</si>
  <si>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</si>
  <si>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</si>
  <si>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</si>
  <si>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</si>
  <si>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</si>
  <si>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</si>
  <si>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</si>
  <si>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</si>
  <si>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</si>
  <si>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</si>
  <si>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</si>
  <si>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</si>
  <si>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</si>
  <si>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</si>
  <si>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</si>
  <si>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</si>
  <si>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</si>
  <si>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</si>
  <si>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</si>
  <si>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</si>
  <si>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</si>
  <si>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</si>
  <si>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</si>
  <si>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</si>
  <si>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</si>
  <si>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</si>
  <si>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</si>
  <si>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</si>
  <si>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</si>
  <si>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</si>
  <si>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</si>
  <si>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</si>
  <si>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</si>
  <si>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</si>
  <si>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</si>
  <si>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</si>
  <si>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</si>
  <si>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</si>
  <si>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</si>
  <si>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</si>
  <si>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</si>
  <si>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</si>
  <si>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</si>
  <si>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</si>
  <si>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</si>
  <si>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</si>
  <si>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</si>
  <si>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</si>
  <si>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</si>
  <si>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</si>
  <si>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</si>
  <si>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</si>
  <si>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</si>
  <si>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</si>
  <si>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</si>
  <si>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</si>
  <si>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</si>
  <si>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</si>
  <si>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</si>
  <si>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</si>
  <si>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</si>
  <si>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</si>
  <si>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</si>
  <si>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</si>
  <si>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</si>
  <si>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</si>
  <si>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</si>
  <si>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</si>
  <si>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</si>
  <si>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</si>
  <si>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</si>
  <si>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</si>
  <si>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</si>
  <si>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</si>
  <si>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</si>
  <si>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</si>
  <si>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</si>
  <si>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</si>
  <si>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</si>
  <si>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</si>
  <si>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</si>
  <si>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</si>
  <si>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</si>
  <si>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</si>
  <si>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</si>
  <si>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</si>
  <si>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</si>
  <si>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</si>
  <si>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</si>
  <si>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</si>
  <si>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</si>
  <si>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</si>
  <si>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</si>
  <si>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</si>
  <si>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</si>
  <si>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</si>
  <si>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</si>
  <si>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</si>
  <si>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</si>
  <si>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</si>
  <si>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</si>
  <si>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</si>
  <si>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</si>
  <si>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</si>
  <si>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</si>
  <si>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</si>
  <si>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</si>
  <si>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</si>
  <si>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</si>
  <si>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</si>
  <si>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</si>
  <si>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</si>
  <si>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</si>
  <si>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</si>
  <si>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</si>
  <si>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</si>
  <si>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</si>
  <si>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</si>
  <si>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</si>
  <si>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</si>
  <si>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</si>
  <si>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</si>
  <si>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</si>
  <si>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</si>
  <si>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</si>
  <si>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</si>
  <si>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</si>
  <si>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</si>
  <si>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</si>
  <si>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</si>
  <si>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</si>
  <si>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</si>
  <si>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</si>
  <si>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</si>
  <si>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</si>
  <si>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</si>
  <si>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</si>
  <si>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</si>
  <si>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</si>
  <si>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</si>
  <si>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</si>
  <si>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</si>
  <si>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</si>
  <si>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</si>
  <si>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</si>
  <si>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</si>
  <si>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</si>
  <si>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</si>
  <si>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</si>
  <si>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</si>
  <si>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</si>
  <si>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</si>
  <si>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</si>
  <si>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</si>
  <si>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</si>
  <si>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</si>
  <si>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</si>
  <si>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</si>
  <si>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</si>
  <si>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</si>
  <si>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</si>
  <si>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</si>
  <si>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</si>
  <si>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</si>
  <si>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</si>
  <si>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</si>
  <si>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</si>
  <si>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</si>
  <si>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</si>
  <si>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</si>
  <si>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</si>
  <si>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</si>
  <si>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</si>
  <si>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</si>
  <si>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</si>
  <si>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</si>
  <si>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</si>
  <si>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</si>
  <si>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</si>
  <si>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</si>
  <si>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</si>
  <si>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</si>
  <si>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</si>
  <si>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</si>
  <si>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</si>
  <si>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</si>
  <si>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</si>
  <si>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</si>
  <si>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</si>
  <si>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</si>
  <si>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</si>
  <si>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</si>
  <si>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</si>
  <si>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</si>
  <si>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</si>
  <si>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</si>
  <si>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</si>
  <si>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</si>
  <si>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</si>
  <si>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</si>
  <si>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</si>
  <si>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</si>
  <si>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</si>
  <si>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</si>
  <si>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</si>
  <si>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</si>
  <si>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</si>
  <si>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</si>
  <si>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</si>
  <si>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</si>
  <si>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</si>
  <si>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</si>
  <si>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</si>
  <si>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</si>
  <si>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</si>
  <si>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</si>
  <si>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</si>
  <si>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</si>
  <si>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</si>
  <si>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</si>
  <si>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</si>
  <si>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</si>
  <si>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</si>
  <si>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</si>
  <si>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</si>
  <si>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</si>
  <si>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</si>
  <si>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</si>
  <si>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</si>
  <si>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</si>
  <si>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</si>
  <si>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</si>
  <si>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</si>
  <si>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</si>
  <si>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</si>
  <si>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</si>
  <si>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</si>
  <si>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</si>
  <si>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</si>
  <si>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</si>
  <si>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</si>
  <si>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</si>
  <si>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</si>
  <si>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</si>
  <si>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</si>
  <si>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</si>
  <si>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</si>
  <si>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</si>
  <si>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</si>
  <si>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</si>
  <si>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</si>
  <si>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</si>
  <si>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</si>
  <si>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</si>
  <si>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</si>
  <si>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</si>
  <si>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</si>
  <si>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</si>
  <si>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</si>
  <si>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</si>
  <si>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</si>
  <si>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</si>
  <si>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</si>
  <si>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</si>
  <si>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</si>
  <si>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</si>
  <si>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</si>
  <si>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</si>
  <si>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</si>
  <si>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</si>
  <si>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</si>
  <si>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</si>
  <si>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</si>
  <si>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</si>
  <si>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</si>
  <si>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</si>
  <si>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</si>
  <si>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</si>
  <si>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</si>
  <si>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</si>
  <si>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</si>
  <si>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</si>
  <si>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</si>
  <si>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</si>
  <si>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</si>
  <si>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</si>
  <si>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</si>
  <si>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</si>
  <si>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</si>
  <si>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</si>
  <si>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</si>
  <si>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</si>
  <si>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</si>
  <si>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</si>
  <si>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</si>
  <si>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</si>
  <si>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</si>
  <si>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</si>
  <si>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</si>
  <si>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</si>
  <si>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</si>
  <si>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</si>
  <si>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</si>
  <si>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</si>
  <si>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</si>
  <si>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</si>
  <si>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</si>
  <si>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</si>
  <si>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</si>
  <si>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</si>
  <si>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</si>
  <si>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</si>
  <si>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</si>
  <si>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</si>
  <si>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</si>
  <si>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</si>
  <si>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</si>
  <si>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</si>
  <si>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</si>
  <si>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</si>
  <si>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</si>
  <si>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</si>
  <si>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</si>
  <si>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</si>
  <si>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</si>
  <si>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</si>
  <si>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</si>
  <si>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</si>
  <si>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</si>
  <si>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</si>
  <si>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</si>
  <si>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</si>
  <si>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</si>
  <si>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</si>
  <si>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</si>
  <si>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</si>
  <si>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</si>
  <si>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</si>
  <si>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</si>
  <si>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</si>
  <si>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</si>
  <si>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</si>
  <si>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</si>
  <si>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</si>
  <si>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</si>
  <si>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</si>
  <si>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</si>
  <si>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</si>
  <si>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</si>
  <si>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</si>
  <si>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</si>
  <si>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</si>
  <si>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</si>
  <si>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</si>
  <si>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</si>
  <si>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</si>
  <si>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</si>
  <si>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</si>
  <si>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</si>
  <si>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</si>
  <si>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</si>
  <si>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</si>
  <si>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</si>
  <si>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</si>
  <si>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</si>
  <si>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</si>
  <si>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</si>
  <si>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</si>
  <si>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</si>
  <si>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</si>
  <si>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</si>
  <si>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</si>
  <si>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</si>
  <si>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</si>
  <si>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</si>
  <si>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</si>
  <si>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</si>
  <si>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</si>
  <si>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</si>
  <si>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</si>
  <si>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</si>
  <si>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</si>
  <si>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</si>
  <si>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</si>
  <si>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</si>
  <si>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</si>
  <si>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City of Paola</t>
  </si>
  <si>
    <t>Miami County</t>
  </si>
  <si>
    <t>General - Fund 01</t>
  </si>
  <si>
    <t>Bond &amp; Interest - Fund 06</t>
  </si>
  <si>
    <t>Library - Fund 02</t>
  </si>
  <si>
    <t>Employee Benefits - Fund 05</t>
  </si>
  <si>
    <t>Sewer Service - Fund 04</t>
  </si>
  <si>
    <t>Aquatics Center - Fund 07</t>
  </si>
  <si>
    <t>Community Center - Fund 08</t>
  </si>
  <si>
    <t>Water Utility - Fund 09</t>
  </si>
  <si>
    <t>Sewer Reserve - Fund 11</t>
  </si>
  <si>
    <t>Stormwater - Fund 12</t>
  </si>
  <si>
    <t>Health &amp; Sanitation - Fund 13</t>
  </si>
  <si>
    <t>Special Parks &amp; Rec - Fund 14</t>
  </si>
  <si>
    <t>Water Treatment Plant - Fund 15</t>
  </si>
  <si>
    <t xml:space="preserve">Waste Water TP - Fund 16 </t>
  </si>
  <si>
    <t>Transient Guest Tax - Fund 20</t>
  </si>
  <si>
    <t>Pool Reserve Account</t>
  </si>
  <si>
    <t>Benefit Dist Const Funds</t>
  </si>
  <si>
    <t>Street Construction Funds</t>
  </si>
  <si>
    <t>WWTP Construction Fund</t>
  </si>
  <si>
    <t>Funds Held in Escrow</t>
  </si>
  <si>
    <t>Cemetery Benefit Fund</t>
  </si>
  <si>
    <t>Special Grants</t>
  </si>
  <si>
    <t>Equipment Reserve MERF</t>
  </si>
  <si>
    <t>Capital Improvements CIP</t>
  </si>
  <si>
    <t>Drug Tax Fund</t>
  </si>
  <si>
    <t>12-16,102</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</si>
  <si>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</si>
  <si>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</si>
  <si>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</si>
  <si>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</si>
  <si>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</si>
  <si>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</si>
  <si>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</si>
  <si>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</si>
  <si>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</si>
  <si>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</si>
  <si>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</si>
  <si>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</si>
  <si>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</si>
  <si>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</si>
  <si>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</si>
  <si>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</si>
  <si>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</si>
  <si>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</si>
  <si>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</si>
  <si>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</si>
  <si>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</si>
  <si>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</si>
  <si>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</si>
  <si>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</si>
  <si>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</si>
  <si>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</si>
  <si>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</si>
  <si>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</si>
  <si>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</si>
  <si>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</si>
  <si>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</si>
  <si>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</si>
  <si>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</si>
  <si>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</si>
  <si>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</si>
  <si>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</si>
  <si>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</si>
  <si>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</si>
  <si>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</si>
  <si>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</si>
  <si>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</si>
  <si>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</si>
  <si>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</si>
  <si>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</si>
  <si>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</si>
  <si>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</si>
  <si>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</si>
  <si>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</si>
  <si>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</si>
  <si>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</si>
  <si>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</si>
  <si>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</si>
  <si>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</si>
  <si>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</si>
  <si>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</si>
  <si>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</si>
  <si>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</si>
  <si>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</si>
  <si>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</si>
  <si>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</si>
  <si>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</si>
  <si>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</si>
  <si>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</si>
  <si>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</si>
  <si>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</si>
  <si>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</si>
  <si>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</si>
  <si>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</si>
  <si>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</si>
  <si>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</si>
  <si>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</si>
  <si>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</si>
  <si>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</si>
  <si>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</si>
  <si>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</si>
  <si>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</si>
  <si>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</si>
  <si>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</si>
  <si>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</si>
  <si>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</si>
  <si>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</si>
  <si>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</si>
  <si>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</si>
  <si>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</si>
  <si>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</si>
  <si>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</si>
  <si>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</si>
  <si>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</si>
  <si>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</si>
  <si>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</si>
  <si>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</si>
  <si>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</si>
  <si>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</si>
  <si>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</si>
  <si>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</si>
  <si>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</si>
  <si>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</si>
  <si>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</si>
  <si>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</si>
  <si>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</si>
  <si>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</si>
  <si>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</si>
  <si>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</si>
  <si>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</si>
  <si>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</si>
  <si>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</si>
  <si>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</si>
  <si>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</si>
  <si>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</si>
  <si>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</si>
  <si>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</si>
  <si>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</si>
  <si>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</si>
  <si>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</si>
  <si>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</si>
  <si>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</si>
  <si>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</si>
  <si>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</si>
  <si>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</si>
  <si>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</si>
  <si>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</si>
  <si>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</si>
  <si>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</si>
  <si>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</si>
  <si>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</si>
  <si>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</si>
  <si>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</si>
  <si>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</si>
  <si>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</si>
  <si>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</si>
  <si>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</si>
  <si>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</si>
  <si>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</si>
  <si>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</si>
  <si>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</si>
  <si>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</si>
  <si>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</si>
  <si>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</si>
  <si>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</si>
  <si>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Paola City Hall located at 10 W Peoria Street</t>
  </si>
  <si>
    <t>Jay Wieland</t>
  </si>
  <si>
    <t>City Manager</t>
  </si>
  <si>
    <t>Municipal Court Room at the Paola Justice Center located at 805 N Pearl Street</t>
  </si>
  <si>
    <t>6:00 pm</t>
  </si>
  <si>
    <t>General Fund 01 (Administration 001)</t>
  </si>
  <si>
    <t>General Fund 01 (Street Dept 005)</t>
  </si>
  <si>
    <t>General Fund 01 (Police Dept 002)</t>
  </si>
  <si>
    <t>General Fund 01 (Municipal Court 004)</t>
  </si>
  <si>
    <t>General Fund 01 (Park &amp; Recreation 006)</t>
  </si>
  <si>
    <t>General Fund 01 (Cemetery 007)</t>
  </si>
  <si>
    <t>General Fund 01 (Community Dev. 009)</t>
  </si>
  <si>
    <t>Waste Water TP - Fund 16</t>
  </si>
  <si>
    <t>Capital Improvements CIP - Police (NB)</t>
  </si>
  <si>
    <t>Capital Improvements CIP - Fire (NB)</t>
  </si>
  <si>
    <t>Capital Improvements CIP - Com Ctr (NB)</t>
  </si>
  <si>
    <t>Capital Improvements CIP - City Hall (NB)</t>
  </si>
  <si>
    <t>Capital Improvements CIP - Library (NB)</t>
  </si>
  <si>
    <t>Acquatics Center -  Fund 07</t>
  </si>
  <si>
    <t>Storm Water - Fund 12</t>
  </si>
  <si>
    <t>Swimming Pool Reserve (NB)</t>
  </si>
  <si>
    <t>12-101/Ord #2954</t>
  </si>
  <si>
    <t>12-825d</t>
  </si>
  <si>
    <t xml:space="preserve">12-197  </t>
  </si>
  <si>
    <t>Series 2002 Refunding</t>
  </si>
  <si>
    <t>5/1 &amp; 11/1</t>
  </si>
  <si>
    <t>Series 2005a</t>
  </si>
  <si>
    <t>3/1 &amp; 9/1</t>
  </si>
  <si>
    <t>Series 2006a</t>
  </si>
  <si>
    <t>Series 2006b</t>
  </si>
  <si>
    <t>Series 2007</t>
  </si>
  <si>
    <t>Series PBC 2007</t>
  </si>
  <si>
    <t>Series PBC 2008</t>
  </si>
  <si>
    <t>State Revolving Fund</t>
  </si>
  <si>
    <t>Series 2012 Refunding</t>
  </si>
  <si>
    <t>Seires PBC 2012</t>
  </si>
  <si>
    <t>Park Land</t>
  </si>
  <si>
    <t>Fire Heavy Rescue Vehicle</t>
  </si>
  <si>
    <t>2007 Elgin Street Sweeper</t>
  </si>
  <si>
    <t>2010 Dodge Charger Police Cars</t>
  </si>
  <si>
    <t>Kansas Community Fisheries Program</t>
  </si>
  <si>
    <t>Local Alcoholic Liquor Tax</t>
  </si>
  <si>
    <t>City Sales Tax</t>
  </si>
  <si>
    <t>County Sales Tax</t>
  </si>
  <si>
    <t>Utility Franchise Fees</t>
  </si>
  <si>
    <t>License &amp; Permits</t>
  </si>
  <si>
    <t>Fines &amp; Forfietures</t>
  </si>
  <si>
    <t>Reimbursed Direct Expenses</t>
  </si>
  <si>
    <t>Rentals</t>
  </si>
  <si>
    <t>Cemetery</t>
  </si>
  <si>
    <t>Rural Fire District</t>
  </si>
  <si>
    <t>Donations &amp; Gifts</t>
  </si>
  <si>
    <t>Grants</t>
  </si>
  <si>
    <t>Sales Tax from direct sales</t>
  </si>
  <si>
    <t>Appropriated Reserve</t>
  </si>
  <si>
    <t>Administration Department 001</t>
  </si>
  <si>
    <t xml:space="preserve">  Transfer to Community Center 08</t>
  </si>
  <si>
    <t xml:space="preserve">  Transfer to Employee Benefits 05</t>
  </si>
  <si>
    <t>Police Department 002</t>
  </si>
  <si>
    <t>Fire Department 003</t>
  </si>
  <si>
    <t xml:space="preserve">  Transfer to CIP /MERF (NB)</t>
  </si>
  <si>
    <t>Municipal Court Department 004</t>
  </si>
  <si>
    <t>Street Department 005</t>
  </si>
  <si>
    <t xml:space="preserve">  Transfer to Bond &amp; Interest 06</t>
  </si>
  <si>
    <t>Parks &amp; Recreation Department 006</t>
  </si>
  <si>
    <t>Cemetery Department 007</t>
  </si>
  <si>
    <t>Community Development Department 009</t>
  </si>
  <si>
    <t>Special Assessments</t>
  </si>
  <si>
    <t>Transfer In - Water Utility Fund 09</t>
  </si>
  <si>
    <t>Transfer In - Storm Water Fund 12</t>
  </si>
  <si>
    <t>Transfer In - Waste Water TP Fund 16</t>
  </si>
  <si>
    <t>Transfer In - General Fund (Street) 01-005</t>
  </si>
  <si>
    <t>Transfer In - CIP - Police Sales Tax (NB)</t>
  </si>
  <si>
    <t>Transfer In - CIP - Community Center Sales Tax (NB)</t>
  </si>
  <si>
    <t>Transfer In - CIP - Fire Dept Sales Tax (NB)</t>
  </si>
  <si>
    <t>Transfer In - CIP - City Hall (NB)</t>
  </si>
  <si>
    <t>Transfer In - CIP - Library (NB)</t>
  </si>
  <si>
    <t>Reimbursements</t>
  </si>
  <si>
    <t>In Lieu of Tax (IRB)</t>
  </si>
  <si>
    <t xml:space="preserve">General Obligation Debt </t>
  </si>
  <si>
    <t>Interest Payments</t>
  </si>
  <si>
    <t>Administrative Expense</t>
  </si>
  <si>
    <t>Appropriated Balance</t>
  </si>
  <si>
    <t>In Lieu of Tax</t>
  </si>
  <si>
    <t>Fines &amp; Fees</t>
  </si>
  <si>
    <t>Reimbursed</t>
  </si>
  <si>
    <t>Personal Services</t>
  </si>
  <si>
    <t>Contractuals</t>
  </si>
  <si>
    <t>Commodities</t>
  </si>
  <si>
    <t>Capital Outlay</t>
  </si>
  <si>
    <t>Transfer to Employee Benefits 05</t>
  </si>
  <si>
    <t>Transfer In - General Fund 01 (Administration 001)</t>
  </si>
  <si>
    <t>Transfer In - General Fund 01 (Police Dept 002)</t>
  </si>
  <si>
    <t>Transfer In - General Fund 01 (Municipal Court 004)</t>
  </si>
  <si>
    <t>Transfer In - General Fund 01 (Street Dept 005)</t>
  </si>
  <si>
    <t>Transfer In - General Fund 01 (Park &amp; Recreation 006)</t>
  </si>
  <si>
    <t>Transfer In - General Fund 01 (Cemetery 007)</t>
  </si>
  <si>
    <t>Transfer In - General Fund 01 (Community Dev. 009)</t>
  </si>
  <si>
    <t>Transfer In - Library Fund 02</t>
  </si>
  <si>
    <t>Transfer In - Sewer Service Fund 04</t>
  </si>
  <si>
    <t>Transfer In - Acquatics Center Fund 07</t>
  </si>
  <si>
    <t>Transfer In - Community Center Fund 08</t>
  </si>
  <si>
    <t>Transfer In - Water Service Fund 09</t>
  </si>
  <si>
    <t>Transfer In - Storm Water Management Fund 12</t>
  </si>
  <si>
    <t>Transfer In - Health &amp; Sanitation Fund 13</t>
  </si>
  <si>
    <t>Transfer In - Waste Water Fund 16</t>
  </si>
  <si>
    <t xml:space="preserve">Health Insurance </t>
  </si>
  <si>
    <t>FICA and Medicare</t>
  </si>
  <si>
    <t>Workers Compensation</t>
  </si>
  <si>
    <t>KPERS/KP&amp;F</t>
  </si>
  <si>
    <t>Reserve for Employee Departures</t>
  </si>
  <si>
    <t>Unempolyment Compensation</t>
  </si>
  <si>
    <t>Employee Development</t>
  </si>
  <si>
    <t>Section 125 Payments</t>
  </si>
  <si>
    <t>Contractual Services</t>
  </si>
  <si>
    <t>Comodities</t>
  </si>
  <si>
    <t>Sewer Use Charges</t>
  </si>
  <si>
    <t>Inspection Charges</t>
  </si>
  <si>
    <t>Connect/Disconnect Fees</t>
  </si>
  <si>
    <t>Transfer to Sewer Reserve Fund 11</t>
  </si>
  <si>
    <t>Transfer to CIP/MERF (NB)</t>
  </si>
  <si>
    <t>Transfer to Employee Benefits Fund 05</t>
  </si>
  <si>
    <t>Season Passes</t>
  </si>
  <si>
    <t>Gate Receipts</t>
  </si>
  <si>
    <t>Coupon Books</t>
  </si>
  <si>
    <t>Concessions</t>
  </si>
  <si>
    <t>Lessons</t>
  </si>
  <si>
    <t>Sales Tax</t>
  </si>
  <si>
    <t>Transfer in From Pool Reserve Fund (NB)</t>
  </si>
  <si>
    <t>Refunds</t>
  </si>
  <si>
    <t>Summer Program Revenue</t>
  </si>
  <si>
    <t>Programs, Events, Ticket Sales</t>
  </si>
  <si>
    <t>Memberships</t>
  </si>
  <si>
    <t>Transfer In from General Fund 01 (Admin)</t>
  </si>
  <si>
    <t>Summer Program Expense</t>
  </si>
  <si>
    <t>Water Sales</t>
  </si>
  <si>
    <t>Water for Resale</t>
  </si>
  <si>
    <t>Tank Sales</t>
  </si>
  <si>
    <t>Install Charges</t>
  </si>
  <si>
    <t>Transfer In from Water Treatment Plant Fund 15</t>
  </si>
  <si>
    <t>Transfer to Bond &amp; Interest Fund 06</t>
  </si>
  <si>
    <t>Transfer In from Sewer Service Fund 04</t>
  </si>
  <si>
    <t>Storm Water Fees</t>
  </si>
  <si>
    <t>Transfer to Employee Fenefits Fund 05</t>
  </si>
  <si>
    <t>Collection Fees</t>
  </si>
  <si>
    <t>Haulers Permits</t>
  </si>
  <si>
    <t>PAYT Sticker Sales</t>
  </si>
  <si>
    <t>KS Setoff Reimbursement</t>
  </si>
  <si>
    <t>Water Service Charges</t>
  </si>
  <si>
    <t>Transfer In from Water Depreciation Fund 10</t>
  </si>
  <si>
    <t>Other Contractuals</t>
  </si>
  <si>
    <t>Transfer to Water Utility Fund 09</t>
  </si>
  <si>
    <t>Connection Charges</t>
  </si>
  <si>
    <t>Sewer Service Billing</t>
  </si>
  <si>
    <t>State Revolving Loan Fund Payment</t>
  </si>
  <si>
    <t>Transfer to Sewer Service Fund 04</t>
  </si>
  <si>
    <t>Transient Guest Tax</t>
  </si>
  <si>
    <t>Reimbursed Expense</t>
  </si>
  <si>
    <t>Economic Development - Chamber of Commerce</t>
  </si>
  <si>
    <t>Promotional Campaigns</t>
  </si>
  <si>
    <t>Escrow Receipts</t>
  </si>
  <si>
    <t>None</t>
  </si>
  <si>
    <t>Escrow Disbursements</t>
  </si>
  <si>
    <t>Transfer to Pool Fund</t>
  </si>
  <si>
    <t>Capital Improvmts</t>
  </si>
  <si>
    <t>Lease Proceeds</t>
  </si>
  <si>
    <t>Donations</t>
  </si>
  <si>
    <t>Forefitures</t>
  </si>
  <si>
    <t>Donations / Grants</t>
  </si>
  <si>
    <t>Capital Items</t>
  </si>
  <si>
    <t>Equipment</t>
  </si>
  <si>
    <t>Contractual</t>
  </si>
  <si>
    <t>Equipment &amp; Supplies</t>
  </si>
  <si>
    <t>Transfer to Gen Fund</t>
  </si>
  <si>
    <t>Transfer to Bond &amp; Int</t>
  </si>
  <si>
    <t>Special Highway - Fund 17</t>
  </si>
  <si>
    <t>Real Estate Taxes</t>
  </si>
  <si>
    <t>Transfer to CIP</t>
  </si>
  <si>
    <t>Bond / Loan Proceeds</t>
  </si>
  <si>
    <t>Transfer from Street Con</t>
  </si>
  <si>
    <t>Transfer from Spec Grants</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</si>
  <si>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</si>
  <si>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</si>
  <si>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</si>
  <si>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</si>
  <si>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</si>
  <si>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</si>
  <si>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</si>
  <si>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</si>
  <si>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</si>
  <si>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</si>
  <si>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</si>
  <si>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</si>
  <si>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</si>
  <si>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</si>
  <si>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</si>
  <si>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</si>
  <si>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</si>
  <si>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</si>
  <si>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</si>
  <si>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</si>
  <si>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</si>
  <si>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</si>
  <si>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</si>
  <si>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</si>
  <si>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</si>
  <si>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</si>
  <si>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</si>
  <si>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</si>
  <si>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</si>
  <si>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</si>
  <si>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</si>
  <si>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</si>
  <si>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</si>
  <si>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</si>
  <si>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</si>
  <si>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</si>
  <si>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</si>
  <si>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</si>
  <si>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</si>
  <si>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</si>
  <si>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</si>
  <si>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</si>
  <si>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</si>
  <si>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</si>
  <si>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</si>
  <si>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</si>
  <si>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</si>
  <si>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</si>
  <si>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</si>
  <si>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</si>
  <si>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Transfer In - Special Street Repair Fund 17</t>
  </si>
  <si>
    <t>Transfer to Employee Benefits - Fund 05</t>
  </si>
  <si>
    <t>Transfer In From Wastewater Plant Fund 16</t>
  </si>
  <si>
    <t>August 14, 2012</t>
  </si>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</sst>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8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890">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0" fontId="5" fillId="0" borderId="0" xfId="362" applyFont="1" applyAlignment="1">
      <alignment vertical="center"/>
      <protection/>
    </xf>
    <xf numFmtId="0" fontId="5" fillId="0" borderId="0" xfId="142" applyFont="1" applyAlignment="1">
      <alignment vertical="center" wrapText="1"/>
      <protection/>
    </xf>
    <xf numFmtId="0" fontId="29" fillId="0" borderId="0" xfId="365">
      <alignment/>
      <protection/>
    </xf>
    <xf numFmtId="0" fontId="5" fillId="0" borderId="0" xfId="365" applyFont="1" applyAlignment="1">
      <alignment horizontal="left" vertical="center"/>
      <protection/>
    </xf>
    <xf numFmtId="189" fontId="13" fillId="0" borderId="0" xfId="365" applyNumberFormat="1"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42"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34" borderId="26" xfId="82" applyFont="1" applyFill="1" applyBorder="1" applyAlignment="1" applyProtection="1">
      <alignment vertical="center"/>
      <protection locked="0"/>
    </xf>
    <xf numFmtId="0" fontId="5" fillId="34" borderId="21" xfId="82" applyFont="1" applyFill="1" applyBorder="1" applyAlignment="1" applyProtection="1">
      <alignment vertical="center"/>
      <protection locked="0"/>
    </xf>
    <xf numFmtId="195" fontId="13" fillId="34" borderId="26" xfId="82" applyNumberFormat="1" applyFont="1" applyFill="1" applyBorder="1" applyAlignment="1" applyProtection="1">
      <alignment vertical="center"/>
      <protection locked="0"/>
    </xf>
    <xf numFmtId="195" fontId="13" fillId="34" borderId="25" xfId="82" applyNumberFormat="1" applyFont="1" applyFill="1" applyBorder="1" applyAlignment="1" applyProtection="1">
      <alignment horizontal="center" vertical="center"/>
      <protection locked="0"/>
    </xf>
    <xf numFmtId="195" fontId="13" fillId="34" borderId="26" xfId="82" applyNumberFormat="1" applyFont="1" applyFill="1" applyBorder="1" applyAlignment="1" applyProtection="1">
      <alignment horizontal="center" vertical="center"/>
      <protection locked="0"/>
    </xf>
    <xf numFmtId="0" fontId="13" fillId="34" borderId="0" xfId="82" applyFont="1" applyFill="1" applyBorder="1" applyAlignment="1" applyProtection="1">
      <alignment vertical="center"/>
      <protection locked="0"/>
    </xf>
    <xf numFmtId="0" fontId="13" fillId="34"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37" borderId="0" xfId="0" applyFont="1" applyFill="1" applyAlignment="1">
      <alignment/>
    </xf>
    <xf numFmtId="0" fontId="33" fillId="34" borderId="0" xfId="0" applyFont="1" applyFill="1" applyAlignment="1">
      <alignment/>
    </xf>
    <xf numFmtId="0" fontId="34" fillId="37" borderId="0" xfId="0" applyFont="1" applyFill="1" applyAlignment="1">
      <alignment horizontal="center" wrapText="1"/>
    </xf>
    <xf numFmtId="0" fontId="34" fillId="34" borderId="0" xfId="0" applyFont="1" applyFill="1" applyAlignment="1">
      <alignment/>
    </xf>
    <xf numFmtId="0" fontId="33" fillId="34" borderId="0" xfId="0" applyFont="1" applyFill="1" applyAlignment="1">
      <alignment horizontal="center"/>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195" fontId="33" fillId="34" borderId="30" xfId="0" applyNumberFormat="1" applyFont="1" applyFill="1" applyBorder="1" applyAlignment="1">
      <alignment/>
    </xf>
    <xf numFmtId="0" fontId="33" fillId="34" borderId="0" xfId="0" applyFont="1" applyFill="1" applyBorder="1" applyAlignment="1">
      <alignment/>
    </xf>
    <xf numFmtId="195" fontId="33" fillId="34" borderId="11" xfId="0" applyNumberFormat="1" applyFont="1" applyFill="1" applyBorder="1" applyAlignment="1">
      <alignment horizontal="center"/>
    </xf>
    <xf numFmtId="0" fontId="33" fillId="34" borderId="31" xfId="0" applyFont="1" applyFill="1" applyBorder="1" applyAlignment="1">
      <alignment/>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xf>
    <xf numFmtId="0" fontId="33" fillId="34" borderId="27" xfId="0" applyFont="1" applyFill="1" applyBorder="1" applyAlignment="1">
      <alignment/>
    </xf>
    <xf numFmtId="0" fontId="33" fillId="34" borderId="35" xfId="0" applyFont="1" applyFill="1" applyBorder="1" applyAlignment="1">
      <alignment/>
    </xf>
    <xf numFmtId="195" fontId="33" fillId="33" borderId="30" xfId="0" applyNumberFormat="1" applyFont="1" applyFill="1" applyBorder="1" applyAlignment="1" applyProtection="1">
      <alignment horizontal="center"/>
      <protection locked="0"/>
    </xf>
    <xf numFmtId="188" fontId="33" fillId="34" borderId="0" xfId="0" applyNumberFormat="1" applyFont="1" applyFill="1" applyBorder="1" applyAlignment="1">
      <alignment horizontal="center"/>
    </xf>
    <xf numFmtId="0" fontId="43"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7" borderId="0"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5" fontId="33" fillId="34" borderId="33" xfId="0" applyNumberFormat="1" applyFont="1" applyFill="1" applyBorder="1" applyAlignment="1">
      <alignment horizontal="center"/>
    </xf>
    <xf numFmtId="0" fontId="33" fillId="34" borderId="33" xfId="0" applyFont="1" applyFill="1" applyBorder="1" applyAlignment="1">
      <alignment horizontal="center"/>
    </xf>
    <xf numFmtId="188" fontId="33" fillId="34" borderId="33" xfId="0" applyNumberFormat="1" applyFont="1" applyFill="1" applyBorder="1" applyAlignment="1">
      <alignment horizontal="center"/>
    </xf>
    <xf numFmtId="196" fontId="33" fillId="34" borderId="33" xfId="0" applyNumberFormat="1" applyFont="1" applyFill="1" applyBorder="1" applyAlignment="1">
      <alignment horizontal="center"/>
    </xf>
    <xf numFmtId="0" fontId="33" fillId="34" borderId="0" xfId="0" applyFont="1" applyFill="1" applyAlignment="1">
      <alignment horizontal="center" wrapText="1"/>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0" fontId="33" fillId="34" borderId="35" xfId="0" applyFont="1" applyFill="1" applyBorder="1" applyAlignment="1">
      <alignment/>
    </xf>
    <xf numFmtId="0" fontId="33" fillId="34" borderId="31"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78" fontId="33" fillId="34" borderId="0" xfId="0" applyNumberFormat="1" applyFont="1" applyFill="1" applyBorder="1" applyAlignment="1">
      <alignment horizontal="center"/>
    </xf>
    <xf numFmtId="0" fontId="33" fillId="34" borderId="32" xfId="0" applyFont="1" applyFill="1" applyBorder="1" applyAlignment="1">
      <alignment/>
    </xf>
    <xf numFmtId="5" fontId="33" fillId="34" borderId="0" xfId="0" applyNumberFormat="1" applyFont="1" applyFill="1" applyBorder="1" applyAlignment="1">
      <alignment horizontal="center"/>
    </xf>
    <xf numFmtId="0" fontId="33" fillId="37" borderId="0" xfId="0" applyFont="1" applyFill="1" applyAlignment="1">
      <alignment/>
    </xf>
    <xf numFmtId="18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xf>
    <xf numFmtId="0" fontId="33" fillId="42"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33" borderId="21" xfId="82" applyNumberFormat="1" applyFont="1" applyFill="1" applyBorder="1" applyAlignment="1" applyProtection="1">
      <alignment horizontal="center"/>
      <protection locked="0"/>
    </xf>
    <xf numFmtId="0" fontId="37" fillId="34" borderId="26" xfId="82" applyFont="1" applyFill="1" applyBorder="1" applyProtection="1">
      <alignment/>
      <protection/>
    </xf>
    <xf numFmtId="0" fontId="5" fillId="34" borderId="0" xfId="82" applyFont="1" applyFill="1" applyBorder="1" applyProtection="1">
      <alignment/>
      <protection/>
    </xf>
    <xf numFmtId="195" fontId="5" fillId="34" borderId="21" xfId="82" applyNumberFormat="1" applyFont="1" applyFill="1" applyBorder="1" applyAlignment="1" applyProtection="1">
      <alignment horizontal="center"/>
      <protection/>
    </xf>
    <xf numFmtId="0" fontId="5" fillId="34" borderId="25" xfId="82" applyFont="1" applyFill="1" applyBorder="1" applyProtection="1">
      <alignment/>
      <protection/>
    </xf>
    <xf numFmtId="0" fontId="5" fillId="34" borderId="11" xfId="82" applyFont="1" applyFill="1" applyBorder="1" applyProtection="1">
      <alignment/>
      <protection/>
    </xf>
    <xf numFmtId="195" fontId="5" fillId="40"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34" borderId="26" xfId="82" applyFont="1" applyFill="1" applyBorder="1" applyProtection="1">
      <alignment/>
      <protection/>
    </xf>
    <xf numFmtId="0" fontId="5" fillId="34" borderId="21" xfId="82" applyFont="1" applyFill="1" applyBorder="1" applyProtection="1">
      <alignment/>
      <protection/>
    </xf>
    <xf numFmtId="178" fontId="5" fillId="34" borderId="21" xfId="82" applyNumberFormat="1" applyFont="1" applyFill="1" applyBorder="1" applyAlignment="1" applyProtection="1">
      <alignment horizontal="center"/>
      <protection/>
    </xf>
    <xf numFmtId="0" fontId="5" fillId="40" borderId="26" xfId="82" applyFont="1" applyFill="1" applyBorder="1" applyProtection="1">
      <alignment/>
      <protection/>
    </xf>
    <xf numFmtId="0" fontId="5" fillId="40" borderId="0" xfId="82" applyFont="1" applyFill="1" applyBorder="1" applyProtection="1">
      <alignment/>
      <protection/>
    </xf>
    <xf numFmtId="0" fontId="5" fillId="40" borderId="25" xfId="82" applyFont="1" applyFill="1" applyBorder="1" applyProtection="1">
      <alignment/>
      <protection/>
    </xf>
    <xf numFmtId="0" fontId="5" fillId="40" borderId="11" xfId="82" applyFont="1" applyFill="1" applyBorder="1" applyProtection="1">
      <alignment/>
      <protection/>
    </xf>
    <xf numFmtId="0" fontId="5" fillId="0" borderId="0" xfId="82" applyFont="1" applyProtection="1">
      <alignment/>
      <protection/>
    </xf>
    <xf numFmtId="195" fontId="5" fillId="34" borderId="17" xfId="82" applyNumberFormat="1" applyFont="1" applyFill="1" applyBorder="1" applyAlignment="1" applyProtection="1">
      <alignment horizontal="center"/>
      <protection/>
    </xf>
    <xf numFmtId="0" fontId="6" fillId="0" borderId="0" xfId="118" applyFont="1" applyAlignment="1">
      <alignment vertical="center"/>
      <protection/>
    </xf>
    <xf numFmtId="0" fontId="40" fillId="0" borderId="0" xfId="0" applyFont="1" applyAlignment="1">
      <alignment vertical="center"/>
    </xf>
    <xf numFmtId="0" fontId="17" fillId="0" borderId="0" xfId="0" applyFont="1" applyAlignment="1" applyProtection="1">
      <alignment horizontal="center" vertical="center"/>
      <protection locked="0"/>
    </xf>
    <xf numFmtId="0" fontId="18"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4" borderId="0" xfId="82" applyFont="1" applyFill="1" applyBorder="1" applyAlignment="1" applyProtection="1">
      <alignment vertical="center"/>
      <protection locked="0"/>
    </xf>
    <xf numFmtId="0" fontId="5" fillId="34" borderId="0" xfId="82" applyFont="1" applyFill="1" applyBorder="1" applyAlignment="1" applyProtection="1">
      <alignment vertical="center"/>
      <protection/>
    </xf>
    <xf numFmtId="0" fontId="37" fillId="34" borderId="0" xfId="82" applyFont="1" applyFill="1" applyBorder="1" applyAlignment="1" applyProtection="1">
      <alignment vertical="center"/>
      <protection locked="0"/>
    </xf>
    <xf numFmtId="195" fontId="37" fillId="33" borderId="10" xfId="82" applyNumberFormat="1" applyFont="1" applyFill="1" applyBorder="1" applyAlignment="1" applyProtection="1">
      <alignment horizontal="center" vertical="center"/>
      <protection locked="0"/>
    </xf>
    <xf numFmtId="0" fontId="5" fillId="34" borderId="26" xfId="82" applyFont="1" applyFill="1" applyBorder="1" applyAlignment="1" applyProtection="1">
      <alignment vertical="center"/>
      <protection/>
    </xf>
    <xf numFmtId="0" fontId="5" fillId="34" borderId="21" xfId="82" applyFont="1" applyFill="1" applyBorder="1" applyAlignment="1" applyProtection="1">
      <alignment vertical="center"/>
      <protection/>
    </xf>
    <xf numFmtId="195" fontId="37" fillId="34" borderId="26" xfId="82" applyNumberFormat="1" applyFont="1" applyFill="1" applyBorder="1" applyAlignment="1" applyProtection="1">
      <alignment horizontal="center" vertical="center"/>
      <protection/>
    </xf>
    <xf numFmtId="0" fontId="37" fillId="34" borderId="0" xfId="82" applyFont="1" applyFill="1" applyBorder="1" applyAlignment="1" applyProtection="1">
      <alignment horizontal="left" vertical="center"/>
      <protection/>
    </xf>
    <xf numFmtId="0" fontId="37" fillId="34" borderId="21" xfId="82" applyFont="1" applyFill="1" applyBorder="1" applyAlignment="1" applyProtection="1">
      <alignment vertical="center"/>
      <protection/>
    </xf>
    <xf numFmtId="0" fontId="37" fillId="34" borderId="0" xfId="82" applyFont="1" applyFill="1" applyBorder="1" applyAlignment="1" applyProtection="1">
      <alignment vertical="center"/>
      <protection/>
    </xf>
    <xf numFmtId="195" fontId="37" fillId="34" borderId="25" xfId="82" applyNumberFormat="1" applyFont="1" applyFill="1" applyBorder="1" applyAlignment="1" applyProtection="1">
      <alignment horizontal="center" vertical="center"/>
      <protection/>
    </xf>
    <xf numFmtId="195" fontId="37" fillId="34" borderId="26" xfId="82" applyNumberFormat="1" applyFont="1" applyFill="1" applyBorder="1" applyAlignment="1" applyProtection="1">
      <alignment vertical="center"/>
      <protection/>
    </xf>
    <xf numFmtId="0" fontId="39" fillId="40" borderId="11" xfId="82" applyFont="1" applyFill="1" applyBorder="1" applyAlignment="1" applyProtection="1">
      <alignment vertical="center"/>
      <protection/>
    </xf>
    <xf numFmtId="0" fontId="37" fillId="40" borderId="17" xfId="82" applyFont="1" applyFill="1" applyBorder="1" applyAlignment="1" applyProtection="1">
      <alignment vertical="center"/>
      <protection/>
    </xf>
    <xf numFmtId="0" fontId="5" fillId="40" borderId="17" xfId="82" applyFont="1" applyFill="1" applyBorder="1" applyAlignment="1" applyProtection="1">
      <alignment vertical="center"/>
      <protection/>
    </xf>
    <xf numFmtId="0" fontId="37" fillId="34" borderId="26" xfId="82" applyFont="1" applyFill="1" applyBorder="1" applyAlignment="1" applyProtection="1">
      <alignment horizontal="left" vertical="center"/>
      <protection/>
    </xf>
    <xf numFmtId="195" fontId="39" fillId="40" borderId="25" xfId="82" applyNumberFormat="1" applyFont="1" applyFill="1" applyBorder="1" applyAlignment="1" applyProtection="1">
      <alignment horizontal="center" vertical="center"/>
      <protection/>
    </xf>
    <xf numFmtId="195" fontId="39" fillId="40" borderId="17" xfId="82" applyNumberFormat="1" applyFont="1" applyFill="1" applyBorder="1" applyAlignment="1" applyProtection="1">
      <alignment horizontal="center" vertical="center"/>
      <protection locked="0"/>
    </xf>
    <xf numFmtId="188" fontId="37" fillId="34" borderId="18" xfId="82" applyNumberFormat="1" applyFont="1" applyFill="1" applyBorder="1" applyAlignment="1" applyProtection="1">
      <alignment horizontal="center" vertical="center"/>
      <protection locked="0"/>
    </xf>
    <xf numFmtId="0" fontId="37" fillId="34" borderId="26" xfId="82" applyFont="1" applyFill="1" applyBorder="1" applyAlignment="1" applyProtection="1">
      <alignment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35"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34" fillId="34" borderId="35" xfId="0" applyFont="1" applyFill="1" applyBorder="1" applyAlignment="1">
      <alignment horizontal="centerContinuous" vertical="center"/>
    </xf>
    <xf numFmtId="195"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88" fontId="34" fillId="34" borderId="0" xfId="0" applyNumberFormat="1" applyFont="1" applyFill="1" applyBorder="1" applyAlignment="1" applyProtection="1">
      <alignment horizontal="centerContinuous" vertical="center"/>
      <protection locked="0"/>
    </xf>
    <xf numFmtId="196" fontId="34" fillId="34" borderId="0" xfId="0" applyNumberFormat="1" applyFont="1" applyFill="1" applyBorder="1" applyAlignment="1">
      <alignment horizontal="centerContinuous" vertical="center"/>
    </xf>
    <xf numFmtId="0" fontId="34" fillId="34" borderId="31" xfId="0" applyFont="1" applyFill="1" applyBorder="1" applyAlignment="1">
      <alignment horizontal="centerContinuous" vertical="center"/>
    </xf>
    <xf numFmtId="0" fontId="34" fillId="34" borderId="35" xfId="0" applyFont="1" applyFill="1" applyBorder="1" applyAlignment="1">
      <alignment horizontal="centerContinuous"/>
    </xf>
    <xf numFmtId="195"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88" fontId="34" fillId="34" borderId="0" xfId="0" applyNumberFormat="1" applyFont="1" applyFill="1" applyBorder="1" applyAlignment="1" applyProtection="1">
      <alignment horizontal="centerContinuous"/>
      <protection locked="0"/>
    </xf>
    <xf numFmtId="196" fontId="34" fillId="34" borderId="0" xfId="0" applyNumberFormat="1" applyFont="1" applyFill="1" applyBorder="1" applyAlignment="1">
      <alignment horizontal="centerContinuous"/>
    </xf>
    <xf numFmtId="0" fontId="34" fillId="34" borderId="31" xfId="0" applyFont="1" applyFill="1" applyBorder="1" applyAlignment="1">
      <alignment horizontal="centerContinuous"/>
    </xf>
    <xf numFmtId="195" fontId="33" fillId="0" borderId="0" xfId="0" applyNumberFormat="1" applyFont="1" applyAlignment="1">
      <alignment/>
    </xf>
    <xf numFmtId="195" fontId="33" fillId="34" borderId="33" xfId="0" applyNumberFormat="1" applyFont="1" applyFill="1" applyBorder="1" applyAlignment="1">
      <alignment horizontal="center"/>
    </xf>
    <xf numFmtId="188" fontId="33" fillId="34" borderId="33" xfId="0" applyNumberFormat="1" applyFont="1" applyFill="1" applyBorder="1" applyAlignment="1" applyProtection="1">
      <alignment horizontal="center"/>
      <protection locked="0"/>
    </xf>
    <xf numFmtId="196" fontId="33" fillId="34" borderId="33" xfId="0" applyNumberFormat="1" applyFont="1" applyFill="1" applyBorder="1" applyAlignment="1">
      <alignment/>
    </xf>
    <xf numFmtId="188" fontId="33" fillId="34" borderId="0" xfId="0" applyNumberFormat="1" applyFont="1" applyFill="1" applyBorder="1" applyAlignment="1" applyProtection="1">
      <alignment horizontal="center"/>
      <protection locked="0"/>
    </xf>
    <xf numFmtId="195" fontId="33" fillId="34" borderId="28" xfId="0" applyNumberFormat="1" applyFont="1" applyFill="1" applyBorder="1" applyAlignment="1">
      <alignment horizontal="center"/>
    </xf>
    <xf numFmtId="0" fontId="33" fillId="34" borderId="28" xfId="0" applyFont="1" applyFill="1" applyBorder="1" applyAlignment="1">
      <alignment horizontal="center"/>
    </xf>
    <xf numFmtId="188" fontId="33" fillId="34" borderId="28" xfId="0" applyNumberFormat="1" applyFont="1" applyFill="1" applyBorder="1" applyAlignment="1" applyProtection="1">
      <alignment horizontal="center"/>
      <protection locked="0"/>
    </xf>
    <xf numFmtId="196" fontId="33" fillId="34" borderId="28" xfId="0" applyNumberFormat="1" applyFont="1" applyFill="1" applyBorder="1" applyAlignment="1">
      <alignment/>
    </xf>
    <xf numFmtId="195" fontId="33" fillId="34" borderId="0" xfId="0" applyNumberFormat="1" applyFont="1" applyFill="1" applyBorder="1" applyAlignment="1" applyProtection="1">
      <alignment horizontal="center"/>
      <protection locked="0"/>
    </xf>
    <xf numFmtId="195" fontId="5" fillId="40" borderId="21" xfId="82" applyNumberFormat="1" applyFont="1" applyFill="1" applyBorder="1" applyAlignment="1" applyProtection="1">
      <alignment horizontal="center"/>
      <protection/>
    </xf>
    <xf numFmtId="0" fontId="5" fillId="40" borderId="25" xfId="0" applyFont="1" applyFill="1" applyBorder="1" applyAlignment="1">
      <alignment vertical="center"/>
    </xf>
    <xf numFmtId="0" fontId="5" fillId="40" borderId="11" xfId="0" applyFont="1" applyFill="1" applyBorder="1" applyAlignment="1">
      <alignment vertical="center"/>
    </xf>
    <xf numFmtId="195" fontId="5" fillId="40" borderId="17" xfId="0" applyNumberFormat="1" applyFont="1" applyFill="1" applyBorder="1" applyAlignment="1">
      <alignment horizontal="center" vertical="center"/>
    </xf>
    <xf numFmtId="195" fontId="33" fillId="34" borderId="0" xfId="0" applyNumberFormat="1" applyFont="1" applyFill="1" applyBorder="1" applyAlignment="1">
      <alignment horizontal="center"/>
    </xf>
    <xf numFmtId="196" fontId="33" fillId="34" borderId="0" xfId="0" applyNumberFormat="1" applyFont="1" applyFill="1" applyBorder="1" applyAlignment="1">
      <alignment horizontal="center"/>
    </xf>
    <xf numFmtId="0" fontId="34" fillId="34" borderId="0" xfId="0" applyFont="1" applyFill="1" applyAlignment="1">
      <alignment horizontal="center" wrapText="1"/>
    </xf>
    <xf numFmtId="0" fontId="33" fillId="34" borderId="0" xfId="0" applyFont="1" applyFill="1" applyBorder="1" applyAlignment="1">
      <alignment horizontal="center"/>
    </xf>
    <xf numFmtId="195" fontId="33" fillId="33" borderId="11" xfId="0" applyNumberFormat="1" applyFont="1" applyFill="1" applyBorder="1" applyAlignment="1" applyProtection="1">
      <alignment horizontal="center"/>
      <protection locked="0"/>
    </xf>
    <xf numFmtId="0" fontId="34" fillId="34" borderId="0" xfId="0" applyFont="1" applyFill="1" applyAlignment="1">
      <alignment horizontal="center"/>
    </xf>
    <xf numFmtId="195" fontId="33" fillId="34" borderId="0" xfId="0" applyNumberFormat="1" applyFont="1" applyFill="1" applyAlignment="1">
      <alignment horizontal="center"/>
    </xf>
    <xf numFmtId="0" fontId="33" fillId="34" borderId="0" xfId="0" applyFont="1" applyFill="1" applyBorder="1" applyAlignment="1">
      <alignment/>
    </xf>
    <xf numFmtId="0" fontId="33" fillId="34" borderId="34" xfId="0" applyFont="1" applyFill="1" applyBorder="1" applyAlignment="1">
      <alignment/>
    </xf>
    <xf numFmtId="0" fontId="33" fillId="34"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44"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9" fillId="33" borderId="0" xfId="365" applyFill="1" applyAlignment="1" applyProtection="1">
      <alignment horizontal="left" vertical="center"/>
      <protection locked="0"/>
    </xf>
    <xf numFmtId="0" fontId="45" fillId="0" borderId="0" xfId="365" applyFont="1">
      <alignment/>
      <protection/>
    </xf>
    <xf numFmtId="189" fontId="46" fillId="0" borderId="0" xfId="365" applyNumberFormat="1" applyFont="1" applyAlignment="1">
      <alignment horizontal="left" vertical="center"/>
      <protection/>
    </xf>
    <xf numFmtId="0" fontId="46" fillId="0" borderId="0" xfId="365" applyNumberFormat="1" applyFont="1" applyAlignment="1">
      <alignment horizontal="left" vertical="center"/>
      <protection/>
    </xf>
    <xf numFmtId="1" fontId="46" fillId="0" borderId="0" xfId="365" applyNumberFormat="1" applyFont="1" applyAlignment="1">
      <alignment horizontal="left" vertical="center"/>
      <protection/>
    </xf>
    <xf numFmtId="0" fontId="47"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0" borderId="26" xfId="82" applyFont="1" applyFill="1" applyBorder="1" applyAlignment="1" applyProtection="1">
      <alignment vertical="center"/>
      <protection locked="0"/>
    </xf>
    <xf numFmtId="0" fontId="5" fillId="40" borderId="0" xfId="82" applyFont="1" applyFill="1" applyBorder="1" applyAlignment="1" applyProtection="1">
      <alignment vertical="center"/>
      <protection locked="0"/>
    </xf>
    <xf numFmtId="0" fontId="37" fillId="40"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34" borderId="25" xfId="0" applyFont="1" applyFill="1" applyBorder="1" applyAlignment="1" applyProtection="1">
      <alignment vertical="center"/>
      <protection locked="0"/>
    </xf>
    <xf numFmtId="0" fontId="37" fillId="34" borderId="11"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5" fillId="40" borderId="17" xfId="0" applyFont="1" applyFill="1" applyBorder="1" applyAlignment="1" applyProtection="1">
      <alignment vertical="center"/>
      <protection locked="0"/>
    </xf>
    <xf numFmtId="188" fontId="37" fillId="34" borderId="26" xfId="0" applyNumberFormat="1" applyFont="1" applyFill="1" applyBorder="1" applyAlignment="1" applyProtection="1">
      <alignment horizontal="center" vertical="center"/>
      <protection/>
    </xf>
    <xf numFmtId="0" fontId="37" fillId="34" borderId="0" xfId="0" applyFont="1" applyFill="1" applyBorder="1" applyAlignment="1" applyProtection="1">
      <alignment horizontal="left" vertical="center"/>
      <protection/>
    </xf>
    <xf numFmtId="0" fontId="38" fillId="34" borderId="0" xfId="0" applyFont="1" applyFill="1" applyBorder="1" applyAlignment="1" applyProtection="1">
      <alignment horizontal="center" vertical="center"/>
      <protection/>
    </xf>
    <xf numFmtId="0" fontId="0" fillId="34" borderId="21" xfId="0" applyFill="1" applyBorder="1" applyAlignment="1" applyProtection="1">
      <alignment vertical="center"/>
      <protection/>
    </xf>
    <xf numFmtId="188" fontId="37" fillId="40" borderId="25" xfId="0" applyNumberFormat="1" applyFont="1" applyFill="1" applyBorder="1" applyAlignment="1" applyProtection="1">
      <alignment horizontal="center" vertical="center"/>
      <protection/>
    </xf>
    <xf numFmtId="188" fontId="37" fillId="34" borderId="20" xfId="0" applyNumberFormat="1" applyFont="1" applyFill="1" applyBorder="1" applyAlignment="1" applyProtection="1">
      <alignment horizontal="center" vertical="center"/>
      <protection/>
    </xf>
    <xf numFmtId="188" fontId="37" fillId="40" borderId="20" xfId="0" applyNumberFormat="1" applyFont="1" applyFill="1" applyBorder="1" applyAlignment="1" applyProtection="1">
      <alignment horizontal="center" vertical="center"/>
      <protection/>
    </xf>
    <xf numFmtId="0" fontId="37" fillId="34" borderId="11" xfId="0" applyFont="1" applyFill="1" applyBorder="1" applyAlignment="1" applyProtection="1">
      <alignment horizontal="left" vertical="center"/>
      <protection/>
    </xf>
    <xf numFmtId="0" fontId="38" fillId="34" borderId="11" xfId="0" applyFont="1" applyFill="1" applyBorder="1" applyAlignment="1" applyProtection="1">
      <alignment horizontal="center" vertical="center"/>
      <protection/>
    </xf>
    <xf numFmtId="0" fontId="0" fillId="34" borderId="17" xfId="0" applyFill="1" applyBorder="1" applyAlignment="1" applyProtection="1">
      <alignment vertical="center"/>
      <protection/>
    </xf>
    <xf numFmtId="0" fontId="40" fillId="0" borderId="0" xfId="0" applyFont="1" applyAlignment="1" applyProtection="1">
      <alignment/>
      <protection locked="0"/>
    </xf>
    <xf numFmtId="195" fontId="13" fillId="40" borderId="25" xfId="82" applyNumberFormat="1" applyFont="1" applyFill="1" applyBorder="1" applyAlignment="1" applyProtection="1">
      <alignment horizontal="center" vertical="center"/>
      <protection locked="0"/>
    </xf>
    <xf numFmtId="0" fontId="13" fillId="40" borderId="11" xfId="82" applyFont="1" applyFill="1" applyBorder="1" applyAlignment="1" applyProtection="1">
      <alignment vertical="center"/>
      <protection locked="0"/>
    </xf>
    <xf numFmtId="0" fontId="5" fillId="40" borderId="17" xfId="82"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34" borderId="26" xfId="0" applyFont="1" applyFill="1" applyBorder="1" applyAlignment="1" applyProtection="1">
      <alignment vertical="center"/>
      <protection/>
    </xf>
    <xf numFmtId="0" fontId="37" fillId="34" borderId="0" xfId="0" applyFont="1" applyFill="1" applyBorder="1" applyAlignment="1" applyProtection="1">
      <alignment vertical="center"/>
      <protection/>
    </xf>
    <xf numFmtId="195" fontId="37" fillId="34" borderId="21" xfId="0" applyNumberFormat="1" applyFont="1" applyFill="1" applyBorder="1" applyAlignment="1" applyProtection="1">
      <alignment horizontal="center" vertical="center"/>
      <protection/>
    </xf>
    <xf numFmtId="0" fontId="37" fillId="34" borderId="26" xfId="0" applyFont="1" applyFill="1" applyBorder="1" applyAlignment="1" applyProtection="1">
      <alignment horizontal="left" vertical="center"/>
      <protection/>
    </xf>
    <xf numFmtId="195" fontId="37" fillId="33" borderId="10" xfId="0" applyNumberFormat="1" applyFont="1" applyFill="1" applyBorder="1" applyAlignment="1" applyProtection="1">
      <alignment horizontal="center" vertical="center"/>
      <protection locked="0"/>
    </xf>
    <xf numFmtId="188" fontId="39" fillId="34" borderId="18" xfId="0" applyNumberFormat="1" applyFont="1" applyFill="1" applyBorder="1" applyAlignment="1" applyProtection="1">
      <alignment horizontal="center" vertical="center"/>
      <protection/>
    </xf>
    <xf numFmtId="0" fontId="39" fillId="40" borderId="26" xfId="0" applyFont="1" applyFill="1" applyBorder="1" applyAlignment="1" applyProtection="1">
      <alignment vertical="center"/>
      <protection/>
    </xf>
    <xf numFmtId="0" fontId="5" fillId="40" borderId="0" xfId="0" applyFont="1" applyFill="1" applyBorder="1" applyAlignment="1" applyProtection="1">
      <alignment vertical="center"/>
      <protection/>
    </xf>
    <xf numFmtId="0" fontId="37" fillId="40" borderId="0" xfId="0" applyFont="1" applyFill="1" applyBorder="1" applyAlignment="1" applyProtection="1">
      <alignment vertical="center"/>
      <protection/>
    </xf>
    <xf numFmtId="195" fontId="39" fillId="40"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34" borderId="11" xfId="0" applyFont="1" applyFill="1" applyBorder="1" applyAlignment="1">
      <alignment horizontal="left" vertical="center"/>
    </xf>
    <xf numFmtId="195" fontId="39" fillId="40" borderId="17" xfId="0" applyNumberFormat="1" applyFont="1" applyFill="1" applyBorder="1" applyAlignment="1" applyProtection="1">
      <alignment horizontal="center" vertical="center"/>
      <protection locked="0"/>
    </xf>
    <xf numFmtId="0" fontId="5" fillId="34" borderId="26" xfId="0" applyFont="1" applyFill="1" applyBorder="1" applyAlignment="1" applyProtection="1">
      <alignment vertical="center"/>
      <protection/>
    </xf>
    <xf numFmtId="0" fontId="5" fillId="34" borderId="21" xfId="0" applyFont="1" applyFill="1" applyBorder="1" applyAlignment="1" applyProtection="1">
      <alignment/>
      <protection locked="0"/>
    </xf>
    <xf numFmtId="195" fontId="37" fillId="34" borderId="26" xfId="0" applyNumberFormat="1" applyFont="1" applyFill="1" applyBorder="1" applyAlignment="1" applyProtection="1">
      <alignment horizontal="center" vertical="center"/>
      <protection/>
    </xf>
    <xf numFmtId="0" fontId="37" fillId="34" borderId="21" xfId="0" applyFont="1" applyFill="1" applyBorder="1" applyAlignment="1" applyProtection="1">
      <alignment vertical="center"/>
      <protection/>
    </xf>
    <xf numFmtId="195" fontId="37" fillId="34"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34" borderId="26"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195" fontId="13" fillId="34" borderId="26" xfId="0" applyNumberFormat="1" applyFont="1" applyFill="1" applyBorder="1" applyAlignment="1" applyProtection="1">
      <alignment vertical="center"/>
      <protection/>
    </xf>
    <xf numFmtId="0" fontId="13" fillId="34" borderId="0" xfId="0" applyFont="1" applyFill="1" applyBorder="1" applyAlignment="1" applyProtection="1">
      <alignment vertical="center"/>
      <protection/>
    </xf>
    <xf numFmtId="195" fontId="13" fillId="34" borderId="25" xfId="0" applyNumberFormat="1" applyFont="1" applyFill="1" applyBorder="1" applyAlignment="1" applyProtection="1">
      <alignment horizontal="center" vertical="center"/>
      <protection/>
    </xf>
    <xf numFmtId="195" fontId="13" fillId="40" borderId="25" xfId="0" applyNumberFormat="1" applyFont="1" applyFill="1" applyBorder="1" applyAlignment="1" applyProtection="1">
      <alignment horizontal="center" vertical="center"/>
      <protection/>
    </xf>
    <xf numFmtId="0" fontId="13" fillId="40" borderId="11" xfId="0" applyFont="1" applyFill="1" applyBorder="1" applyAlignment="1" applyProtection="1">
      <alignment vertical="center"/>
      <protection/>
    </xf>
    <xf numFmtId="0" fontId="5" fillId="40" borderId="17" xfId="0" applyFont="1" applyFill="1" applyBorder="1" applyAlignment="1" applyProtection="1">
      <alignment vertical="center"/>
      <protection/>
    </xf>
    <xf numFmtId="0" fontId="5" fillId="40" borderId="17" xfId="0" applyFont="1" applyFill="1" applyBorder="1" applyAlignment="1" applyProtection="1">
      <alignment/>
      <protection locked="0"/>
    </xf>
    <xf numFmtId="0" fontId="40" fillId="0" borderId="0" xfId="0" applyFont="1" applyAlignment="1">
      <alignment/>
    </xf>
    <xf numFmtId="0" fontId="5" fillId="34" borderId="0" xfId="75" applyFont="1" applyFill="1">
      <alignment/>
      <protection/>
    </xf>
    <xf numFmtId="0" fontId="0" fillId="0" borderId="0" xfId="75">
      <alignment/>
      <protection/>
    </xf>
    <xf numFmtId="0" fontId="5" fillId="34" borderId="0" xfId="75" applyFont="1" applyFill="1" applyAlignment="1">
      <alignment vertical="center"/>
      <protection/>
    </xf>
    <xf numFmtId="37" fontId="5" fillId="34" borderId="0" xfId="75" applyNumberFormat="1" applyFont="1" applyFill="1" applyAlignment="1">
      <alignment vertical="center"/>
      <protection/>
    </xf>
    <xf numFmtId="0" fontId="5" fillId="34" borderId="11" xfId="75" applyFont="1" applyFill="1" applyBorder="1" applyAlignment="1">
      <alignment vertical="center"/>
      <protection/>
    </xf>
    <xf numFmtId="0" fontId="5" fillId="34" borderId="0" xfId="75" applyFont="1" applyFill="1" applyAlignment="1">
      <alignment horizontal="center" vertical="center"/>
      <protection/>
    </xf>
    <xf numFmtId="0" fontId="6" fillId="34" borderId="0" xfId="75" applyFont="1" applyFill="1" applyAlignment="1">
      <alignment horizontal="center" vertical="center"/>
      <protection/>
    </xf>
    <xf numFmtId="195" fontId="5" fillId="34" borderId="0" xfId="75" applyNumberFormat="1" applyFont="1" applyFill="1" applyAlignment="1">
      <alignment vertical="center"/>
      <protection/>
    </xf>
    <xf numFmtId="195" fontId="5" fillId="34" borderId="19" xfId="75" applyNumberFormat="1" applyFont="1" applyFill="1" applyBorder="1" applyAlignment="1">
      <alignment vertical="center"/>
      <protection/>
    </xf>
    <xf numFmtId="195" fontId="5" fillId="34" borderId="0" xfId="75" applyNumberFormat="1" applyFont="1" applyFill="1" applyBorder="1" applyAlignment="1">
      <alignment vertical="center"/>
      <protection/>
    </xf>
    <xf numFmtId="0" fontId="17" fillId="40" borderId="0" xfId="75" applyFont="1" applyFill="1" applyAlignment="1">
      <alignment vertical="center"/>
      <protection/>
    </xf>
    <xf numFmtId="0" fontId="17" fillId="34" borderId="0" xfId="75" applyFont="1" applyFill="1" applyAlignment="1">
      <alignment horizontal="center" vertical="center"/>
      <protection/>
    </xf>
    <xf numFmtId="188" fontId="5" fillId="34" borderId="0" xfId="75" applyNumberFormat="1" applyFont="1" applyFill="1" applyAlignment="1">
      <alignment horizontal="center" vertical="center"/>
      <protection/>
    </xf>
    <xf numFmtId="199" fontId="17" fillId="34" borderId="0" xfId="75" applyNumberFormat="1" applyFont="1" applyFill="1" applyAlignment="1">
      <alignment horizontal="center" vertical="center"/>
      <protection/>
    </xf>
    <xf numFmtId="0" fontId="17" fillId="40" borderId="0" xfId="75" applyFont="1" applyFill="1" applyAlignment="1">
      <alignment horizontal="center" vertical="center"/>
      <protection/>
    </xf>
    <xf numFmtId="0" fontId="15" fillId="40" borderId="0" xfId="75" applyFont="1" applyFill="1" applyAlignment="1">
      <alignment horizontal="center" vertical="center"/>
      <protection/>
    </xf>
    <xf numFmtId="0" fontId="5" fillId="34" borderId="0" xfId="75" applyFont="1" applyFill="1" applyAlignment="1">
      <alignment horizontal="right" vertical="center"/>
      <protection/>
    </xf>
    <xf numFmtId="0" fontId="5" fillId="34" borderId="0" xfId="75" applyFont="1" applyFill="1" applyAlignment="1">
      <alignment horizontal="left" vertical="center"/>
      <protection/>
    </xf>
    <xf numFmtId="0" fontId="5" fillId="34" borderId="0" xfId="72" applyFont="1" applyFill="1">
      <alignment/>
      <protection/>
    </xf>
    <xf numFmtId="0" fontId="0" fillId="34" borderId="0" xfId="75" applyFill="1">
      <alignment/>
      <protection/>
    </xf>
    <xf numFmtId="0" fontId="4" fillId="34" borderId="0" xfId="72" applyFont="1" applyFill="1">
      <alignment/>
      <protection/>
    </xf>
    <xf numFmtId="0" fontId="0" fillId="34" borderId="0" xfId="72" applyFill="1">
      <alignment/>
      <protection/>
    </xf>
    <xf numFmtId="0" fontId="11" fillId="0" borderId="0" xfId="64" applyAlignment="1" applyProtection="1">
      <alignment/>
      <protection/>
    </xf>
    <xf numFmtId="195" fontId="37" fillId="34" borderId="26" xfId="0" applyNumberFormat="1" applyFont="1" applyFill="1" applyBorder="1" applyAlignment="1" applyProtection="1">
      <alignment vertical="center"/>
      <protection/>
    </xf>
    <xf numFmtId="195" fontId="37" fillId="40" borderId="25" xfId="0" applyNumberFormat="1" applyFont="1" applyFill="1" applyBorder="1" applyAlignment="1" applyProtection="1">
      <alignment horizontal="center" vertical="center"/>
      <protection/>
    </xf>
    <xf numFmtId="0" fontId="37" fillId="40" borderId="11" xfId="0" applyFont="1" applyFill="1" applyBorder="1" applyAlignment="1" applyProtection="1">
      <alignment vertical="center"/>
      <protection/>
    </xf>
    <xf numFmtId="0" fontId="37" fillId="40"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34"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5" borderId="14" xfId="0" applyNumberFormat="1" applyFont="1" applyFill="1" applyBorder="1" applyAlignment="1" applyProtection="1">
      <alignment horizontal="right" vertical="center"/>
      <protection/>
    </xf>
    <xf numFmtId="188" fontId="5" fillId="35"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4" borderId="0" xfId="64" applyFill="1" applyAlignment="1" applyProtection="1">
      <alignment/>
      <protection/>
    </xf>
    <xf numFmtId="0" fontId="65" fillId="34" borderId="0" xfId="336" applyFill="1">
      <alignment/>
      <protection/>
    </xf>
    <xf numFmtId="0" fontId="65" fillId="0" borderId="0" xfId="336">
      <alignment/>
      <protection/>
    </xf>
    <xf numFmtId="0" fontId="5" fillId="0" borderId="0" xfId="146" applyFont="1" applyAlignment="1">
      <alignment vertical="center"/>
      <protection/>
    </xf>
    <xf numFmtId="164" fontId="5" fillId="33" borderId="10" xfId="0" applyNumberFormat="1" applyFont="1" applyFill="1" applyBorder="1" applyAlignment="1" applyProtection="1">
      <alignment/>
      <protection locked="0"/>
    </xf>
    <xf numFmtId="0" fontId="5" fillId="33" borderId="10" xfId="0" applyFont="1" applyFill="1" applyBorder="1" applyAlignment="1" applyProtection="1">
      <alignment/>
      <protection locked="0"/>
    </xf>
    <xf numFmtId="0" fontId="5" fillId="34" borderId="10" xfId="0" applyFont="1" applyFill="1" applyBorder="1" applyAlignment="1" applyProtection="1">
      <alignment/>
      <protection locked="0"/>
    </xf>
    <xf numFmtId="3" fontId="0" fillId="0" borderId="0" xfId="0" applyNumberFormat="1" applyAlignment="1">
      <alignment vertical="center"/>
    </xf>
    <xf numFmtId="0" fontId="5" fillId="33" borderId="20" xfId="0" applyFont="1" applyFill="1" applyBorder="1" applyAlignment="1" applyProtection="1">
      <alignment/>
      <protection locked="0"/>
    </xf>
    <xf numFmtId="0" fontId="5" fillId="33" borderId="14" xfId="0" applyFont="1" applyFill="1" applyBorder="1" applyAlignment="1" applyProtection="1">
      <alignment horizontal="left" vertical="center"/>
      <protection locked="0"/>
    </xf>
    <xf numFmtId="177" fontId="22" fillId="33" borderId="10" xfId="42" applyNumberFormat="1" applyFont="1" applyFill="1" applyBorder="1" applyAlignment="1" applyProtection="1">
      <alignment horizontal="center" vertical="center"/>
      <protection locked="0"/>
    </xf>
    <xf numFmtId="177" fontId="4" fillId="33" borderId="10" xfId="42" applyNumberFormat="1" applyFont="1" applyFill="1" applyBorder="1" applyAlignment="1" applyProtection="1">
      <alignment horizontal="center" vertical="center"/>
      <protection locked="0"/>
    </xf>
    <xf numFmtId="177" fontId="5" fillId="33" borderId="10" xfId="42" applyNumberFormat="1" applyFont="1" applyFill="1" applyBorder="1" applyAlignment="1" applyProtection="1">
      <alignment horizontal="center"/>
      <protection locked="0"/>
    </xf>
    <xf numFmtId="177" fontId="4" fillId="33" borderId="10" xfId="42" applyNumberFormat="1" applyFont="1" applyFill="1" applyBorder="1" applyAlignment="1" applyProtection="1">
      <alignment horizontal="center"/>
      <protection locked="0"/>
    </xf>
    <xf numFmtId="0" fontId="5" fillId="33" borderId="14" xfId="0" applyNumberFormat="1" applyFont="1" applyFill="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protection locked="0"/>
    </xf>
    <xf numFmtId="0" fontId="22" fillId="33" borderId="10" xfId="0" applyNumberFormat="1" applyFont="1" applyFill="1" applyBorder="1" applyAlignment="1" applyProtection="1">
      <alignment horizontal="center" vertical="center"/>
      <protection locked="0"/>
    </xf>
    <xf numFmtId="177" fontId="5" fillId="33" borderId="10" xfId="0" applyNumberFormat="1" applyFont="1" applyFill="1" applyBorder="1" applyAlignment="1" applyProtection="1">
      <alignment vertical="center"/>
      <protection locked="0"/>
    </xf>
    <xf numFmtId="177" fontId="5" fillId="34" borderId="0" xfId="0" applyNumberFormat="1" applyFont="1" applyFill="1" applyAlignment="1" applyProtection="1">
      <alignment vertical="center"/>
      <protection locked="0"/>
    </xf>
    <xf numFmtId="174" fontId="5" fillId="33" borderId="10" xfId="0" applyNumberFormat="1" applyFont="1" applyFill="1" applyBorder="1" applyAlignment="1" applyProtection="1">
      <alignment horizontal="center"/>
      <protection locked="0"/>
    </xf>
    <xf numFmtId="37" fontId="5" fillId="33" borderId="10" xfId="0" applyNumberFormat="1" applyFont="1" applyFill="1" applyBorder="1" applyAlignment="1" applyProtection="1">
      <alignment horizontal="center"/>
      <protection locked="0"/>
    </xf>
    <xf numFmtId="175" fontId="5" fillId="33" borderId="10" xfId="0" applyNumberFormat="1" applyFont="1" applyFill="1" applyBorder="1" applyAlignment="1" applyProtection="1">
      <alignment horizontal="center"/>
      <protection locked="0"/>
    </xf>
    <xf numFmtId="37" fontId="5" fillId="33" borderId="20" xfId="0" applyNumberFormat="1" applyFont="1" applyFill="1" applyBorder="1" applyAlignment="1" applyProtection="1">
      <alignment/>
      <protection locked="0"/>
    </xf>
    <xf numFmtId="0" fontId="5" fillId="33" borderId="10" xfId="0" applyFont="1" applyFill="1" applyBorder="1" applyAlignment="1" applyProtection="1">
      <alignment horizontal="left"/>
      <protection locked="0"/>
    </xf>
    <xf numFmtId="0" fontId="5" fillId="33" borderId="10" xfId="0" applyFont="1" applyFill="1" applyBorder="1" applyAlignment="1" applyProtection="1">
      <alignment horizontal="left"/>
      <protection locked="0"/>
    </xf>
    <xf numFmtId="0" fontId="5" fillId="33" borderId="0" xfId="0" applyFont="1" applyFill="1" applyAlignment="1" applyProtection="1">
      <alignment horizontal="left"/>
      <protection locked="0"/>
    </xf>
    <xf numFmtId="0" fontId="5" fillId="33" borderId="20" xfId="0" applyNumberFormat="1" applyFont="1" applyFill="1" applyBorder="1" applyAlignment="1" applyProtection="1">
      <alignment horizontal="left"/>
      <protection locked="0"/>
    </xf>
    <xf numFmtId="0" fontId="5" fillId="33" borderId="20" xfId="0" applyFont="1" applyFill="1" applyBorder="1" applyAlignment="1" applyProtection="1">
      <alignment horizontal="left"/>
      <protection locked="0"/>
    </xf>
    <xf numFmtId="0" fontId="5" fillId="33" borderId="25" xfId="0" applyFont="1" applyFill="1" applyBorder="1" applyAlignment="1" applyProtection="1">
      <alignment/>
      <protection locked="0"/>
    </xf>
    <xf numFmtId="0" fontId="13" fillId="33" borderId="10" xfId="0" applyFont="1" applyFill="1" applyBorder="1" applyAlignment="1" applyProtection="1">
      <alignment/>
      <protection locked="0"/>
    </xf>
    <xf numFmtId="3" fontId="13" fillId="33" borderId="10" xfId="0" applyNumberFormat="1" applyFont="1" applyFill="1" applyBorder="1" applyAlignment="1" applyProtection="1">
      <alignment horizontal="center"/>
      <protection locked="0"/>
    </xf>
    <xf numFmtId="0" fontId="37" fillId="34" borderId="11" xfId="0" applyFont="1" applyFill="1" applyBorder="1" applyAlignment="1">
      <alignment vertical="center"/>
    </xf>
    <xf numFmtId="0" fontId="37" fillId="0" borderId="0" xfId="0" applyFont="1" applyAlignment="1">
      <alignment vertical="center"/>
    </xf>
    <xf numFmtId="0" fontId="13" fillId="33" borderId="18" xfId="0" applyFont="1" applyFill="1" applyBorder="1" applyAlignment="1" applyProtection="1">
      <alignment/>
      <protection locked="0"/>
    </xf>
    <xf numFmtId="0" fontId="13" fillId="33" borderId="22" xfId="0" applyFont="1" applyFill="1" applyBorder="1" applyAlignment="1" applyProtection="1">
      <alignment/>
      <protection locked="0"/>
    </xf>
    <xf numFmtId="0" fontId="13" fillId="33" borderId="0" xfId="0" applyFont="1" applyFill="1" applyAlignment="1" applyProtection="1">
      <alignment/>
      <protection locked="0"/>
    </xf>
    <xf numFmtId="0" fontId="13" fillId="33" borderId="21" xfId="0" applyFont="1" applyFill="1" applyBorder="1" applyAlignment="1" applyProtection="1">
      <alignment/>
      <protection locked="0"/>
    </xf>
    <xf numFmtId="0" fontId="13" fillId="33" borderId="14" xfId="0" applyFont="1" applyFill="1" applyBorder="1" applyAlignment="1" applyProtection="1">
      <alignment/>
      <protection locked="0"/>
    </xf>
    <xf numFmtId="3" fontId="5" fillId="0" borderId="0" xfId="0" applyNumberFormat="1" applyFont="1" applyAlignment="1" applyProtection="1">
      <alignment vertical="center"/>
      <protection locked="0"/>
    </xf>
    <xf numFmtId="37" fontId="5" fillId="0" borderId="0" xfId="0" applyNumberFormat="1" applyFont="1" applyAlignment="1">
      <alignment vertical="center"/>
    </xf>
    <xf numFmtId="177" fontId="5" fillId="33" borderId="10" xfId="0" applyNumberFormat="1" applyFont="1" applyFill="1" applyBorder="1" applyAlignment="1" applyProtection="1">
      <alignment horizontal="center" vertical="center"/>
      <protection locked="0"/>
    </xf>
    <xf numFmtId="37" fontId="5" fillId="34" borderId="22" xfId="0" applyNumberFormat="1" applyFont="1" applyFill="1" applyBorder="1" applyAlignment="1" applyProtection="1">
      <alignment horizontal="left" vertical="center"/>
      <protection/>
    </xf>
    <xf numFmtId="37" fontId="37" fillId="34" borderId="0" xfId="0" applyNumberFormat="1" applyFont="1" applyFill="1" applyBorder="1" applyAlignment="1" applyProtection="1">
      <alignment horizontal="left" vertical="top"/>
      <protection/>
    </xf>
    <xf numFmtId="37" fontId="5" fillId="34" borderId="19"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locked="0"/>
    </xf>
    <xf numFmtId="0" fontId="48" fillId="33" borderId="0" xfId="64" applyFont="1" applyFill="1" applyBorder="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5" applyFont="1" applyAlignment="1">
      <alignment horizontal="left" vertical="center" wrapText="1"/>
      <protection/>
    </xf>
    <xf numFmtId="0" fontId="29" fillId="0" borderId="0" xfId="365" applyAlignment="1">
      <alignment horizontal="left" vertical="center" wrapText="1"/>
      <protection/>
    </xf>
    <xf numFmtId="0" fontId="14" fillId="0" borderId="0" xfId="365"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37" fillId="34" borderId="0" xfId="0" applyFont="1" applyFill="1" applyAlignment="1" applyProtection="1">
      <alignment horizontal="left" vertical="top"/>
      <protection/>
    </xf>
    <xf numFmtId="0" fontId="41" fillId="0" borderId="0" xfId="0" applyFont="1" applyAlignment="1">
      <alignment horizontal="left" vertical="top"/>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75" applyFont="1" applyFill="1" applyAlignment="1">
      <alignment vertical="center" wrapText="1"/>
      <protection/>
    </xf>
    <xf numFmtId="0" fontId="14" fillId="34" borderId="0" xfId="369" applyFont="1" applyFill="1" applyAlignment="1">
      <alignment horizontal="center"/>
      <protection/>
    </xf>
    <xf numFmtId="0" fontId="0" fillId="34" borderId="0" xfId="75" applyFill="1" applyAlignment="1">
      <alignment horizontal="center"/>
      <protection/>
    </xf>
    <xf numFmtId="0" fontId="4" fillId="34" borderId="0" xfId="75" applyFont="1" applyFill="1" applyAlignment="1">
      <alignment horizontal="center" vertical="center"/>
      <protection/>
    </xf>
    <xf numFmtId="0" fontId="14" fillId="34" borderId="0" xfId="75" applyFont="1" applyFill="1" applyAlignment="1">
      <alignment horizontal="center" vertical="center"/>
      <protection/>
    </xf>
    <xf numFmtId="188" fontId="38" fillId="34"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8" fillId="34" borderId="24" xfId="82" applyFont="1" applyFill="1" applyBorder="1" applyAlignment="1" applyProtection="1">
      <alignment horizontal="center" vertical="center"/>
      <protection/>
    </xf>
    <xf numFmtId="0" fontId="38" fillId="34"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38" fillId="34"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31" fillId="34" borderId="24" xfId="82"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0" xfId="0" applyBorder="1" applyAlignment="1">
      <alignment horizontal="right" vertical="center"/>
    </xf>
    <xf numFmtId="0" fontId="39" fillId="34" borderId="20" xfId="0" applyFont="1" applyFill="1" applyBorder="1" applyAlignment="1">
      <alignment horizontal="center" vertical="center"/>
    </xf>
    <xf numFmtId="0" fontId="39" fillId="34" borderId="18"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14" fillId="34" borderId="24"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34" borderId="11" xfId="0" applyNumberFormat="1" applyFont="1" applyFill="1" applyBorder="1" applyAlignment="1" applyProtection="1">
      <alignment horizontal="center" vertical="center"/>
      <protection locked="0"/>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34" borderId="19" xfId="82" applyFont="1" applyFill="1" applyBorder="1" applyAlignment="1" applyProtection="1">
      <alignment horizontal="center"/>
      <protection/>
    </xf>
    <xf numFmtId="0" fontId="14" fillId="34" borderId="22" xfId="82" applyFont="1" applyFill="1" applyBorder="1" applyAlignment="1" applyProtection="1">
      <alignment horizontal="center"/>
      <protection/>
    </xf>
    <xf numFmtId="37" fontId="5" fillId="34" borderId="0" xfId="107"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0" fillId="0" borderId="0" xfId="0" applyAlignment="1">
      <alignment vertical="center"/>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33" borderId="11" xfId="0" applyNumberFormat="1" applyFont="1" applyFill="1" applyBorder="1" applyAlignment="1" applyProtection="1">
      <alignment horizontal="center"/>
      <protection locked="0"/>
    </xf>
    <xf numFmtId="0" fontId="34" fillId="34" borderId="0" xfId="0" applyFont="1" applyFill="1" applyBorder="1" applyAlignment="1">
      <alignment horizontal="center" wrapText="1"/>
    </xf>
    <xf numFmtId="0" fontId="33" fillId="0" borderId="0" xfId="0" applyFont="1" applyAlignment="1">
      <alignment horizontal="center" wrapText="1"/>
    </xf>
    <xf numFmtId="0" fontId="34" fillId="34" borderId="28" xfId="0" applyFont="1" applyFill="1" applyBorder="1" applyAlignment="1">
      <alignment horizontal="center" vertical="center"/>
    </xf>
    <xf numFmtId="0" fontId="34" fillId="34" borderId="0" xfId="0" applyFont="1" applyFill="1" applyAlignment="1">
      <alignment horizontal="center"/>
    </xf>
    <xf numFmtId="0" fontId="33" fillId="34" borderId="0" xfId="0" applyFont="1" applyFill="1" applyAlignment="1">
      <alignment wrapText="1"/>
    </xf>
    <xf numFmtId="0" fontId="33" fillId="0" borderId="0" xfId="0" applyFont="1" applyAlignment="1">
      <alignment wrapText="1"/>
    </xf>
    <xf numFmtId="0" fontId="34" fillId="34" borderId="0" xfId="0" applyFont="1" applyFill="1" applyAlignment="1">
      <alignment horizontal="center" wrapText="1"/>
    </xf>
    <xf numFmtId="0" fontId="34" fillId="34" borderId="0" xfId="0" applyFont="1" applyFill="1" applyAlignment="1">
      <alignment horizontal="center" vertical="center"/>
    </xf>
    <xf numFmtId="0" fontId="34" fillId="0" borderId="0" xfId="0" applyFont="1" applyAlignment="1">
      <alignment horizontal="center" vertical="center"/>
    </xf>
    <xf numFmtId="5" fontId="33" fillId="34" borderId="11" xfId="0" applyNumberFormat="1" applyFont="1" applyFill="1" applyBorder="1" applyAlignment="1">
      <alignment horizontal="center"/>
    </xf>
    <xf numFmtId="0" fontId="34" fillId="0" borderId="0" xfId="0" applyFont="1" applyAlignment="1">
      <alignment horizontal="center" wrapText="1"/>
    </xf>
    <xf numFmtId="0" fontId="33" fillId="34" borderId="0" xfId="0" applyFont="1" applyFill="1" applyBorder="1" applyAlignment="1">
      <alignment wrapText="1"/>
    </xf>
    <xf numFmtId="0" fontId="33" fillId="0" borderId="28" xfId="0" applyFont="1" applyBorder="1" applyAlignment="1">
      <alignment horizontal="center" vertical="center"/>
    </xf>
    <xf numFmtId="195" fontId="33" fillId="34" borderId="0" xfId="0" applyNumberFormat="1" applyFont="1" applyFill="1" applyAlignment="1">
      <alignment/>
    </xf>
    <xf numFmtId="0" fontId="33" fillId="34" borderId="0" xfId="0" applyFont="1" applyFill="1" applyBorder="1" applyAlignment="1">
      <alignment/>
    </xf>
    <xf numFmtId="0" fontId="33" fillId="0" borderId="0" xfId="0" applyFont="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horizontal="center"/>
    </xf>
    <xf numFmtId="195" fontId="33" fillId="33" borderId="30" xfId="0" applyNumberFormat="1" applyFont="1" applyFill="1" applyBorder="1" applyAlignment="1" applyProtection="1">
      <alignment horizontal="center"/>
      <protection locked="0"/>
    </xf>
    <xf numFmtId="0" fontId="33" fillId="34" borderId="0" xfId="0" applyFont="1" applyFill="1" applyBorder="1" applyAlignment="1">
      <alignment horizontal="center"/>
    </xf>
    <xf numFmtId="17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horizontal="center"/>
    </xf>
    <xf numFmtId="196" fontId="33" fillId="0" borderId="31" xfId="0" applyNumberFormat="1" applyFont="1" applyBorder="1" applyAlignment="1">
      <alignment horizontal="center"/>
    </xf>
    <xf numFmtId="195" fontId="33" fillId="34" borderId="0" xfId="0" applyNumberFormat="1" applyFont="1" applyFill="1" applyBorder="1" applyAlignment="1">
      <alignment horizontal="center"/>
    </xf>
    <xf numFmtId="0" fontId="33" fillId="34" borderId="19" xfId="0" applyFont="1" applyFill="1" applyBorder="1" applyAlignment="1">
      <alignment horizontal="center"/>
    </xf>
    <xf numFmtId="0" fontId="33" fillId="3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0" fontId="33" fillId="0" borderId="31" xfId="0" applyFont="1" applyBorder="1" applyAlignment="1">
      <alignment horizont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30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ieland@cityofpaola.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25">
      <selection activeCell="J17" sqref="J17"/>
    </sheetView>
  </sheetViews>
  <sheetFormatPr defaultColWidth="8.796875" defaultRowHeight="15"/>
  <cols>
    <col min="1" max="1" width="75.796875" style="32" customWidth="1"/>
    <col min="2" max="16384" width="8.8984375" style="32" customWidth="1"/>
  </cols>
  <sheetData>
    <row r="1" ht="15.75">
      <c r="A1" s="31" t="s">
        <v>585</v>
      </c>
    </row>
    <row r="3" ht="39.75" customHeight="1">
      <c r="A3" s="33" t="s">
        <v>663</v>
      </c>
    </row>
    <row r="4" ht="15.75">
      <c r="A4" s="34"/>
    </row>
    <row r="5" ht="49.5" customHeight="1">
      <c r="A5" s="35" t="s">
        <v>1196</v>
      </c>
    </row>
    <row r="6" ht="15.75">
      <c r="A6" s="35"/>
    </row>
    <row r="7" ht="75" customHeight="1">
      <c r="A7" s="35" t="s">
        <v>391</v>
      </c>
    </row>
    <row r="8" ht="15.75">
      <c r="A8" s="35"/>
    </row>
    <row r="9" ht="32.25" customHeight="1">
      <c r="A9" s="35" t="s">
        <v>664</v>
      </c>
    </row>
    <row r="11" ht="51" customHeight="1">
      <c r="A11" s="35" t="s">
        <v>349</v>
      </c>
    </row>
    <row r="13" ht="15.75">
      <c r="A13" s="31" t="s">
        <v>1206</v>
      </c>
    </row>
    <row r="14" ht="15.75">
      <c r="A14" s="31"/>
    </row>
    <row r="15" ht="15.75">
      <c r="A15" s="34" t="s">
        <v>1207</v>
      </c>
    </row>
    <row r="17" ht="37.5" customHeight="1">
      <c r="A17" s="36" t="s">
        <v>695</v>
      </c>
    </row>
    <row r="18" ht="9" customHeight="1">
      <c r="A18" s="36"/>
    </row>
    <row r="20" ht="15.75">
      <c r="A20" s="31" t="s">
        <v>402</v>
      </c>
    </row>
    <row r="22" ht="36" customHeight="1">
      <c r="A22" s="35" t="s">
        <v>665</v>
      </c>
    </row>
    <row r="23" ht="15.75">
      <c r="A23" s="35"/>
    </row>
    <row r="24" ht="15.75">
      <c r="A24" s="37" t="s">
        <v>666</v>
      </c>
    </row>
    <row r="25" ht="12" customHeight="1">
      <c r="A25" s="35"/>
    </row>
    <row r="26" ht="15.75">
      <c r="A26" s="38" t="s">
        <v>567</v>
      </c>
    </row>
    <row r="27" ht="15.75">
      <c r="A27" s="39"/>
    </row>
    <row r="28" ht="84.75" customHeight="1">
      <c r="A28" s="40" t="s">
        <v>1191</v>
      </c>
    </row>
    <row r="29" ht="12.75" customHeight="1">
      <c r="A29" s="41"/>
    </row>
    <row r="30" ht="15.75">
      <c r="A30" s="42" t="s">
        <v>667</v>
      </c>
    </row>
    <row r="31" ht="15.75">
      <c r="A31" s="41"/>
    </row>
    <row r="32" ht="15.75">
      <c r="A32" s="43" t="s">
        <v>1205</v>
      </c>
    </row>
    <row r="33" ht="15.75">
      <c r="A33" s="41"/>
    </row>
    <row r="34" ht="15.75">
      <c r="A34" s="35" t="s">
        <v>498</v>
      </c>
    </row>
    <row r="36" ht="15.75">
      <c r="A36" s="31" t="s">
        <v>499</v>
      </c>
    </row>
    <row r="38" ht="66.75" customHeight="1">
      <c r="A38" s="35" t="s">
        <v>203</v>
      </c>
    </row>
    <row r="39" ht="35.25" customHeight="1">
      <c r="A39" s="35" t="s">
        <v>587</v>
      </c>
    </row>
    <row r="40" ht="53.25" customHeight="1">
      <c r="A40" s="44" t="s">
        <v>668</v>
      </c>
    </row>
    <row r="41" ht="102.75" customHeight="1">
      <c r="A41" s="717" t="s">
        <v>392</v>
      </c>
    </row>
    <row r="43" ht="84" customHeight="1">
      <c r="A43" s="35" t="s">
        <v>204</v>
      </c>
    </row>
    <row r="44" ht="53.25" customHeight="1">
      <c r="A44" s="35" t="s">
        <v>669</v>
      </c>
    </row>
    <row r="45" ht="102" customHeight="1">
      <c r="A45" s="35" t="s">
        <v>397</v>
      </c>
    </row>
    <row r="46" ht="15.75" customHeight="1">
      <c r="A46" s="35"/>
    </row>
    <row r="47" ht="73.5" customHeight="1">
      <c r="A47" s="718" t="s">
        <v>393</v>
      </c>
    </row>
    <row r="48" ht="69.75" customHeight="1">
      <c r="A48" s="367" t="s">
        <v>142</v>
      </c>
    </row>
    <row r="49" ht="75.75" customHeight="1">
      <c r="A49" s="719" t="s">
        <v>394</v>
      </c>
    </row>
    <row r="50" ht="15.75" customHeight="1">
      <c r="A50" s="35"/>
    </row>
    <row r="51" ht="69.75" customHeight="1">
      <c r="A51" s="35" t="s">
        <v>143</v>
      </c>
    </row>
    <row r="52" ht="37.5" customHeight="1">
      <c r="A52" s="35" t="s">
        <v>144</v>
      </c>
    </row>
    <row r="53" ht="69" customHeight="1">
      <c r="A53" s="35" t="s">
        <v>145</v>
      </c>
    </row>
    <row r="54" ht="115.5" customHeight="1">
      <c r="A54" s="720" t="s">
        <v>721</v>
      </c>
    </row>
    <row r="56" ht="84.75" customHeight="1">
      <c r="A56" s="35" t="s">
        <v>720</v>
      </c>
    </row>
    <row r="57" ht="116.25" customHeight="1">
      <c r="A57" s="35" t="s">
        <v>146</v>
      </c>
    </row>
    <row r="58" ht="38.25" customHeight="1">
      <c r="A58" s="35" t="s">
        <v>147</v>
      </c>
    </row>
    <row r="59" ht="15.75">
      <c r="A59" s="35"/>
    </row>
    <row r="60" ht="74.25" customHeight="1">
      <c r="A60" s="720" t="s">
        <v>395</v>
      </c>
    </row>
    <row r="61" ht="15.75">
      <c r="A61" s="35"/>
    </row>
    <row r="62" ht="66.75" customHeight="1">
      <c r="A62" s="35" t="s">
        <v>148</v>
      </c>
    </row>
    <row r="63" ht="37.5" customHeight="1">
      <c r="A63" s="35" t="s">
        <v>157</v>
      </c>
    </row>
    <row r="64" ht="91.5" customHeight="1">
      <c r="A64" s="35" t="s">
        <v>1077</v>
      </c>
    </row>
    <row r="65" ht="47.25" customHeight="1">
      <c r="A65" s="347" t="s">
        <v>1078</v>
      </c>
    </row>
    <row r="67" s="35" customFormat="1" ht="66.75" customHeight="1">
      <c r="A67" s="35" t="s">
        <v>149</v>
      </c>
    </row>
    <row r="69" ht="67.5" customHeight="1">
      <c r="A69" s="35" t="s">
        <v>150</v>
      </c>
    </row>
    <row r="70" ht="18" customHeight="1">
      <c r="A70" s="35"/>
    </row>
    <row r="71" ht="149.25" customHeight="1">
      <c r="A71" s="720" t="s">
        <v>396</v>
      </c>
    </row>
    <row r="73" ht="95.25" customHeight="1">
      <c r="A73" s="35" t="s">
        <v>444</v>
      </c>
    </row>
    <row r="74" ht="84.75" customHeight="1">
      <c r="A74" s="720" t="s">
        <v>719</v>
      </c>
    </row>
    <row r="75" ht="104.25" customHeight="1">
      <c r="A75" s="489" t="s">
        <v>445</v>
      </c>
    </row>
    <row r="76" ht="75" customHeight="1">
      <c r="A76" s="489" t="s">
        <v>446</v>
      </c>
    </row>
    <row r="77" ht="75" customHeight="1">
      <c r="A77" s="489" t="s">
        <v>447</v>
      </c>
    </row>
    <row r="78" ht="137.25" customHeight="1">
      <c r="A78" s="35" t="s">
        <v>558</v>
      </c>
    </row>
    <row r="79" ht="91.5" customHeight="1">
      <c r="A79" s="720" t="s">
        <v>559</v>
      </c>
    </row>
    <row r="80" ht="135" customHeight="1">
      <c r="A80" s="35" t="s">
        <v>560</v>
      </c>
    </row>
    <row r="81" ht="141.75" customHeight="1">
      <c r="A81" s="35" t="s">
        <v>561</v>
      </c>
    </row>
    <row r="82" ht="87" customHeight="1">
      <c r="A82" s="35" t="s">
        <v>562</v>
      </c>
    </row>
    <row r="83" ht="105" customHeight="1">
      <c r="A83" s="35" t="s">
        <v>651</v>
      </c>
    </row>
    <row r="84" ht="86.25" customHeight="1">
      <c r="A84" s="35" t="s">
        <v>652</v>
      </c>
    </row>
    <row r="85" ht="129.75" customHeight="1">
      <c r="A85" s="35" t="s">
        <v>653</v>
      </c>
    </row>
    <row r="86" ht="110.25" customHeight="1">
      <c r="A86" s="721" t="s">
        <v>654</v>
      </c>
    </row>
    <row r="87" ht="117" customHeight="1">
      <c r="A87" s="722" t="s">
        <v>655</v>
      </c>
    </row>
    <row r="88" ht="72" customHeight="1">
      <c r="A88" s="366" t="s">
        <v>656</v>
      </c>
    </row>
    <row r="89" ht="63.75" customHeight="1">
      <c r="A89" s="720" t="s">
        <v>151</v>
      </c>
    </row>
    <row r="90" ht="43.5" customHeight="1">
      <c r="A90" s="723" t="s">
        <v>152</v>
      </c>
    </row>
    <row r="91" ht="53.25" customHeight="1">
      <c r="A91" s="489" t="s">
        <v>706</v>
      </c>
    </row>
    <row r="92" ht="144.75" customHeight="1">
      <c r="A92" s="489" t="s">
        <v>707</v>
      </c>
    </row>
    <row r="93" ht="159" customHeight="1">
      <c r="A93" s="489" t="s">
        <v>708</v>
      </c>
    </row>
    <row r="94" ht="107.25" customHeight="1">
      <c r="A94" s="724" t="s">
        <v>709</v>
      </c>
    </row>
    <row r="95" ht="114.75" customHeight="1">
      <c r="A95" s="725" t="s">
        <v>710</v>
      </c>
    </row>
    <row r="96" ht="20.25" customHeight="1"/>
    <row r="97" ht="157.5" customHeight="1">
      <c r="A97" s="35" t="s">
        <v>682</v>
      </c>
    </row>
    <row r="98" ht="134.25" customHeight="1">
      <c r="A98" s="35" t="s">
        <v>683</v>
      </c>
    </row>
    <row r="99" ht="59.25" customHeight="1">
      <c r="A99" s="35" t="s">
        <v>684</v>
      </c>
    </row>
    <row r="100" ht="30.75" customHeight="1">
      <c r="A100" s="35" t="s">
        <v>685</v>
      </c>
    </row>
    <row r="101" ht="15" customHeight="1"/>
    <row r="102" ht="83.25" customHeight="1">
      <c r="A102" s="720" t="s">
        <v>711</v>
      </c>
    </row>
    <row r="103" ht="15.75" customHeight="1">
      <c r="A103" s="368"/>
    </row>
    <row r="104" ht="73.5" customHeight="1">
      <c r="A104" s="489" t="s">
        <v>712</v>
      </c>
    </row>
    <row r="105" ht="112.5" customHeight="1">
      <c r="A105" s="489" t="s">
        <v>713</v>
      </c>
    </row>
    <row r="106" ht="122.25" customHeight="1">
      <c r="A106" s="489" t="s">
        <v>714</v>
      </c>
    </row>
    <row r="107" ht="91.5" customHeight="1">
      <c r="A107" s="489"/>
    </row>
    <row r="108" ht="58.5" customHeight="1">
      <c r="A108" s="368"/>
    </row>
    <row r="109" ht="66" customHeight="1">
      <c r="A109" s="368"/>
    </row>
    <row r="110" ht="16.5" customHeight="1">
      <c r="A110" s="35"/>
    </row>
    <row r="111" ht="72.75" customHeight="1">
      <c r="A111" s="35"/>
    </row>
    <row r="113" ht="69" customHeight="1">
      <c r="A113" s="489"/>
    </row>
    <row r="114" ht="110.25" customHeight="1">
      <c r="A114" s="489"/>
    </row>
    <row r="115" ht="132" customHeight="1">
      <c r="A115" s="489"/>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M12" sqref="M12"/>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Paola</v>
      </c>
      <c r="C1" s="47"/>
      <c r="D1" s="47"/>
      <c r="E1" s="47"/>
      <c r="F1" s="47"/>
      <c r="G1" s="47"/>
      <c r="H1" s="47"/>
      <c r="I1" s="47"/>
      <c r="J1" s="47"/>
      <c r="K1" s="47"/>
      <c r="L1" s="47"/>
      <c r="M1" s="217">
        <f>inputPrYr!$C$5</f>
        <v>2013</v>
      </c>
    </row>
    <row r="2" spans="2:13" ht="15.75">
      <c r="B2" s="197"/>
      <c r="C2" s="47"/>
      <c r="D2" s="47"/>
      <c r="E2" s="47"/>
      <c r="F2" s="47"/>
      <c r="G2" s="47"/>
      <c r="H2" s="47"/>
      <c r="I2" s="47"/>
      <c r="J2" s="47"/>
      <c r="K2" s="47"/>
      <c r="L2" s="47"/>
      <c r="M2" s="169"/>
    </row>
    <row r="3" spans="2:13" ht="15.75">
      <c r="B3" s="218" t="s">
        <v>507</v>
      </c>
      <c r="C3" s="56"/>
      <c r="D3" s="56"/>
      <c r="E3" s="56"/>
      <c r="F3" s="56"/>
      <c r="G3" s="56"/>
      <c r="H3" s="56"/>
      <c r="I3" s="56"/>
      <c r="J3" s="56"/>
      <c r="K3" s="56"/>
      <c r="L3" s="56"/>
      <c r="M3" s="56"/>
    </row>
    <row r="4" spans="2:13" ht="10.5" customHeight="1">
      <c r="B4" s="47"/>
      <c r="C4" s="219"/>
      <c r="D4" s="219"/>
      <c r="E4" s="219"/>
      <c r="F4" s="219"/>
      <c r="G4" s="219"/>
      <c r="H4" s="219"/>
      <c r="I4" s="219"/>
      <c r="J4" s="219"/>
      <c r="K4" s="219"/>
      <c r="L4" s="219"/>
      <c r="M4" s="219"/>
    </row>
    <row r="5" spans="2:13" ht="18" customHeight="1">
      <c r="B5" s="152"/>
      <c r="C5" s="199" t="s">
        <v>475</v>
      </c>
      <c r="D5" s="199" t="s">
        <v>475</v>
      </c>
      <c r="E5" s="199" t="s">
        <v>489</v>
      </c>
      <c r="F5" s="199"/>
      <c r="G5" s="199" t="s">
        <v>617</v>
      </c>
      <c r="H5" s="47"/>
      <c r="I5" s="47"/>
      <c r="J5" s="220" t="s">
        <v>476</v>
      </c>
      <c r="K5" s="221"/>
      <c r="L5" s="220" t="s">
        <v>476</v>
      </c>
      <c r="M5" s="221"/>
    </row>
    <row r="6" spans="2:13" ht="15.75">
      <c r="B6" s="222" t="s">
        <v>266</v>
      </c>
      <c r="C6" s="222" t="s">
        <v>477</v>
      </c>
      <c r="D6" s="222" t="s">
        <v>618</v>
      </c>
      <c r="E6" s="222" t="s">
        <v>478</v>
      </c>
      <c r="F6" s="222" t="s">
        <v>428</v>
      </c>
      <c r="G6" s="222" t="s">
        <v>619</v>
      </c>
      <c r="H6" s="806" t="s">
        <v>479</v>
      </c>
      <c r="I6" s="807"/>
      <c r="J6" s="808">
        <f>M1-1</f>
        <v>2012</v>
      </c>
      <c r="K6" s="809"/>
      <c r="L6" s="808">
        <f>M1</f>
        <v>2013</v>
      </c>
      <c r="M6" s="809"/>
    </row>
    <row r="7" spans="2:13" ht="15.75">
      <c r="B7" s="200" t="s">
        <v>265</v>
      </c>
      <c r="C7" s="200" t="s">
        <v>480</v>
      </c>
      <c r="D7" s="200" t="s">
        <v>620</v>
      </c>
      <c r="E7" s="200" t="s">
        <v>456</v>
      </c>
      <c r="F7" s="200" t="s">
        <v>481</v>
      </c>
      <c r="G7" s="223" t="str">
        <f>CONCATENATE("Jan 1,",M1-1,"")</f>
        <v>Jan 1,2012</v>
      </c>
      <c r="H7" s="156" t="s">
        <v>489</v>
      </c>
      <c r="I7" s="156" t="s">
        <v>491</v>
      </c>
      <c r="J7" s="156" t="s">
        <v>489</v>
      </c>
      <c r="K7" s="156" t="s">
        <v>491</v>
      </c>
      <c r="L7" s="156" t="s">
        <v>489</v>
      </c>
      <c r="M7" s="156" t="s">
        <v>491</v>
      </c>
    </row>
    <row r="8" spans="2:13" ht="15.75">
      <c r="B8" s="224" t="s">
        <v>482</v>
      </c>
      <c r="C8" s="65"/>
      <c r="D8" s="65"/>
      <c r="E8" s="225"/>
      <c r="F8" s="226"/>
      <c r="G8" s="226"/>
      <c r="H8" s="65"/>
      <c r="I8" s="65"/>
      <c r="J8" s="226"/>
      <c r="K8" s="226"/>
      <c r="L8" s="226"/>
      <c r="M8" s="226"/>
    </row>
    <row r="9" spans="2:13" ht="15.75">
      <c r="B9" s="3" t="s">
        <v>920</v>
      </c>
      <c r="C9" s="746">
        <v>37834</v>
      </c>
      <c r="D9" s="746">
        <v>41214</v>
      </c>
      <c r="E9" s="21">
        <v>3</v>
      </c>
      <c r="F9" s="22">
        <v>4210000</v>
      </c>
      <c r="G9" s="747">
        <v>95000</v>
      </c>
      <c r="H9" s="748" t="s">
        <v>921</v>
      </c>
      <c r="I9" s="748">
        <v>39753</v>
      </c>
      <c r="J9" s="747">
        <v>3800</v>
      </c>
      <c r="K9" s="747">
        <v>95000</v>
      </c>
      <c r="L9" s="229">
        <v>0</v>
      </c>
      <c r="M9" s="229">
        <v>0</v>
      </c>
    </row>
    <row r="10" spans="2:13" ht="15.75">
      <c r="B10" s="3" t="s">
        <v>922</v>
      </c>
      <c r="C10" s="746">
        <v>38470</v>
      </c>
      <c r="D10" s="746">
        <v>42248</v>
      </c>
      <c r="E10" s="21">
        <v>3.61</v>
      </c>
      <c r="F10" s="22">
        <v>1655000</v>
      </c>
      <c r="G10" s="747">
        <f>175000+180000+190000+200000</f>
        <v>745000</v>
      </c>
      <c r="H10" s="748" t="s">
        <v>923</v>
      </c>
      <c r="I10" s="748">
        <v>39692</v>
      </c>
      <c r="J10" s="747">
        <v>27508</v>
      </c>
      <c r="K10" s="747">
        <v>175000</v>
      </c>
      <c r="L10" s="229">
        <v>0</v>
      </c>
      <c r="M10" s="229">
        <v>0</v>
      </c>
    </row>
    <row r="11" spans="2:13" ht="15.75">
      <c r="B11" s="3" t="s">
        <v>924</v>
      </c>
      <c r="C11" s="746">
        <v>39036</v>
      </c>
      <c r="D11" s="746">
        <v>42614</v>
      </c>
      <c r="E11" s="21">
        <v>3.62</v>
      </c>
      <c r="F11" s="22">
        <v>1660000</v>
      </c>
      <c r="G11" s="747">
        <f>F11-140000-150000-155000-160000</f>
        <v>1055000</v>
      </c>
      <c r="H11" s="748" t="s">
        <v>923</v>
      </c>
      <c r="I11" s="748">
        <v>39692</v>
      </c>
      <c r="J11" s="747">
        <v>32831</v>
      </c>
      <c r="K11" s="747">
        <v>165000</v>
      </c>
      <c r="L11" s="229">
        <v>6300</v>
      </c>
      <c r="M11" s="229">
        <v>175000</v>
      </c>
    </row>
    <row r="12" spans="2:13" ht="15.75">
      <c r="B12" s="3" t="s">
        <v>925</v>
      </c>
      <c r="C12" s="746">
        <v>39036</v>
      </c>
      <c r="D12" s="746">
        <v>42979</v>
      </c>
      <c r="E12" s="21">
        <v>3.74</v>
      </c>
      <c r="F12" s="22">
        <v>325000</v>
      </c>
      <c r="G12" s="747">
        <f>325000-110000</f>
        <v>215000</v>
      </c>
      <c r="H12" s="748" t="s">
        <v>923</v>
      </c>
      <c r="I12" s="748">
        <v>39692</v>
      </c>
      <c r="J12" s="747">
        <v>8058</v>
      </c>
      <c r="K12" s="747">
        <v>30000</v>
      </c>
      <c r="L12" s="229">
        <v>6963</v>
      </c>
      <c r="M12" s="229">
        <v>35000</v>
      </c>
    </row>
    <row r="13" spans="2:13" ht="15.75">
      <c r="B13" s="3" t="s">
        <v>926</v>
      </c>
      <c r="C13" s="746">
        <v>39417</v>
      </c>
      <c r="D13" s="746">
        <v>45901</v>
      </c>
      <c r="E13" s="21">
        <v>4</v>
      </c>
      <c r="F13" s="22">
        <v>2840000</v>
      </c>
      <c r="G13" s="747">
        <f>2840000-85000</f>
        <v>2755000</v>
      </c>
      <c r="H13" s="748" t="s">
        <v>923</v>
      </c>
      <c r="I13" s="748">
        <v>39692</v>
      </c>
      <c r="J13" s="747">
        <v>118334</v>
      </c>
      <c r="K13" s="747">
        <v>35000</v>
      </c>
      <c r="L13" s="229">
        <v>116759</v>
      </c>
      <c r="M13" s="229">
        <v>110000</v>
      </c>
    </row>
    <row r="14" spans="2:13" ht="15.75">
      <c r="B14" s="69" t="s">
        <v>930</v>
      </c>
      <c r="C14" s="372">
        <v>41016</v>
      </c>
      <c r="D14" s="372">
        <v>48092</v>
      </c>
      <c r="E14" s="227">
        <v>2.84</v>
      </c>
      <c r="F14" s="228">
        <v>7525000</v>
      </c>
      <c r="G14" s="229">
        <v>0</v>
      </c>
      <c r="H14" s="748" t="s">
        <v>923</v>
      </c>
      <c r="I14" s="748">
        <v>39692</v>
      </c>
      <c r="J14" s="229">
        <v>72903</v>
      </c>
      <c r="K14" s="229">
        <v>35000</v>
      </c>
      <c r="L14" s="229">
        <v>195158</v>
      </c>
      <c r="M14" s="229">
        <v>315000</v>
      </c>
    </row>
    <row r="15" spans="2:13" ht="15.75">
      <c r="B15" s="69"/>
      <c r="C15" s="372"/>
      <c r="D15" s="372"/>
      <c r="E15" s="227"/>
      <c r="F15" s="228"/>
      <c r="G15" s="229"/>
      <c r="H15" s="230"/>
      <c r="I15" s="230"/>
      <c r="J15" s="229"/>
      <c r="K15" s="229"/>
      <c r="L15" s="229"/>
      <c r="M15" s="229"/>
    </row>
    <row r="16" spans="2:13" ht="15.75">
      <c r="B16" s="69"/>
      <c r="C16" s="372"/>
      <c r="D16" s="372"/>
      <c r="E16" s="227"/>
      <c r="F16" s="228"/>
      <c r="G16" s="229"/>
      <c r="H16" s="230"/>
      <c r="I16" s="230"/>
      <c r="J16" s="229"/>
      <c r="K16" s="229"/>
      <c r="L16" s="229"/>
      <c r="M16" s="229"/>
    </row>
    <row r="17" spans="2:13" ht="15.75">
      <c r="B17" s="69"/>
      <c r="C17" s="372"/>
      <c r="D17" s="372"/>
      <c r="E17" s="227"/>
      <c r="F17" s="228"/>
      <c r="G17" s="229"/>
      <c r="H17" s="230"/>
      <c r="I17" s="230"/>
      <c r="J17" s="229"/>
      <c r="K17" s="229"/>
      <c r="L17" s="229"/>
      <c r="M17" s="229"/>
    </row>
    <row r="18" spans="2:13" ht="15.75">
      <c r="B18" s="69"/>
      <c r="C18" s="372"/>
      <c r="D18" s="372"/>
      <c r="E18" s="227"/>
      <c r="F18" s="228"/>
      <c r="G18" s="229"/>
      <c r="H18" s="230"/>
      <c r="I18" s="230"/>
      <c r="J18" s="229"/>
      <c r="K18" s="229"/>
      <c r="L18" s="229"/>
      <c r="M18" s="229"/>
    </row>
    <row r="19" spans="2:13" ht="15.75">
      <c r="B19" s="69"/>
      <c r="C19" s="372"/>
      <c r="D19" s="372"/>
      <c r="E19" s="227"/>
      <c r="F19" s="228"/>
      <c r="G19" s="229"/>
      <c r="H19" s="230"/>
      <c r="I19" s="230"/>
      <c r="J19" s="229"/>
      <c r="K19" s="229"/>
      <c r="L19" s="229"/>
      <c r="M19" s="229"/>
    </row>
    <row r="20" spans="2:13" ht="15.75">
      <c r="B20" s="231" t="s">
        <v>483</v>
      </c>
      <c r="C20" s="232"/>
      <c r="D20" s="232"/>
      <c r="E20" s="233"/>
      <c r="F20" s="234"/>
      <c r="G20" s="235">
        <f>SUM(G9:G19)</f>
        <v>4865000</v>
      </c>
      <c r="H20" s="236"/>
      <c r="I20" s="236"/>
      <c r="J20" s="235">
        <f>SUM(J9:J19)</f>
        <v>263434</v>
      </c>
      <c r="K20" s="235">
        <f>SUM(K9:K19)</f>
        <v>535000</v>
      </c>
      <c r="L20" s="235">
        <f>SUM(L9:L19)</f>
        <v>325180</v>
      </c>
      <c r="M20" s="235">
        <f>SUM(M9:M19)</f>
        <v>635000</v>
      </c>
    </row>
    <row r="21" spans="2:13" ht="15.75">
      <c r="B21" s="224" t="s">
        <v>484</v>
      </c>
      <c r="C21" s="237"/>
      <c r="D21" s="237"/>
      <c r="E21" s="238"/>
      <c r="F21" s="239"/>
      <c r="G21" s="239"/>
      <c r="H21" s="240"/>
      <c r="I21" s="240"/>
      <c r="J21" s="239"/>
      <c r="K21" s="239"/>
      <c r="L21" s="239"/>
      <c r="M21" s="239"/>
    </row>
    <row r="22" spans="2:13" ht="15.75">
      <c r="B22" s="3" t="s">
        <v>927</v>
      </c>
      <c r="C22" s="746">
        <v>39417</v>
      </c>
      <c r="D22" s="746">
        <v>44501</v>
      </c>
      <c r="E22" s="21">
        <v>4</v>
      </c>
      <c r="F22" s="22">
        <v>3750000</v>
      </c>
      <c r="G22" s="747">
        <f>F22-155000-160000-175000-190000</f>
        <v>3070000</v>
      </c>
      <c r="H22" s="748" t="s">
        <v>921</v>
      </c>
      <c r="I22" s="748">
        <v>39753</v>
      </c>
      <c r="J22" s="747">
        <v>128463</v>
      </c>
      <c r="K22" s="747">
        <v>210000</v>
      </c>
      <c r="L22" s="229">
        <v>120063</v>
      </c>
      <c r="M22" s="229">
        <v>230000</v>
      </c>
    </row>
    <row r="23" spans="2:13" ht="15.75">
      <c r="B23" s="3" t="s">
        <v>928</v>
      </c>
      <c r="C23" s="746">
        <v>39706</v>
      </c>
      <c r="D23" s="746">
        <v>44317</v>
      </c>
      <c r="E23" s="21">
        <v>3.55</v>
      </c>
      <c r="F23" s="22">
        <v>3660000</v>
      </c>
      <c r="G23" s="747">
        <f>F23-265000-240000-245000-70000-55000-60000</f>
        <v>2725000</v>
      </c>
      <c r="H23" s="748" t="s">
        <v>921</v>
      </c>
      <c r="I23" s="748">
        <v>39934</v>
      </c>
      <c r="J23" s="747">
        <v>111110</v>
      </c>
      <c r="K23" s="747">
        <v>315000</v>
      </c>
      <c r="L23" s="229">
        <v>93211</v>
      </c>
      <c r="M23" s="229">
        <v>325000</v>
      </c>
    </row>
    <row r="24" spans="2:13" ht="15.75">
      <c r="B24" s="69" t="s">
        <v>931</v>
      </c>
      <c r="C24" s="372">
        <v>41039</v>
      </c>
      <c r="D24" s="372">
        <v>44501</v>
      </c>
      <c r="E24" s="227">
        <v>2.02</v>
      </c>
      <c r="F24" s="228">
        <v>2055000</v>
      </c>
      <c r="G24" s="229">
        <v>0</v>
      </c>
      <c r="H24" s="748" t="s">
        <v>921</v>
      </c>
      <c r="I24" s="748">
        <v>39934</v>
      </c>
      <c r="J24" s="229">
        <v>19359</v>
      </c>
      <c r="K24" s="229">
        <v>135000</v>
      </c>
      <c r="L24" s="229">
        <v>38688</v>
      </c>
      <c r="M24" s="229">
        <v>200000</v>
      </c>
    </row>
    <row r="25" spans="2:13" ht="15.75">
      <c r="B25" s="69"/>
      <c r="C25" s="372"/>
      <c r="D25" s="372"/>
      <c r="E25" s="227"/>
      <c r="F25" s="228"/>
      <c r="G25" s="229"/>
      <c r="H25" s="230"/>
      <c r="I25" s="230"/>
      <c r="J25" s="229"/>
      <c r="K25" s="229"/>
      <c r="L25" s="229"/>
      <c r="M25" s="229"/>
    </row>
    <row r="26" spans="2:13" ht="15.75">
      <c r="B26" s="69"/>
      <c r="C26" s="372"/>
      <c r="D26" s="372"/>
      <c r="E26" s="227"/>
      <c r="F26" s="228"/>
      <c r="G26" s="229"/>
      <c r="H26" s="230"/>
      <c r="I26" s="230"/>
      <c r="J26" s="229"/>
      <c r="K26" s="229"/>
      <c r="L26" s="229"/>
      <c r="M26" s="229"/>
    </row>
    <row r="27" spans="2:13" ht="15.75">
      <c r="B27" s="69"/>
      <c r="C27" s="372"/>
      <c r="D27" s="372"/>
      <c r="E27" s="227"/>
      <c r="F27" s="228"/>
      <c r="G27" s="229"/>
      <c r="H27" s="230"/>
      <c r="I27" s="230"/>
      <c r="J27" s="229"/>
      <c r="K27" s="229"/>
      <c r="L27" s="229"/>
      <c r="M27" s="229"/>
    </row>
    <row r="28" spans="2:13" ht="15.75">
      <c r="B28" s="69"/>
      <c r="C28" s="372"/>
      <c r="D28" s="372"/>
      <c r="E28" s="227"/>
      <c r="F28" s="228"/>
      <c r="G28" s="229"/>
      <c r="H28" s="230"/>
      <c r="I28" s="230"/>
      <c r="J28" s="229"/>
      <c r="K28" s="229"/>
      <c r="L28" s="229"/>
      <c r="M28" s="229"/>
    </row>
    <row r="29" spans="2:13" ht="15.75">
      <c r="B29" s="69"/>
      <c r="C29" s="372"/>
      <c r="D29" s="372"/>
      <c r="E29" s="227"/>
      <c r="F29" s="228"/>
      <c r="G29" s="229"/>
      <c r="H29" s="230"/>
      <c r="I29" s="230"/>
      <c r="J29" s="229"/>
      <c r="K29" s="229"/>
      <c r="L29" s="229"/>
      <c r="M29" s="229"/>
    </row>
    <row r="30" spans="2:13" ht="15.75">
      <c r="B30" s="69"/>
      <c r="C30" s="372"/>
      <c r="D30" s="372"/>
      <c r="E30" s="227"/>
      <c r="F30" s="228"/>
      <c r="G30" s="229"/>
      <c r="H30" s="230"/>
      <c r="I30" s="230"/>
      <c r="J30" s="229"/>
      <c r="K30" s="229"/>
      <c r="L30" s="229"/>
      <c r="M30" s="229"/>
    </row>
    <row r="31" spans="2:13" ht="15.75">
      <c r="B31" s="69"/>
      <c r="C31" s="372"/>
      <c r="D31" s="372"/>
      <c r="E31" s="227"/>
      <c r="F31" s="228"/>
      <c r="G31" s="229"/>
      <c r="H31" s="230"/>
      <c r="I31" s="230"/>
      <c r="J31" s="229"/>
      <c r="K31" s="229"/>
      <c r="L31" s="229"/>
      <c r="M31" s="229"/>
    </row>
    <row r="32" spans="2:13" ht="15.75">
      <c r="B32" s="231" t="s">
        <v>485</v>
      </c>
      <c r="C32" s="232"/>
      <c r="D32" s="232"/>
      <c r="E32" s="241"/>
      <c r="F32" s="234"/>
      <c r="G32" s="242">
        <f>SUM(G22:G31)</f>
        <v>5795000</v>
      </c>
      <c r="H32" s="236"/>
      <c r="I32" s="236"/>
      <c r="J32" s="242">
        <f>SUM(J22:J31)</f>
        <v>258932</v>
      </c>
      <c r="K32" s="242">
        <f>SUM(K22:K31)</f>
        <v>660000</v>
      </c>
      <c r="L32" s="235">
        <f>SUM(L22:L31)</f>
        <v>251962</v>
      </c>
      <c r="M32" s="242">
        <f>SUM(M22:M31)</f>
        <v>755000</v>
      </c>
    </row>
    <row r="33" spans="2:13" ht="15.75">
      <c r="B33" s="224" t="s">
        <v>486</v>
      </c>
      <c r="C33" s="237"/>
      <c r="D33" s="237"/>
      <c r="E33" s="238"/>
      <c r="F33" s="239"/>
      <c r="G33" s="243"/>
      <c r="H33" s="240"/>
      <c r="I33" s="240"/>
      <c r="J33" s="239"/>
      <c r="K33" s="239"/>
      <c r="L33" s="239"/>
      <c r="M33" s="239"/>
    </row>
    <row r="34" spans="2:13" ht="15.75">
      <c r="B34" s="3" t="s">
        <v>929</v>
      </c>
      <c r="C34" s="746">
        <v>38562</v>
      </c>
      <c r="D34" s="746">
        <v>46447</v>
      </c>
      <c r="E34" s="21">
        <v>2.76</v>
      </c>
      <c r="F34" s="22">
        <v>7207738</v>
      </c>
      <c r="G34" s="747">
        <v>6379362</v>
      </c>
      <c r="H34" s="748" t="s">
        <v>923</v>
      </c>
      <c r="I34" s="748" t="s">
        <v>923</v>
      </c>
      <c r="J34" s="747">
        <v>174525</v>
      </c>
      <c r="K34" s="747">
        <v>225475</v>
      </c>
      <c r="L34" s="229">
        <v>0</v>
      </c>
      <c r="M34" s="229">
        <v>0</v>
      </c>
    </row>
    <row r="35" spans="2:13" ht="15.75">
      <c r="B35" s="69"/>
      <c r="C35" s="372"/>
      <c r="D35" s="372"/>
      <c r="E35" s="227"/>
      <c r="F35" s="228"/>
      <c r="G35" s="229"/>
      <c r="H35" s="230"/>
      <c r="I35" s="230"/>
      <c r="J35" s="229"/>
      <c r="K35" s="229"/>
      <c r="L35" s="229"/>
      <c r="M35" s="229"/>
    </row>
    <row r="36" spans="2:13" ht="15.75">
      <c r="B36" s="69"/>
      <c r="C36" s="372"/>
      <c r="D36" s="372"/>
      <c r="E36" s="227"/>
      <c r="F36" s="228"/>
      <c r="G36" s="229"/>
      <c r="H36" s="230"/>
      <c r="I36" s="230"/>
      <c r="J36" s="229"/>
      <c r="K36" s="229"/>
      <c r="L36" s="229"/>
      <c r="M36" s="229"/>
    </row>
    <row r="37" spans="2:13" ht="15.75">
      <c r="B37" s="69"/>
      <c r="C37" s="372"/>
      <c r="D37" s="372"/>
      <c r="E37" s="227"/>
      <c r="F37" s="228"/>
      <c r="G37" s="229"/>
      <c r="H37" s="230"/>
      <c r="I37" s="230"/>
      <c r="J37" s="229"/>
      <c r="K37" s="229"/>
      <c r="L37" s="229"/>
      <c r="M37" s="229"/>
    </row>
    <row r="38" spans="2:13" ht="15.75">
      <c r="B38" s="69"/>
      <c r="C38" s="372"/>
      <c r="D38" s="372"/>
      <c r="E38" s="227"/>
      <c r="F38" s="228"/>
      <c r="G38" s="229"/>
      <c r="H38" s="230"/>
      <c r="I38" s="230"/>
      <c r="J38" s="229"/>
      <c r="K38" s="229"/>
      <c r="L38" s="229"/>
      <c r="M38" s="229"/>
    </row>
    <row r="39" spans="2:13" ht="15.75">
      <c r="B39" s="69"/>
      <c r="C39" s="372"/>
      <c r="D39" s="372"/>
      <c r="E39" s="227"/>
      <c r="F39" s="228"/>
      <c r="G39" s="229"/>
      <c r="H39" s="230"/>
      <c r="I39" s="230"/>
      <c r="J39" s="229"/>
      <c r="K39" s="229"/>
      <c r="L39" s="229"/>
      <c r="M39" s="229"/>
    </row>
    <row r="40" spans="2:13" ht="15.75">
      <c r="B40" s="69"/>
      <c r="C40" s="372"/>
      <c r="D40" s="372"/>
      <c r="E40" s="227"/>
      <c r="F40" s="228"/>
      <c r="G40" s="229"/>
      <c r="H40" s="230"/>
      <c r="I40" s="230"/>
      <c r="J40" s="229"/>
      <c r="K40" s="229"/>
      <c r="L40" s="229"/>
      <c r="M40" s="229"/>
    </row>
    <row r="41" spans="2:29" ht="15.75">
      <c r="B41" s="69"/>
      <c r="C41" s="372"/>
      <c r="D41" s="372"/>
      <c r="E41" s="227"/>
      <c r="F41" s="228"/>
      <c r="G41" s="229"/>
      <c r="H41" s="230"/>
      <c r="I41" s="230"/>
      <c r="J41" s="229"/>
      <c r="K41" s="229"/>
      <c r="L41" s="229"/>
      <c r="M41" s="229"/>
      <c r="N41" s="32"/>
      <c r="O41" s="32"/>
      <c r="P41" s="32"/>
      <c r="Q41" s="32"/>
      <c r="R41" s="32"/>
      <c r="S41" s="32"/>
      <c r="T41" s="32"/>
      <c r="U41" s="32"/>
      <c r="V41" s="32"/>
      <c r="W41" s="32"/>
      <c r="X41" s="32"/>
      <c r="Y41" s="32"/>
      <c r="Z41" s="32"/>
      <c r="AA41" s="32"/>
      <c r="AB41" s="32"/>
      <c r="AC41" s="32"/>
    </row>
    <row r="42" spans="2:13" ht="15.75">
      <c r="B42" s="231" t="s">
        <v>621</v>
      </c>
      <c r="C42" s="213"/>
      <c r="D42" s="213"/>
      <c r="E42" s="241"/>
      <c r="F42" s="234"/>
      <c r="G42" s="242">
        <f>SUM(G34:G41)</f>
        <v>6379362</v>
      </c>
      <c r="H42" s="234"/>
      <c r="I42" s="234"/>
      <c r="J42" s="242">
        <f>SUM(J34:J41)</f>
        <v>174525</v>
      </c>
      <c r="K42" s="242">
        <f>SUM(K34:K41)</f>
        <v>225475</v>
      </c>
      <c r="L42" s="242">
        <f>SUM(L34:L41)</f>
        <v>0</v>
      </c>
      <c r="M42" s="242">
        <f>SUM(M34:M41)</f>
        <v>0</v>
      </c>
    </row>
    <row r="43" spans="2:13" ht="15.75">
      <c r="B43" s="231" t="s">
        <v>487</v>
      </c>
      <c r="C43" s="213"/>
      <c r="D43" s="213"/>
      <c r="E43" s="213"/>
      <c r="F43" s="234"/>
      <c r="G43" s="242">
        <f>SUM(G20+G32+G42)</f>
        <v>17039362</v>
      </c>
      <c r="H43" s="234"/>
      <c r="I43" s="234"/>
      <c r="J43" s="242">
        <f>SUM(J20+J32+J42)</f>
        <v>696891</v>
      </c>
      <c r="K43" s="242">
        <f>SUM(K20+K32+K42)</f>
        <v>1420475</v>
      </c>
      <c r="L43" s="242">
        <f>SUM(L20+L32+L42)</f>
        <v>577142</v>
      </c>
      <c r="M43" s="242">
        <f>SUM(M20+M32+M42)</f>
        <v>1390000</v>
      </c>
    </row>
    <row r="44" spans="2:13" ht="15.75">
      <c r="B44" s="32"/>
      <c r="C44" s="32"/>
      <c r="D44" s="32"/>
      <c r="E44" s="32"/>
      <c r="F44" s="32"/>
      <c r="G44" s="32"/>
      <c r="H44" s="32"/>
      <c r="I44" s="32"/>
      <c r="J44" s="32"/>
      <c r="K44" s="32"/>
      <c r="L44" s="32"/>
      <c r="M44" s="32"/>
    </row>
    <row r="45" spans="6:13" ht="15.75">
      <c r="F45" s="244"/>
      <c r="G45" s="244"/>
      <c r="J45" s="244"/>
      <c r="K45" s="244"/>
      <c r="L45" s="244"/>
      <c r="M45" s="244"/>
    </row>
    <row r="46" spans="6:14" ht="15.75">
      <c r="F46" s="32"/>
      <c r="H46" s="245"/>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0.95" bottom="0.5" header="0.5" footer="0.25"/>
  <pageSetup blackAndWhite="1" fitToHeight="1" fitToWidth="1" horizontalDpi="120" verticalDpi="120" orientation="landscape" scale="79"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G11" sqref="G11"/>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Paola</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501</v>
      </c>
      <c r="C4" s="8"/>
      <c r="D4" s="8"/>
      <c r="E4" s="8"/>
      <c r="F4" s="8"/>
      <c r="G4" s="8"/>
      <c r="H4" s="8"/>
      <c r="I4" s="8"/>
    </row>
    <row r="5" spans="2:9" ht="15.75">
      <c r="B5" s="4"/>
      <c r="C5" s="16"/>
      <c r="D5" s="16"/>
      <c r="E5" s="16"/>
      <c r="F5" s="16"/>
      <c r="G5" s="16"/>
      <c r="H5" s="16"/>
      <c r="I5" s="16"/>
    </row>
    <row r="6" spans="2:9" ht="15.75">
      <c r="B6" s="9"/>
      <c r="C6" s="9"/>
      <c r="D6" s="9"/>
      <c r="E6" s="9"/>
      <c r="F6" s="12" t="s">
        <v>408</v>
      </c>
      <c r="G6" s="9"/>
      <c r="H6" s="9"/>
      <c r="I6" s="9"/>
    </row>
    <row r="7" spans="2:9" ht="15.75">
      <c r="B7" s="601"/>
      <c r="C7" s="13"/>
      <c r="D7" s="13" t="s">
        <v>488</v>
      </c>
      <c r="E7" s="13" t="s">
        <v>489</v>
      </c>
      <c r="F7" s="13" t="s">
        <v>428</v>
      </c>
      <c r="G7" s="13" t="s">
        <v>491</v>
      </c>
      <c r="H7" s="13" t="s">
        <v>492</v>
      </c>
      <c r="I7" s="13" t="s">
        <v>492</v>
      </c>
    </row>
    <row r="8" spans="2:9" ht="15.75">
      <c r="B8" s="13" t="s">
        <v>268</v>
      </c>
      <c r="C8" s="13" t="s">
        <v>493</v>
      </c>
      <c r="D8" s="13" t="s">
        <v>494</v>
      </c>
      <c r="E8" s="13" t="s">
        <v>478</v>
      </c>
      <c r="F8" s="13" t="s">
        <v>495</v>
      </c>
      <c r="G8" s="13" t="s">
        <v>540</v>
      </c>
      <c r="H8" s="13" t="s">
        <v>496</v>
      </c>
      <c r="I8" s="13" t="s">
        <v>496</v>
      </c>
    </row>
    <row r="9" spans="2:9" ht="15.75">
      <c r="B9" s="14" t="s">
        <v>267</v>
      </c>
      <c r="C9" s="14" t="s">
        <v>475</v>
      </c>
      <c r="D9" s="18" t="s">
        <v>497</v>
      </c>
      <c r="E9" s="14" t="s">
        <v>456</v>
      </c>
      <c r="F9" s="18" t="s">
        <v>570</v>
      </c>
      <c r="G9" s="15" t="str">
        <f>CONCATENATE("Jan 1,",I1-1,"")</f>
        <v>Jan 1,2012</v>
      </c>
      <c r="H9" s="14">
        <f>I1-1</f>
        <v>2012</v>
      </c>
      <c r="I9" s="14">
        <f>I1</f>
        <v>2013</v>
      </c>
    </row>
    <row r="10" spans="2:9" ht="15.75">
      <c r="B10" s="3" t="s">
        <v>932</v>
      </c>
      <c r="C10" s="28">
        <v>38231</v>
      </c>
      <c r="D10" s="23">
        <v>102</v>
      </c>
      <c r="E10" s="21">
        <v>4</v>
      </c>
      <c r="F10" s="22">
        <v>102000</v>
      </c>
      <c r="G10" s="22">
        <v>6974</v>
      </c>
      <c r="H10" s="22">
        <v>7114</v>
      </c>
      <c r="I10" s="22">
        <v>0</v>
      </c>
    </row>
    <row r="11" spans="2:9" ht="15.75">
      <c r="B11" s="3" t="s">
        <v>933</v>
      </c>
      <c r="C11" s="28">
        <v>39274</v>
      </c>
      <c r="D11" s="23">
        <v>120</v>
      </c>
      <c r="E11" s="21">
        <v>4.68</v>
      </c>
      <c r="F11" s="22">
        <v>231500</v>
      </c>
      <c r="G11" s="22">
        <v>151368</v>
      </c>
      <c r="H11" s="22">
        <v>29522</v>
      </c>
      <c r="I11" s="22">
        <v>29522</v>
      </c>
    </row>
    <row r="12" spans="2:9" ht="15.75">
      <c r="B12" s="3" t="s">
        <v>934</v>
      </c>
      <c r="C12" s="28">
        <v>40500</v>
      </c>
      <c r="D12" s="23">
        <v>48</v>
      </c>
      <c r="E12" s="21">
        <v>3.49</v>
      </c>
      <c r="F12" s="22">
        <v>115000</v>
      </c>
      <c r="G12" s="22">
        <v>87637</v>
      </c>
      <c r="H12" s="22">
        <v>31376</v>
      </c>
      <c r="I12" s="22">
        <v>31376</v>
      </c>
    </row>
    <row r="13" spans="2:9" ht="15.75">
      <c r="B13" s="3" t="s">
        <v>935</v>
      </c>
      <c r="C13" s="28">
        <v>40550</v>
      </c>
      <c r="D13" s="23">
        <v>24</v>
      </c>
      <c r="E13" s="21">
        <v>3.45</v>
      </c>
      <c r="F13" s="22">
        <v>45520</v>
      </c>
      <c r="G13" s="22">
        <v>45520</v>
      </c>
      <c r="H13" s="22">
        <v>23946</v>
      </c>
      <c r="I13" s="22">
        <v>23946</v>
      </c>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2" t="s">
        <v>424</v>
      </c>
      <c r="G28" s="27">
        <f>SUM(G10:G27)</f>
        <v>291499</v>
      </c>
      <c r="H28" s="27">
        <f>SUM(H10:H27)</f>
        <v>91958</v>
      </c>
      <c r="I28" s="27">
        <f>SUM(I10:I27)</f>
        <v>84844</v>
      </c>
    </row>
    <row r="29" spans="2:9" ht="16.5" thickTop="1">
      <c r="B29" s="5"/>
      <c r="C29" s="5"/>
      <c r="D29" s="5"/>
      <c r="E29" s="5"/>
      <c r="F29" s="5"/>
      <c r="G29" s="5"/>
      <c r="H29" s="10"/>
      <c r="I29" s="10"/>
    </row>
    <row r="30" spans="2:9" ht="15.75">
      <c r="B30" s="29" t="s">
        <v>1211</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1">
      <selection activeCell="K49" sqref="K49"/>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13" t="s">
        <v>290</v>
      </c>
      <c r="C2" s="813"/>
      <c r="D2" s="813"/>
      <c r="E2" s="813"/>
      <c r="F2" s="813"/>
      <c r="G2" s="813"/>
      <c r="H2" s="813"/>
      <c r="I2" s="813"/>
    </row>
    <row r="3" spans="2:9" ht="15.75">
      <c r="B3" s="813" t="s">
        <v>291</v>
      </c>
      <c r="C3" s="813"/>
      <c r="D3" s="813"/>
      <c r="E3" s="813"/>
      <c r="F3" s="813"/>
      <c r="G3" s="813"/>
      <c r="H3" s="813"/>
      <c r="I3" s="813"/>
    </row>
    <row r="4" spans="2:9" ht="15.75">
      <c r="B4" s="673"/>
      <c r="C4" s="673"/>
      <c r="D4" s="673"/>
      <c r="E4" s="673"/>
      <c r="F4" s="673"/>
      <c r="G4" s="673"/>
      <c r="H4" s="673"/>
      <c r="I4" s="673"/>
    </row>
    <row r="5" spans="2:9" ht="15.75">
      <c r="B5" s="814" t="str">
        <f>CONCATENATE("Budgeted Year: ",inputPrYr!C5,"")</f>
        <v>Budgeted Year: 2013</v>
      </c>
      <c r="C5" s="814"/>
      <c r="D5" s="814"/>
      <c r="E5" s="814"/>
      <c r="F5" s="814"/>
      <c r="G5" s="814"/>
      <c r="H5" s="814"/>
      <c r="I5" s="814"/>
    </row>
    <row r="6" spans="2:9" ht="15.75">
      <c r="B6" s="674"/>
      <c r="C6" s="673"/>
      <c r="D6" s="673"/>
      <c r="E6" s="673"/>
      <c r="F6" s="673"/>
      <c r="G6" s="673"/>
      <c r="H6" s="673"/>
      <c r="I6" s="673"/>
    </row>
    <row r="7" spans="2:9" ht="15.75">
      <c r="B7" s="674" t="str">
        <f>CONCATENATE("Library found in: ",inputPrYr!D2,"")</f>
        <v>Library found in: City of Paola</v>
      </c>
      <c r="C7" s="673"/>
      <c r="D7" s="673"/>
      <c r="E7" s="673"/>
      <c r="F7" s="673"/>
      <c r="G7" s="673"/>
      <c r="H7" s="673"/>
      <c r="I7" s="673"/>
    </row>
    <row r="8" spans="2:9" ht="15.75">
      <c r="B8" s="674" t="str">
        <f>inputPrYr!D3</f>
        <v>Miami County</v>
      </c>
      <c r="C8" s="673"/>
      <c r="D8" s="673"/>
      <c r="E8" s="673"/>
      <c r="F8" s="673"/>
      <c r="G8" s="673"/>
      <c r="H8" s="673"/>
      <c r="I8" s="673"/>
    </row>
    <row r="9" spans="2:9" ht="15.75">
      <c r="B9" s="673"/>
      <c r="C9" s="673"/>
      <c r="D9" s="673"/>
      <c r="E9" s="673"/>
      <c r="F9" s="673"/>
      <c r="G9" s="673"/>
      <c r="H9" s="673"/>
      <c r="I9" s="673"/>
    </row>
    <row r="10" spans="2:9" ht="39" customHeight="1">
      <c r="B10" s="810" t="s">
        <v>292</v>
      </c>
      <c r="C10" s="810"/>
      <c r="D10" s="810"/>
      <c r="E10" s="810"/>
      <c r="F10" s="810"/>
      <c r="G10" s="810"/>
      <c r="H10" s="810"/>
      <c r="I10" s="810"/>
    </row>
    <row r="11" spans="2:9" ht="15.75">
      <c r="B11" s="673"/>
      <c r="C11" s="673"/>
      <c r="D11" s="673"/>
      <c r="E11" s="673"/>
      <c r="F11" s="673"/>
      <c r="G11" s="673"/>
      <c r="H11" s="673"/>
      <c r="I11" s="673"/>
    </row>
    <row r="12" spans="2:9" ht="15.75">
      <c r="B12" s="675" t="s">
        <v>293</v>
      </c>
      <c r="C12" s="673"/>
      <c r="D12" s="673"/>
      <c r="E12" s="673"/>
      <c r="F12" s="673"/>
      <c r="G12" s="673"/>
      <c r="H12" s="673"/>
      <c r="I12" s="673"/>
    </row>
    <row r="13" spans="2:9" ht="15.75">
      <c r="B13" s="673"/>
      <c r="C13" s="673"/>
      <c r="D13" s="673"/>
      <c r="E13" s="676" t="s">
        <v>294</v>
      </c>
      <c r="F13" s="673"/>
      <c r="G13" s="676" t="s">
        <v>295</v>
      </c>
      <c r="H13" s="673"/>
      <c r="I13" s="673"/>
    </row>
    <row r="14" spans="2:9" ht="15.75">
      <c r="B14" s="673"/>
      <c r="C14" s="673"/>
      <c r="D14" s="673"/>
      <c r="E14" s="677">
        <f>inputPrYr!C5-1</f>
        <v>2012</v>
      </c>
      <c r="F14" s="673"/>
      <c r="G14" s="677">
        <f>inputPrYr!C5</f>
        <v>2013</v>
      </c>
      <c r="H14" s="673"/>
      <c r="I14" s="673"/>
    </row>
    <row r="15" spans="2:9" ht="15.75">
      <c r="B15" s="674" t="str">
        <f>'DebtSvs-library'!B56</f>
        <v>Delinquent Tax</v>
      </c>
      <c r="C15" s="673"/>
      <c r="D15" s="673"/>
      <c r="E15" s="678">
        <f>'DebtSvs-library'!D56</f>
        <v>6000</v>
      </c>
      <c r="F15" s="673"/>
      <c r="G15" s="678">
        <f>'DebtSvs-library'!E87</f>
        <v>215779</v>
      </c>
      <c r="H15" s="673"/>
      <c r="I15" s="673"/>
    </row>
    <row r="16" spans="2:9" ht="15.75">
      <c r="B16" s="674" t="str">
        <f>'DebtSvs-library'!B57</f>
        <v>Motor Vehicle Tax</v>
      </c>
      <c r="C16" s="673"/>
      <c r="D16" s="673"/>
      <c r="E16" s="678">
        <f>'DebtSvs-library'!D57</f>
        <v>22000</v>
      </c>
      <c r="F16" s="673"/>
      <c r="G16" s="678">
        <f>'DebtSvs-library'!E57</f>
        <v>20168</v>
      </c>
      <c r="H16" s="673"/>
      <c r="I16" s="673"/>
    </row>
    <row r="17" spans="2:9" ht="15.75">
      <c r="B17" s="674" t="str">
        <f>'DebtSvs-library'!B58</f>
        <v>Recreational Vehicle Tax</v>
      </c>
      <c r="C17" s="673"/>
      <c r="D17" s="673"/>
      <c r="E17" s="678">
        <f>'DebtSvs-library'!D58</f>
        <v>0</v>
      </c>
      <c r="F17" s="673"/>
      <c r="G17" s="678">
        <f>'DebtSvs-library'!E58</f>
        <v>266</v>
      </c>
      <c r="H17" s="673"/>
      <c r="I17" s="673"/>
    </row>
    <row r="18" spans="2:9" ht="15.75">
      <c r="B18" s="674" t="str">
        <f>'DebtSvs-library'!B59</f>
        <v>16/20M Vehicle Tax</v>
      </c>
      <c r="C18" s="673"/>
      <c r="D18" s="673"/>
      <c r="E18" s="678">
        <f>'DebtSvs-library'!D59</f>
        <v>0</v>
      </c>
      <c r="F18" s="673"/>
      <c r="G18" s="678">
        <f>'DebtSvs-library'!E59</f>
        <v>124</v>
      </c>
      <c r="H18" s="673"/>
      <c r="I18" s="673"/>
    </row>
    <row r="19" spans="2:9" ht="15.75">
      <c r="B19" s="674" t="str">
        <f>'DebtSvs-library'!B60</f>
        <v>In Lieu of Tax</v>
      </c>
      <c r="C19" s="673"/>
      <c r="D19" s="673"/>
      <c r="E19" s="678">
        <f>'DebtSvs-library'!D60</f>
        <v>200</v>
      </c>
      <c r="F19" s="673"/>
      <c r="G19" s="678">
        <f>'DebtSvs-library'!E60</f>
        <v>250</v>
      </c>
      <c r="H19" s="673"/>
      <c r="I19" s="673"/>
    </row>
    <row r="20" spans="2:9" ht="15.75">
      <c r="B20" s="673" t="s">
        <v>602</v>
      </c>
      <c r="C20" s="673"/>
      <c r="D20" s="673"/>
      <c r="E20" s="678">
        <v>0</v>
      </c>
      <c r="F20" s="673"/>
      <c r="G20" s="678">
        <v>0</v>
      </c>
      <c r="H20" s="673"/>
      <c r="I20" s="673"/>
    </row>
    <row r="21" spans="2:9" ht="15.75">
      <c r="B21" s="673"/>
      <c r="C21" s="673"/>
      <c r="D21" s="673"/>
      <c r="E21" s="678">
        <v>0</v>
      </c>
      <c r="F21" s="673"/>
      <c r="G21" s="678">
        <v>0</v>
      </c>
      <c r="H21" s="673"/>
      <c r="I21" s="673"/>
    </row>
    <row r="22" spans="2:9" ht="15.75">
      <c r="B22" s="673" t="s">
        <v>296</v>
      </c>
      <c r="C22" s="673"/>
      <c r="D22" s="673"/>
      <c r="E22" s="679">
        <f>SUM(E15:E21)</f>
        <v>28200</v>
      </c>
      <c r="F22" s="673"/>
      <c r="G22" s="679">
        <f>SUM(G15:G21)</f>
        <v>236587</v>
      </c>
      <c r="H22" s="673"/>
      <c r="I22" s="673"/>
    </row>
    <row r="23" spans="2:9" ht="15.75">
      <c r="B23" s="673" t="s">
        <v>297</v>
      </c>
      <c r="C23" s="673"/>
      <c r="D23" s="673"/>
      <c r="E23" s="703">
        <f>G22-E22</f>
        <v>208387</v>
      </c>
      <c r="F23" s="673"/>
      <c r="G23" s="680"/>
      <c r="H23" s="673"/>
      <c r="I23" s="673"/>
    </row>
    <row r="24" spans="2:9" ht="15.75">
      <c r="B24" s="673" t="s">
        <v>298</v>
      </c>
      <c r="C24" s="673"/>
      <c r="D24" s="681" t="str">
        <f>IF((G22-E22)&gt;0,"Qualify","Not Qualify")</f>
        <v>Qualify</v>
      </c>
      <c r="E24" s="673"/>
      <c r="F24" s="673"/>
      <c r="G24" s="673"/>
      <c r="H24" s="673"/>
      <c r="I24" s="673"/>
    </row>
    <row r="25" spans="2:9" ht="15.75">
      <c r="B25" s="673"/>
      <c r="C25" s="673"/>
      <c r="D25" s="673"/>
      <c r="E25" s="673"/>
      <c r="F25" s="673"/>
      <c r="G25" s="673"/>
      <c r="H25" s="673"/>
      <c r="I25" s="673"/>
    </row>
    <row r="26" spans="2:9" ht="15.75">
      <c r="B26" s="675" t="s">
        <v>299</v>
      </c>
      <c r="C26" s="673"/>
      <c r="D26" s="673"/>
      <c r="E26" s="673"/>
      <c r="F26" s="673"/>
      <c r="G26" s="673"/>
      <c r="H26" s="673"/>
      <c r="I26" s="673"/>
    </row>
    <row r="27" spans="2:9" ht="15.75">
      <c r="B27" s="673" t="s">
        <v>300</v>
      </c>
      <c r="C27" s="673"/>
      <c r="D27" s="673"/>
      <c r="E27" s="678">
        <f>summ!D39</f>
        <v>46449708</v>
      </c>
      <c r="F27" s="673"/>
      <c r="G27" s="678">
        <f>summ!F39</f>
        <v>45634271</v>
      </c>
      <c r="H27" s="673"/>
      <c r="I27" s="673"/>
    </row>
    <row r="28" spans="2:9" ht="15.75">
      <c r="B28" s="673" t="s">
        <v>301</v>
      </c>
      <c r="C28" s="673"/>
      <c r="D28" s="673"/>
      <c r="E28" s="682" t="str">
        <f>IF(G27-E27&gt;0,"No","Yes")</f>
        <v>Yes</v>
      </c>
      <c r="F28" s="673"/>
      <c r="G28" s="673"/>
      <c r="H28" s="673"/>
      <c r="I28" s="673"/>
    </row>
    <row r="29" spans="2:9" ht="15.75">
      <c r="B29" s="673" t="s">
        <v>302</v>
      </c>
      <c r="C29" s="673"/>
      <c r="D29" s="673"/>
      <c r="E29" s="676">
        <f>summ!E17</f>
        <v>4.728</v>
      </c>
      <c r="F29" s="673"/>
      <c r="G29" s="683">
        <f>summ!H17</f>
        <v>4.728</v>
      </c>
      <c r="H29" s="673"/>
      <c r="I29" s="673"/>
    </row>
    <row r="30" spans="2:9" ht="15.75">
      <c r="B30" s="673" t="s">
        <v>303</v>
      </c>
      <c r="C30" s="673"/>
      <c r="D30" s="673"/>
      <c r="E30" s="684">
        <f>G29-E29</f>
        <v>0</v>
      </c>
      <c r="F30" s="673"/>
      <c r="G30" s="673"/>
      <c r="H30" s="673"/>
      <c r="I30" s="673"/>
    </row>
    <row r="31" spans="2:9" ht="15.75">
      <c r="B31" s="673" t="s">
        <v>298</v>
      </c>
      <c r="C31" s="673"/>
      <c r="D31" s="685" t="str">
        <f>IF(E30&gt;=0,"Qualify","Not Qualify")</f>
        <v>Qualify</v>
      </c>
      <c r="E31" s="673"/>
      <c r="F31" s="673"/>
      <c r="G31" s="673"/>
      <c r="H31" s="673"/>
      <c r="I31" s="673"/>
    </row>
    <row r="32" spans="2:9" ht="15.75">
      <c r="B32" s="673"/>
      <c r="C32" s="673"/>
      <c r="D32" s="673"/>
      <c r="E32" s="673"/>
      <c r="F32" s="673"/>
      <c r="G32" s="673"/>
      <c r="H32" s="673"/>
      <c r="I32" s="673"/>
    </row>
    <row r="33" spans="2:9" ht="15.75">
      <c r="B33" s="673" t="s">
        <v>304</v>
      </c>
      <c r="C33" s="673"/>
      <c r="D33" s="673"/>
      <c r="E33" s="673"/>
      <c r="F33" s="686" t="str">
        <f>IF(D24="Not Qualify",IF(D31="Not Qualify",IF(D31="Not Qualify","Not Qualify","Qualify"),"Qualify"),"Qualify")</f>
        <v>Qualify</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10" t="s">
        <v>305</v>
      </c>
      <c r="C36" s="810"/>
      <c r="D36" s="810"/>
      <c r="E36" s="810"/>
      <c r="F36" s="810"/>
      <c r="G36" s="810"/>
      <c r="H36" s="810"/>
      <c r="I36" s="810"/>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87" t="s">
        <v>449</v>
      </c>
      <c r="F40" s="688">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11" t="s">
        <v>306</v>
      </c>
      <c r="C43" s="812"/>
      <c r="D43" s="812"/>
      <c r="E43" s="812"/>
      <c r="F43" s="812"/>
      <c r="G43" s="812"/>
      <c r="H43" s="812"/>
      <c r="I43" s="812"/>
    </row>
    <row r="44" spans="2:9" ht="15.75">
      <c r="B44" s="673"/>
      <c r="C44" s="673"/>
      <c r="D44" s="673"/>
      <c r="E44" s="673"/>
      <c r="F44" s="673"/>
      <c r="G44" s="673"/>
      <c r="H44" s="673"/>
      <c r="I44" s="673"/>
    </row>
    <row r="45" spans="2:9" ht="15.75">
      <c r="B45" s="689" t="s">
        <v>350</v>
      </c>
      <c r="C45" s="673"/>
      <c r="D45" s="673"/>
      <c r="E45" s="673"/>
      <c r="F45" s="673"/>
      <c r="G45" s="673"/>
      <c r="H45" s="673"/>
      <c r="I45" s="673"/>
    </row>
    <row r="46" spans="2:9" ht="15.75">
      <c r="B46" s="689" t="str">
        <f>CONCATENATE("sources in your ",G14," library fund is not equal to or greater than the amount from the same")</f>
        <v>sources in your 2013 library fund is not equal to or greater than the amount from the same</v>
      </c>
      <c r="C46" s="673"/>
      <c r="D46" s="673"/>
      <c r="E46" s="673"/>
      <c r="F46" s="673"/>
      <c r="G46" s="673"/>
      <c r="H46" s="673"/>
      <c r="I46" s="673"/>
    </row>
    <row r="47" spans="2:9" ht="15.75">
      <c r="B47" s="689" t="str">
        <f>CONCATENATE("sources in ",E14,".")</f>
        <v>sources in 2012.</v>
      </c>
      <c r="C47" s="671"/>
      <c r="D47" s="671"/>
      <c r="E47" s="671"/>
      <c r="F47" s="671"/>
      <c r="G47" s="671"/>
      <c r="H47" s="671"/>
      <c r="I47" s="671"/>
    </row>
    <row r="48" spans="2:9" ht="15.75">
      <c r="B48" s="671"/>
      <c r="C48" s="671"/>
      <c r="D48" s="671"/>
      <c r="E48" s="671"/>
      <c r="F48" s="671"/>
      <c r="G48" s="671"/>
      <c r="H48" s="671"/>
      <c r="I48" s="671"/>
    </row>
    <row r="49" spans="2:9" ht="15.75">
      <c r="B49" s="689" t="s">
        <v>351</v>
      </c>
      <c r="C49" s="689"/>
      <c r="D49" s="690"/>
      <c r="E49" s="690"/>
      <c r="F49" s="690"/>
      <c r="G49" s="690"/>
      <c r="H49" s="690"/>
      <c r="I49" s="690"/>
    </row>
    <row r="50" spans="2:9" ht="15.75">
      <c r="B50" s="689" t="s">
        <v>352</v>
      </c>
      <c r="C50" s="689"/>
      <c r="D50" s="690"/>
      <c r="E50" s="690"/>
      <c r="F50" s="690"/>
      <c r="G50" s="690"/>
      <c r="H50" s="690"/>
      <c r="I50" s="690"/>
    </row>
    <row r="51" spans="2:9" ht="15.75">
      <c r="B51" s="689" t="s">
        <v>353</v>
      </c>
      <c r="C51" s="689"/>
      <c r="D51" s="690"/>
      <c r="E51" s="690"/>
      <c r="F51" s="690"/>
      <c r="G51" s="690"/>
      <c r="H51" s="690"/>
      <c r="I51" s="690"/>
    </row>
    <row r="52" spans="2:9" ht="15">
      <c r="B52" s="690"/>
      <c r="C52" s="690"/>
      <c r="D52" s="690"/>
      <c r="E52" s="690"/>
      <c r="F52" s="690"/>
      <c r="G52" s="690"/>
      <c r="H52" s="690"/>
      <c r="I52" s="690"/>
    </row>
    <row r="53" spans="2:9" ht="15.75">
      <c r="B53" s="691" t="s">
        <v>354</v>
      </c>
      <c r="C53" s="690"/>
      <c r="D53" s="690"/>
      <c r="E53" s="690"/>
      <c r="F53" s="690"/>
      <c r="G53" s="690"/>
      <c r="H53" s="690"/>
      <c r="I53" s="690"/>
    </row>
    <row r="54" spans="2:9" ht="15">
      <c r="B54" s="690"/>
      <c r="C54" s="690"/>
      <c r="D54" s="690"/>
      <c r="E54" s="690"/>
      <c r="F54" s="690"/>
      <c r="G54" s="690"/>
      <c r="H54" s="690"/>
      <c r="I54" s="690"/>
    </row>
    <row r="55" spans="2:9" ht="15.75">
      <c r="B55" s="689" t="s">
        <v>355</v>
      </c>
      <c r="C55" s="690"/>
      <c r="D55" s="690"/>
      <c r="E55" s="690"/>
      <c r="F55" s="690"/>
      <c r="G55" s="690"/>
      <c r="H55" s="690"/>
      <c r="I55" s="690"/>
    </row>
    <row r="56" spans="2:9" ht="15.75">
      <c r="B56" s="689" t="s">
        <v>356</v>
      </c>
      <c r="C56" s="690"/>
      <c r="D56" s="690"/>
      <c r="E56" s="690"/>
      <c r="F56" s="690"/>
      <c r="G56" s="690"/>
      <c r="H56" s="690"/>
      <c r="I56" s="690"/>
    </row>
    <row r="57" spans="2:9" ht="15">
      <c r="B57" s="690"/>
      <c r="C57" s="690"/>
      <c r="D57" s="690"/>
      <c r="E57" s="690"/>
      <c r="F57" s="690"/>
      <c r="G57" s="690"/>
      <c r="H57" s="690"/>
      <c r="I57" s="690"/>
    </row>
    <row r="58" spans="2:9" ht="15.75">
      <c r="B58" s="691" t="s">
        <v>357</v>
      </c>
      <c r="C58" s="689"/>
      <c r="D58" s="689"/>
      <c r="E58" s="689"/>
      <c r="F58" s="689"/>
      <c r="G58" s="690"/>
      <c r="H58" s="690"/>
      <c r="I58" s="690"/>
    </row>
    <row r="59" spans="2:9" ht="15.75">
      <c r="B59" s="689"/>
      <c r="C59" s="689"/>
      <c r="D59" s="689"/>
      <c r="E59" s="689"/>
      <c r="F59" s="689"/>
      <c r="G59" s="690"/>
      <c r="H59" s="690"/>
      <c r="I59" s="690"/>
    </row>
    <row r="60" spans="2:9" ht="15.75">
      <c r="B60" s="689" t="s">
        <v>358</v>
      </c>
      <c r="C60" s="689"/>
      <c r="D60" s="689"/>
      <c r="E60" s="689"/>
      <c r="F60" s="689"/>
      <c r="G60" s="690"/>
      <c r="H60" s="690"/>
      <c r="I60" s="690"/>
    </row>
    <row r="61" spans="2:9" ht="15.75">
      <c r="B61" s="689" t="s">
        <v>359</v>
      </c>
      <c r="C61" s="689"/>
      <c r="D61" s="689"/>
      <c r="E61" s="689"/>
      <c r="F61" s="689"/>
      <c r="G61" s="690"/>
      <c r="H61" s="690"/>
      <c r="I61" s="690"/>
    </row>
    <row r="62" spans="2:9" ht="15.75">
      <c r="B62" s="689" t="s">
        <v>360</v>
      </c>
      <c r="C62" s="689"/>
      <c r="D62" s="689"/>
      <c r="E62" s="689"/>
      <c r="F62" s="689"/>
      <c r="G62" s="690"/>
      <c r="H62" s="690"/>
      <c r="I62" s="690"/>
    </row>
    <row r="63" spans="2:9" ht="15.75">
      <c r="B63" s="689" t="s">
        <v>361</v>
      </c>
      <c r="C63" s="689"/>
      <c r="D63" s="689"/>
      <c r="E63" s="689"/>
      <c r="F63" s="689"/>
      <c r="G63" s="690"/>
      <c r="H63" s="690"/>
      <c r="I63" s="690"/>
    </row>
    <row r="64" spans="2:9" ht="15">
      <c r="B64" s="692"/>
      <c r="C64" s="692"/>
      <c r="D64" s="692"/>
      <c r="E64" s="692"/>
      <c r="F64" s="692"/>
      <c r="G64" s="690"/>
      <c r="H64" s="690"/>
      <c r="I64" s="690"/>
    </row>
    <row r="65" spans="2:9" ht="15.75">
      <c r="B65" s="689" t="s">
        <v>362</v>
      </c>
      <c r="C65" s="692"/>
      <c r="D65" s="692"/>
      <c r="E65" s="692"/>
      <c r="F65" s="692"/>
      <c r="G65" s="690"/>
      <c r="H65" s="690"/>
      <c r="I65" s="690"/>
    </row>
    <row r="66" spans="2:9" ht="15.75">
      <c r="B66" s="689" t="s">
        <v>363</v>
      </c>
      <c r="C66" s="692"/>
      <c r="D66" s="692"/>
      <c r="E66" s="692"/>
      <c r="F66" s="692"/>
      <c r="G66" s="690"/>
      <c r="H66" s="690"/>
      <c r="I66" s="690"/>
    </row>
    <row r="67" spans="2:9" ht="15">
      <c r="B67" s="692"/>
      <c r="C67" s="692"/>
      <c r="D67" s="692"/>
      <c r="E67" s="692"/>
      <c r="F67" s="692"/>
      <c r="G67" s="690"/>
      <c r="H67" s="690"/>
      <c r="I67" s="690"/>
    </row>
    <row r="68" spans="2:9" ht="15.75">
      <c r="B68" s="689" t="s">
        <v>364</v>
      </c>
      <c r="C68" s="692"/>
      <c r="D68" s="692"/>
      <c r="E68" s="692"/>
      <c r="F68" s="692"/>
      <c r="G68" s="690"/>
      <c r="H68" s="690"/>
      <c r="I68" s="690"/>
    </row>
    <row r="69" spans="2:9" ht="15.75">
      <c r="B69" s="689" t="s">
        <v>365</v>
      </c>
      <c r="C69" s="692"/>
      <c r="D69" s="692"/>
      <c r="E69" s="692"/>
      <c r="F69" s="692"/>
      <c r="G69" s="690"/>
      <c r="H69" s="690"/>
      <c r="I69" s="690"/>
    </row>
    <row r="70" spans="2:9" ht="15">
      <c r="B70" s="692"/>
      <c r="C70" s="692"/>
      <c r="D70" s="692"/>
      <c r="E70" s="692"/>
      <c r="F70" s="692"/>
      <c r="G70" s="690"/>
      <c r="H70" s="690"/>
      <c r="I70" s="690"/>
    </row>
    <row r="71" spans="2:9" ht="15.75">
      <c r="B71" s="691" t="s">
        <v>366</v>
      </c>
      <c r="C71" s="692"/>
      <c r="D71" s="692"/>
      <c r="E71" s="692"/>
      <c r="F71" s="692"/>
      <c r="G71" s="690"/>
      <c r="H71" s="690"/>
      <c r="I71" s="690"/>
    </row>
    <row r="72" spans="2:9" ht="15">
      <c r="B72" s="692"/>
      <c r="C72" s="692"/>
      <c r="D72" s="692"/>
      <c r="E72" s="692"/>
      <c r="F72" s="692"/>
      <c r="G72" s="690"/>
      <c r="H72" s="690"/>
      <c r="I72" s="690"/>
    </row>
    <row r="73" spans="2:9" ht="15.75">
      <c r="B73" s="689" t="s">
        <v>367</v>
      </c>
      <c r="C73" s="692"/>
      <c r="D73" s="692"/>
      <c r="E73" s="692"/>
      <c r="F73" s="692"/>
      <c r="G73" s="690"/>
      <c r="H73" s="690"/>
      <c r="I73" s="690"/>
    </row>
    <row r="74" spans="2:9" ht="15.75">
      <c r="B74" s="689" t="s">
        <v>368</v>
      </c>
      <c r="C74" s="692"/>
      <c r="D74" s="692"/>
      <c r="E74" s="692"/>
      <c r="F74" s="692"/>
      <c r="G74" s="690"/>
      <c r="H74" s="690"/>
      <c r="I74" s="690"/>
    </row>
    <row r="75" spans="2:9" ht="15">
      <c r="B75" s="692"/>
      <c r="C75" s="692"/>
      <c r="D75" s="692"/>
      <c r="E75" s="692"/>
      <c r="F75" s="692"/>
      <c r="G75" s="690"/>
      <c r="H75" s="690"/>
      <c r="I75" s="690"/>
    </row>
    <row r="76" spans="2:9" ht="15.75">
      <c r="B76" s="691" t="s">
        <v>369</v>
      </c>
      <c r="C76" s="692"/>
      <c r="D76" s="692"/>
      <c r="E76" s="692"/>
      <c r="F76" s="692"/>
      <c r="G76" s="690"/>
      <c r="H76" s="690"/>
      <c r="I76" s="690"/>
    </row>
    <row r="77" spans="2:9" ht="15">
      <c r="B77" s="692"/>
      <c r="C77" s="692"/>
      <c r="D77" s="692"/>
      <c r="E77" s="692"/>
      <c r="F77" s="692"/>
      <c r="G77" s="690"/>
      <c r="H77" s="690"/>
      <c r="I77" s="690"/>
    </row>
    <row r="78" spans="2:9" ht="15.75">
      <c r="B78" s="689" t="str">
        <f>CONCATENATE("If the ",G14," municipal budget has not been published and has not been submitted to the County")</f>
        <v>If the 2013 municipal budget has not been published and has not been submitted to the County</v>
      </c>
      <c r="C78" s="692"/>
      <c r="D78" s="692"/>
      <c r="E78" s="692"/>
      <c r="F78" s="692"/>
      <c r="G78" s="690"/>
      <c r="H78" s="690"/>
      <c r="I78" s="690"/>
    </row>
    <row r="79" spans="2:9" ht="15.75">
      <c r="B79" s="689" t="s">
        <v>370</v>
      </c>
      <c r="C79" s="692"/>
      <c r="D79" s="692"/>
      <c r="E79" s="692"/>
      <c r="F79" s="692"/>
      <c r="G79" s="690"/>
      <c r="H79" s="690"/>
      <c r="I79" s="690"/>
    </row>
    <row r="80" spans="2:9" ht="15">
      <c r="B80" s="692"/>
      <c r="C80" s="692"/>
      <c r="D80" s="692"/>
      <c r="E80" s="692"/>
      <c r="F80" s="692"/>
      <c r="G80" s="690"/>
      <c r="H80" s="690"/>
      <c r="I80" s="690"/>
    </row>
    <row r="81" spans="2:9" ht="15.75">
      <c r="B81" s="691" t="s">
        <v>84</v>
      </c>
      <c r="C81" s="692"/>
      <c r="D81" s="692"/>
      <c r="E81" s="692"/>
      <c r="F81" s="692"/>
      <c r="G81" s="690"/>
      <c r="H81" s="690"/>
      <c r="I81" s="690"/>
    </row>
    <row r="82" spans="2:9" ht="15">
      <c r="B82" s="692"/>
      <c r="C82" s="692"/>
      <c r="D82" s="692"/>
      <c r="E82" s="692"/>
      <c r="F82" s="692"/>
      <c r="G82" s="690"/>
      <c r="H82" s="690"/>
      <c r="I82" s="690"/>
    </row>
    <row r="83" spans="2:9" ht="15.75">
      <c r="B83" s="689" t="s">
        <v>371</v>
      </c>
      <c r="C83" s="692"/>
      <c r="D83" s="692"/>
      <c r="E83" s="692"/>
      <c r="F83" s="692"/>
      <c r="G83" s="690"/>
      <c r="H83" s="690"/>
      <c r="I83" s="690"/>
    </row>
    <row r="84" spans="2:9" ht="15.75">
      <c r="B84" s="689" t="str">
        <f>CONCATENATE("Budget Year ",G14," is equal to or greater than that for Current Year Estimate ",E14,".")</f>
        <v>Budget Year 2013 is equal to or greater than that for Current Year Estimate 2012.</v>
      </c>
      <c r="C84" s="692"/>
      <c r="D84" s="692"/>
      <c r="E84" s="692"/>
      <c r="F84" s="692"/>
      <c r="G84" s="690"/>
      <c r="H84" s="690"/>
      <c r="I84" s="690"/>
    </row>
    <row r="85" spans="2:9" ht="15">
      <c r="B85" s="692"/>
      <c r="C85" s="692"/>
      <c r="D85" s="692"/>
      <c r="E85" s="692"/>
      <c r="F85" s="692"/>
      <c r="G85" s="690"/>
      <c r="H85" s="690"/>
      <c r="I85" s="690"/>
    </row>
    <row r="86" spans="2:9" ht="15.75">
      <c r="B86" s="689" t="s">
        <v>372</v>
      </c>
      <c r="C86" s="692"/>
      <c r="D86" s="692"/>
      <c r="E86" s="692"/>
      <c r="F86" s="692"/>
      <c r="G86" s="690"/>
      <c r="H86" s="690"/>
      <c r="I86" s="690"/>
    </row>
    <row r="87" spans="2:9" ht="15.75">
      <c r="B87" s="689" t="s">
        <v>373</v>
      </c>
      <c r="C87" s="692"/>
      <c r="D87" s="692"/>
      <c r="E87" s="692"/>
      <c r="F87" s="692"/>
      <c r="G87" s="690"/>
      <c r="H87" s="690"/>
      <c r="I87" s="690"/>
    </row>
    <row r="88" spans="2:9" ht="15.75">
      <c r="B88" s="689" t="s">
        <v>374</v>
      </c>
      <c r="C88" s="692"/>
      <c r="D88" s="692"/>
      <c r="E88" s="692"/>
      <c r="F88" s="692"/>
      <c r="G88" s="690"/>
      <c r="H88" s="690"/>
      <c r="I88" s="690"/>
    </row>
    <row r="89" spans="2:9" ht="15.75">
      <c r="B89" s="689" t="str">
        <f>CONCATENATE("purpose for the previous (",E14,") year.")</f>
        <v>purpose for the previous (2012) year.</v>
      </c>
      <c r="C89" s="692"/>
      <c r="D89" s="692"/>
      <c r="E89" s="692"/>
      <c r="F89" s="692"/>
      <c r="G89" s="690"/>
      <c r="H89" s="690"/>
      <c r="I89" s="690"/>
    </row>
    <row r="90" spans="2:9" ht="15">
      <c r="B90" s="692"/>
      <c r="C90" s="692"/>
      <c r="D90" s="692"/>
      <c r="E90" s="692"/>
      <c r="F90" s="692"/>
      <c r="G90" s="690"/>
      <c r="H90" s="690"/>
      <c r="I90" s="690"/>
    </row>
    <row r="91" spans="2:9" ht="15.75">
      <c r="B91" s="689" t="str">
        <f>CONCATENATE("Next, look to see if delinquent tax for ",G14," is budgeted. Often this line is budgeted at $0 or left")</f>
        <v>Next, look to see if delinquent tax for 2013 is budgeted. Often this line is budgeted at $0 or left</v>
      </c>
      <c r="C91" s="692"/>
      <c r="D91" s="692"/>
      <c r="E91" s="692"/>
      <c r="F91" s="692"/>
      <c r="G91" s="690"/>
      <c r="H91" s="690"/>
      <c r="I91" s="690"/>
    </row>
    <row r="92" spans="2:9" ht="15.75">
      <c r="B92" s="689" t="s">
        <v>375</v>
      </c>
      <c r="C92" s="692"/>
      <c r="D92" s="692"/>
      <c r="E92" s="692"/>
      <c r="F92" s="692"/>
      <c r="G92" s="690"/>
      <c r="H92" s="690"/>
      <c r="I92" s="690"/>
    </row>
    <row r="93" spans="2:9" ht="15.75">
      <c r="B93" s="689" t="s">
        <v>376</v>
      </c>
      <c r="C93" s="692"/>
      <c r="D93" s="692"/>
      <c r="E93" s="692"/>
      <c r="F93" s="692"/>
      <c r="G93" s="690"/>
      <c r="H93" s="690"/>
      <c r="I93" s="690"/>
    </row>
    <row r="94" spans="2:9" ht="15.75">
      <c r="B94" s="689" t="s">
        <v>377</v>
      </c>
      <c r="C94" s="692"/>
      <c r="D94" s="692"/>
      <c r="E94" s="692"/>
      <c r="F94" s="692"/>
      <c r="G94" s="690"/>
      <c r="H94" s="690"/>
      <c r="I94" s="690"/>
    </row>
    <row r="95" spans="2:9" ht="15">
      <c r="B95" s="692"/>
      <c r="C95" s="692"/>
      <c r="D95" s="692"/>
      <c r="E95" s="692"/>
      <c r="F95" s="692"/>
      <c r="G95" s="690"/>
      <c r="H95" s="690"/>
      <c r="I95" s="690"/>
    </row>
    <row r="96" spans="2:9" ht="15.75">
      <c r="B96" s="691" t="s">
        <v>378</v>
      </c>
      <c r="C96" s="692"/>
      <c r="D96" s="692"/>
      <c r="E96" s="692"/>
      <c r="F96" s="692"/>
      <c r="G96" s="690"/>
      <c r="H96" s="690"/>
      <c r="I96" s="690"/>
    </row>
    <row r="97" spans="2:9" ht="15">
      <c r="B97" s="692"/>
      <c r="C97" s="692"/>
      <c r="D97" s="692"/>
      <c r="E97" s="692"/>
      <c r="F97" s="692"/>
      <c r="G97" s="690"/>
      <c r="H97" s="690"/>
      <c r="I97" s="690"/>
    </row>
    <row r="98" spans="2:9" ht="15.75">
      <c r="B98" s="689" t="s">
        <v>379</v>
      </c>
      <c r="C98" s="692"/>
      <c r="D98" s="692"/>
      <c r="E98" s="692"/>
      <c r="F98" s="692"/>
      <c r="G98" s="690"/>
      <c r="H98" s="690"/>
      <c r="I98" s="690"/>
    </row>
    <row r="99" spans="2:9" ht="15.75">
      <c r="B99" s="689" t="s">
        <v>380</v>
      </c>
      <c r="C99" s="692"/>
      <c r="D99" s="692"/>
      <c r="E99" s="692"/>
      <c r="F99" s="692"/>
      <c r="G99" s="690"/>
      <c r="H99" s="690"/>
      <c r="I99" s="690"/>
    </row>
    <row r="100" spans="2:9" ht="15">
      <c r="B100" s="692"/>
      <c r="C100" s="692"/>
      <c r="D100" s="692"/>
      <c r="E100" s="692"/>
      <c r="F100" s="692"/>
      <c r="G100" s="690"/>
      <c r="H100" s="690"/>
      <c r="I100" s="690"/>
    </row>
    <row r="101" spans="2:9" ht="15.75">
      <c r="B101" s="689" t="s">
        <v>381</v>
      </c>
      <c r="C101" s="692"/>
      <c r="D101" s="692"/>
      <c r="E101" s="692"/>
      <c r="F101" s="692"/>
      <c r="G101" s="690"/>
      <c r="H101" s="690"/>
      <c r="I101" s="690"/>
    </row>
    <row r="102" spans="2:9" ht="15.75">
      <c r="B102" s="689" t="s">
        <v>382</v>
      </c>
      <c r="C102" s="692"/>
      <c r="D102" s="692"/>
      <c r="E102" s="692"/>
      <c r="F102" s="692"/>
      <c r="G102" s="690"/>
      <c r="H102" s="690"/>
      <c r="I102" s="690"/>
    </row>
    <row r="103" spans="2:9" ht="15.75">
      <c r="B103" s="689" t="s">
        <v>383</v>
      </c>
      <c r="C103" s="692"/>
      <c r="D103" s="692"/>
      <c r="E103" s="692"/>
      <c r="F103" s="692"/>
      <c r="G103" s="690"/>
      <c r="H103" s="690"/>
      <c r="I103" s="690"/>
    </row>
    <row r="104" spans="2:9" ht="15.75">
      <c r="B104" s="689" t="s">
        <v>384</v>
      </c>
      <c r="C104" s="692"/>
      <c r="D104" s="692"/>
      <c r="E104" s="692"/>
      <c r="F104" s="692"/>
      <c r="G104" s="690"/>
      <c r="H104" s="690"/>
      <c r="I104" s="690"/>
    </row>
    <row r="105" spans="2:9" ht="15.75">
      <c r="B105" s="727" t="s">
        <v>724</v>
      </c>
      <c r="C105" s="728"/>
      <c r="D105" s="728"/>
      <c r="E105" s="728"/>
      <c r="F105" s="728"/>
      <c r="G105" s="690"/>
      <c r="H105" s="690"/>
      <c r="I105" s="690"/>
    </row>
    <row r="108" ht="15">
      <c r="G108" s="69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horizontalCentered="1"/>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8">
      <selection activeCell="C87" sqref="C87"/>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c r="C3" s="47"/>
      <c r="D3" s="47"/>
      <c r="E3" s="136"/>
    </row>
    <row r="4" spans="2:5" ht="15.75">
      <c r="B4" s="386" t="s">
        <v>505</v>
      </c>
      <c r="C4" s="248"/>
      <c r="D4" s="248"/>
      <c r="E4" s="248"/>
    </row>
    <row r="5" spans="2:5" ht="15.75">
      <c r="B5" s="171" t="s">
        <v>435</v>
      </c>
      <c r="C5" s="704" t="s">
        <v>388</v>
      </c>
      <c r="D5" s="705" t="s">
        <v>389</v>
      </c>
      <c r="E5" s="144" t="s">
        <v>390</v>
      </c>
    </row>
    <row r="6" spans="2:5" ht="15.75">
      <c r="B6" s="529" t="str">
        <f>inputPrYr!B17</f>
        <v>General - Fund 01</v>
      </c>
      <c r="C6" s="223" t="str">
        <f>CONCATENATE("Actual for ",E1-2,"")</f>
        <v>Actual for 2011</v>
      </c>
      <c r="D6" s="223" t="str">
        <f>CONCATENATE("Estimate for ",E1-1,"")</f>
        <v>Estimate for 2012</v>
      </c>
      <c r="E6" s="208" t="str">
        <f>CONCATENATE("Year for ",E1,"")</f>
        <v>Year for 2013</v>
      </c>
    </row>
    <row r="7" spans="2:5" ht="15.75">
      <c r="B7" s="250" t="s">
        <v>564</v>
      </c>
      <c r="C7" s="251">
        <v>742314</v>
      </c>
      <c r="D7" s="253">
        <f>C112</f>
        <v>705903</v>
      </c>
      <c r="E7" s="226">
        <f>D112</f>
        <v>609943</v>
      </c>
    </row>
    <row r="8" spans="2:5" ht="15.75">
      <c r="B8" s="254" t="s">
        <v>566</v>
      </c>
      <c r="C8" s="159"/>
      <c r="D8" s="159"/>
      <c r="E8" s="87"/>
    </row>
    <row r="9" spans="2:5" ht="15.75">
      <c r="B9" s="250" t="s">
        <v>436</v>
      </c>
      <c r="C9" s="255">
        <v>1108662</v>
      </c>
      <c r="D9" s="253">
        <v>1090000</v>
      </c>
      <c r="E9" s="257" t="s">
        <v>425</v>
      </c>
    </row>
    <row r="10" spans="2:5" ht="15.75">
      <c r="B10" s="250" t="s">
        <v>437</v>
      </c>
      <c r="C10" s="255">
        <v>37454</v>
      </c>
      <c r="D10" s="255">
        <v>36000</v>
      </c>
      <c r="E10" s="258">
        <v>35000</v>
      </c>
    </row>
    <row r="11" spans="2:5" ht="15.75">
      <c r="B11" s="250" t="s">
        <v>438</v>
      </c>
      <c r="C11" s="255">
        <v>105096</v>
      </c>
      <c r="D11" s="255">
        <v>112000</v>
      </c>
      <c r="E11" s="226">
        <f>mvalloc!D7</f>
        <v>106677</v>
      </c>
    </row>
    <row r="12" spans="2:5" ht="15.75">
      <c r="B12" s="250" t="s">
        <v>439</v>
      </c>
      <c r="C12" s="255"/>
      <c r="D12" s="255"/>
      <c r="E12" s="226">
        <f>mvalloc!E7</f>
        <v>1407</v>
      </c>
    </row>
    <row r="13" spans="2:5" ht="15.75">
      <c r="B13" s="250" t="s">
        <v>537</v>
      </c>
      <c r="C13" s="255"/>
      <c r="D13" s="255"/>
      <c r="E13" s="226">
        <f>mvalloc!F7</f>
        <v>658</v>
      </c>
    </row>
    <row r="14" spans="2:5" ht="15.75">
      <c r="B14" s="250" t="s">
        <v>538</v>
      </c>
      <c r="C14" s="255"/>
      <c r="D14" s="255"/>
      <c r="E14" s="226">
        <f>inputOth!E16</f>
        <v>0</v>
      </c>
    </row>
    <row r="15" spans="2:5" ht="15.75">
      <c r="B15" s="250" t="s">
        <v>602</v>
      </c>
      <c r="C15" s="255"/>
      <c r="D15" s="255"/>
      <c r="E15" s="226">
        <f>inputOth!E42</f>
        <v>0</v>
      </c>
    </row>
    <row r="16" spans="2:5" ht="15.75">
      <c r="B16" s="250" t="s">
        <v>603</v>
      </c>
      <c r="C16" s="255"/>
      <c r="D16" s="255"/>
      <c r="E16" s="226">
        <f>inputOth!E43</f>
        <v>0</v>
      </c>
    </row>
    <row r="17" spans="2:5" ht="15.75">
      <c r="B17" s="749" t="s">
        <v>936</v>
      </c>
      <c r="C17" s="255">
        <v>6489</v>
      </c>
      <c r="D17" s="255">
        <v>6000</v>
      </c>
      <c r="E17" s="258">
        <v>6000</v>
      </c>
    </row>
    <row r="18" spans="2:5" ht="15.75">
      <c r="B18" s="749" t="s">
        <v>937</v>
      </c>
      <c r="C18" s="255">
        <v>11917</v>
      </c>
      <c r="D18" s="255">
        <v>11000</v>
      </c>
      <c r="E18" s="258">
        <v>11000</v>
      </c>
    </row>
    <row r="19" spans="2:5" ht="15.75">
      <c r="B19" s="749" t="s">
        <v>938</v>
      </c>
      <c r="C19" s="255">
        <v>658742</v>
      </c>
      <c r="D19" s="255">
        <v>655000</v>
      </c>
      <c r="E19" s="258">
        <v>640000</v>
      </c>
    </row>
    <row r="20" spans="2:5" ht="15.75">
      <c r="B20" s="749" t="s">
        <v>939</v>
      </c>
      <c r="C20" s="255">
        <v>452405</v>
      </c>
      <c r="D20" s="255">
        <v>430000</v>
      </c>
      <c r="E20" s="258">
        <v>425000</v>
      </c>
    </row>
    <row r="21" spans="2:5" ht="15.75">
      <c r="B21" s="749" t="s">
        <v>940</v>
      </c>
      <c r="C21" s="255">
        <v>443100</v>
      </c>
      <c r="D21" s="255">
        <v>430000</v>
      </c>
      <c r="E21" s="258">
        <v>432000</v>
      </c>
    </row>
    <row r="22" spans="2:5" ht="15.75">
      <c r="B22" s="749" t="s">
        <v>941</v>
      </c>
      <c r="C22" s="255">
        <f>978+24357+29342+48030+1055</f>
        <v>103762</v>
      </c>
      <c r="D22" s="255">
        <f>800+22000+27000+35000+700</f>
        <v>85500</v>
      </c>
      <c r="E22" s="258">
        <f>800+22000+27000+30000+1000</f>
        <v>80800</v>
      </c>
    </row>
    <row r="23" spans="2:5" ht="15.75">
      <c r="B23" s="749" t="s">
        <v>942</v>
      </c>
      <c r="C23" s="255">
        <f>283606+93891+1017</f>
        <v>378514</v>
      </c>
      <c r="D23" s="255">
        <v>400000</v>
      </c>
      <c r="E23" s="258">
        <v>400000</v>
      </c>
    </row>
    <row r="24" spans="2:5" ht="15.75">
      <c r="B24" s="749" t="s">
        <v>943</v>
      </c>
      <c r="C24" s="255">
        <f>24705+15045+6442+1600+10517</f>
        <v>58309</v>
      </c>
      <c r="D24" s="255">
        <f>30000+12500+1000+15000+500+7500</f>
        <v>66500</v>
      </c>
      <c r="E24" s="258">
        <f>30000+2000+12500+19000+500+5000</f>
        <v>69000</v>
      </c>
    </row>
    <row r="25" spans="2:5" ht="15.75">
      <c r="B25" s="749" t="s">
        <v>944</v>
      </c>
      <c r="C25" s="255">
        <f>27795+800</f>
        <v>28595</v>
      </c>
      <c r="D25" s="255">
        <f>26500+1000</f>
        <v>27500</v>
      </c>
      <c r="E25" s="258">
        <f>26500+1000</f>
        <v>27500</v>
      </c>
    </row>
    <row r="26" spans="2:5" ht="15.75">
      <c r="B26" s="749" t="s">
        <v>945</v>
      </c>
      <c r="C26" s="255">
        <v>16840</v>
      </c>
      <c r="D26" s="255">
        <v>16000</v>
      </c>
      <c r="E26" s="258">
        <v>15000</v>
      </c>
    </row>
    <row r="27" spans="2:5" ht="15.75">
      <c r="B27" s="749" t="s">
        <v>946</v>
      </c>
      <c r="C27" s="255">
        <v>37222</v>
      </c>
      <c r="D27" s="255">
        <v>70000</v>
      </c>
      <c r="E27" s="258">
        <v>70000</v>
      </c>
    </row>
    <row r="28" spans="2:5" ht="15.75">
      <c r="B28" s="749" t="s">
        <v>947</v>
      </c>
      <c r="C28" s="255">
        <v>165</v>
      </c>
      <c r="D28" s="255">
        <v>0</v>
      </c>
      <c r="E28" s="258">
        <v>0</v>
      </c>
    </row>
    <row r="29" spans="2:5" ht="15.75">
      <c r="B29" s="251" t="s">
        <v>949</v>
      </c>
      <c r="C29" s="255">
        <v>840</v>
      </c>
      <c r="D29" s="255">
        <v>1000</v>
      </c>
      <c r="E29" s="258">
        <v>1000</v>
      </c>
    </row>
    <row r="30" spans="2:5" ht="15.75">
      <c r="B30" s="251" t="s">
        <v>948</v>
      </c>
      <c r="C30" s="255"/>
      <c r="D30" s="255">
        <v>7500</v>
      </c>
      <c r="E30" s="258">
        <v>28125</v>
      </c>
    </row>
    <row r="31" spans="2:5" ht="15.75">
      <c r="B31" s="251"/>
      <c r="C31" s="255"/>
      <c r="D31" s="255"/>
      <c r="E31" s="258"/>
    </row>
    <row r="32" spans="2:5" ht="15.75">
      <c r="B32" s="251"/>
      <c r="C32" s="255"/>
      <c r="D32" s="255"/>
      <c r="E32" s="258"/>
    </row>
    <row r="33" spans="2:5" ht="15.75">
      <c r="B33" s="251"/>
      <c r="C33" s="255"/>
      <c r="D33" s="255"/>
      <c r="E33" s="258"/>
    </row>
    <row r="34" spans="2:5" ht="15.75">
      <c r="B34" s="251"/>
      <c r="C34" s="255"/>
      <c r="D34" s="255"/>
      <c r="E34" s="258"/>
    </row>
    <row r="35" spans="2:5" ht="15.75">
      <c r="B35" s="251"/>
      <c r="C35" s="255"/>
      <c r="D35" s="255"/>
      <c r="E35" s="258"/>
    </row>
    <row r="36" spans="2:5" ht="15.75">
      <c r="B36" s="251"/>
      <c r="C36" s="255"/>
      <c r="D36" s="255"/>
      <c r="E36" s="258"/>
    </row>
    <row r="37" spans="2:5" ht="15.75">
      <c r="B37" s="251"/>
      <c r="C37" s="255"/>
      <c r="D37" s="255"/>
      <c r="E37" s="258"/>
    </row>
    <row r="38" spans="2:5" ht="15.75">
      <c r="B38" s="251"/>
      <c r="C38" s="255"/>
      <c r="D38" s="255"/>
      <c r="E38" s="258"/>
    </row>
    <row r="39" spans="2:5" ht="15.75">
      <c r="B39" s="251"/>
      <c r="C39" s="255"/>
      <c r="D39" s="255"/>
      <c r="E39" s="258"/>
    </row>
    <row r="40" spans="2:5" ht="15.75">
      <c r="B40" s="251"/>
      <c r="C40" s="255"/>
      <c r="D40" s="255"/>
      <c r="E40" s="258"/>
    </row>
    <row r="41" spans="2:5" ht="15.75">
      <c r="B41" s="251"/>
      <c r="C41" s="255"/>
      <c r="D41" s="255"/>
      <c r="E41" s="258"/>
    </row>
    <row r="42" spans="2:5" ht="15.75">
      <c r="B42" s="251"/>
      <c r="C42" s="255"/>
      <c r="D42" s="255"/>
      <c r="E42" s="258"/>
    </row>
    <row r="43" spans="2:5" ht="15.75">
      <c r="B43" s="251"/>
      <c r="C43" s="255"/>
      <c r="D43" s="255"/>
      <c r="E43" s="258"/>
    </row>
    <row r="44" spans="2:5" ht="15.75">
      <c r="B44" s="251"/>
      <c r="C44" s="255"/>
      <c r="D44" s="255"/>
      <c r="E44" s="258"/>
    </row>
    <row r="45" spans="2:5" ht="15.75">
      <c r="B45" s="251"/>
      <c r="C45" s="255"/>
      <c r="D45" s="255"/>
      <c r="E45" s="258"/>
    </row>
    <row r="46" spans="2:5" ht="15.75">
      <c r="B46" s="251"/>
      <c r="C46" s="255"/>
      <c r="D46" s="255"/>
      <c r="E46" s="258"/>
    </row>
    <row r="47" spans="2:5" ht="15.75">
      <c r="B47" s="251"/>
      <c r="C47" s="255"/>
      <c r="D47" s="255"/>
      <c r="E47" s="258"/>
    </row>
    <row r="48" spans="2:5" ht="15.75">
      <c r="B48" s="251"/>
      <c r="C48" s="255"/>
      <c r="D48" s="255"/>
      <c r="E48" s="258"/>
    </row>
    <row r="49" spans="2:5" ht="15.75">
      <c r="B49" s="251"/>
      <c r="C49" s="255"/>
      <c r="D49" s="255"/>
      <c r="E49" s="258"/>
    </row>
    <row r="50" spans="2:5" ht="15.75">
      <c r="B50" s="251"/>
      <c r="C50" s="255"/>
      <c r="D50" s="255"/>
      <c r="E50" s="258"/>
    </row>
    <row r="51" spans="2:5" ht="15.75">
      <c r="B51" s="251"/>
      <c r="C51" s="255"/>
      <c r="D51" s="255"/>
      <c r="E51" s="258"/>
    </row>
    <row r="52" spans="2:5" ht="15.75">
      <c r="B52" s="251" t="s">
        <v>441</v>
      </c>
      <c r="C52" s="255">
        <v>16359</v>
      </c>
      <c r="D52" s="255">
        <v>19000</v>
      </c>
      <c r="E52" s="258">
        <v>20000</v>
      </c>
    </row>
    <row r="53" spans="2:5" ht="15.75">
      <c r="B53" s="259" t="s">
        <v>442</v>
      </c>
      <c r="C53" s="255">
        <v>21353</v>
      </c>
      <c r="D53" s="255">
        <v>12000</v>
      </c>
      <c r="E53" s="258">
        <v>12000</v>
      </c>
    </row>
    <row r="54" spans="2:5" ht="15.75">
      <c r="B54" s="159" t="s">
        <v>1203</v>
      </c>
      <c r="C54" s="255">
        <v>9057</v>
      </c>
      <c r="D54" s="255">
        <f>2500+1500</f>
        <v>4000</v>
      </c>
      <c r="E54" s="258">
        <f>2500+1500</f>
        <v>4000</v>
      </c>
    </row>
    <row r="55" spans="2:5" ht="15.75">
      <c r="B55" s="250" t="s">
        <v>1152</v>
      </c>
      <c r="C55" s="260">
        <f>IF(C56*0.1&lt;C54,"Exceed 10% Rule","")</f>
      </c>
      <c r="D55" s="260">
        <f>IF(D56*0.1&lt;D54,"Exceed 10% Rule","")</f>
      </c>
      <c r="E55" s="297">
        <f>IF(E56*0.1+E118&lt;E54,"Exceed 10% Rule","")</f>
      </c>
    </row>
    <row r="56" spans="2:7" ht="15.75">
      <c r="B56" s="262" t="s">
        <v>443</v>
      </c>
      <c r="C56" s="264">
        <f>SUM(C9:C54)</f>
        <v>3494881</v>
      </c>
      <c r="D56" s="264">
        <f>SUM(D9:D54)</f>
        <v>3479000</v>
      </c>
      <c r="E56" s="265">
        <f>SUM(E10:E54)</f>
        <v>2385167</v>
      </c>
      <c r="G56" s="765"/>
    </row>
    <row r="57" spans="2:7" ht="15.75">
      <c r="B57" s="262" t="s">
        <v>448</v>
      </c>
      <c r="C57" s="264">
        <f>C7+C56</f>
        <v>4237195</v>
      </c>
      <c r="D57" s="264">
        <f>D7+D56</f>
        <v>4184903</v>
      </c>
      <c r="E57" s="265">
        <f>E7+E56</f>
        <v>2995110</v>
      </c>
      <c r="G57" s="765"/>
    </row>
    <row r="58" spans="2:5" ht="15.75">
      <c r="B58" s="47"/>
      <c r="C58" s="47"/>
      <c r="D58" s="47"/>
      <c r="E58" s="47"/>
    </row>
    <row r="59" spans="2:5" ht="15.75">
      <c r="B59" s="136" t="s">
        <v>457</v>
      </c>
      <c r="C59" s="171">
        <f>IF(inputPrYr!D19&gt;0,8,7)</f>
        <v>8</v>
      </c>
      <c r="D59" s="172"/>
      <c r="E59" s="172"/>
    </row>
    <row r="60" spans="2:5" ht="15.75">
      <c r="B60" s="172"/>
      <c r="C60" s="172"/>
      <c r="D60" s="172"/>
      <c r="E60" s="172"/>
    </row>
    <row r="61" spans="2:5" ht="15.75">
      <c r="B61" s="197" t="str">
        <f>inputPrYr!D2</f>
        <v>City of Paola</v>
      </c>
      <c r="C61" s="47"/>
      <c r="D61" s="47"/>
      <c r="E61" s="169"/>
    </row>
    <row r="62" spans="2:5" ht="15.75">
      <c r="B62" s="47"/>
      <c r="C62" s="47"/>
      <c r="D62" s="47"/>
      <c r="E62" s="136"/>
    </row>
    <row r="63" spans="2:5" ht="15.75">
      <c r="B63" s="266" t="s">
        <v>504</v>
      </c>
      <c r="C63" s="219"/>
      <c r="D63" s="219"/>
      <c r="E63" s="219"/>
    </row>
    <row r="64" spans="2:5" ht="15.75">
      <c r="B64" s="47" t="s">
        <v>435</v>
      </c>
      <c r="C64" s="704" t="s">
        <v>388</v>
      </c>
      <c r="D64" s="705" t="s">
        <v>389</v>
      </c>
      <c r="E64" s="144" t="s">
        <v>390</v>
      </c>
    </row>
    <row r="65" spans="2:5" ht="15.75">
      <c r="B65" s="77" t="str">
        <f>inputPrYr!B17</f>
        <v>General - Fund 01</v>
      </c>
      <c r="C65" s="223" t="str">
        <f>CONCATENATE("Actual for ",E1-2,"")</f>
        <v>Actual for 2011</v>
      </c>
      <c r="D65" s="223" t="str">
        <f>CONCATENATE("Estimate for ",E1-1,"")</f>
        <v>Estimate for 2012</v>
      </c>
      <c r="E65" s="208" t="str">
        <f>CONCATENATE("Year for ",E1,"")</f>
        <v>Year for 2013</v>
      </c>
    </row>
    <row r="66" spans="2:5" ht="15.75">
      <c r="B66" s="267" t="s">
        <v>448</v>
      </c>
      <c r="C66" s="253">
        <f>C57</f>
        <v>4237195</v>
      </c>
      <c r="D66" s="253">
        <f>D57</f>
        <v>4184903</v>
      </c>
      <c r="E66" s="226">
        <f>E57</f>
        <v>2995110</v>
      </c>
    </row>
    <row r="67" spans="2:5" ht="15.75">
      <c r="B67" s="254" t="s">
        <v>450</v>
      </c>
      <c r="C67" s="159"/>
      <c r="D67" s="159"/>
      <c r="E67" s="87"/>
    </row>
    <row r="68" spans="2:6" ht="15.75">
      <c r="B68" s="250" t="str">
        <f>GenDetail!A7</f>
        <v>Administration Department 001</v>
      </c>
      <c r="C68" s="268">
        <f>GenDetail!B14</f>
        <v>498928</v>
      </c>
      <c r="D68" s="268">
        <f>GenDetail!C14</f>
        <v>508416</v>
      </c>
      <c r="E68" s="82">
        <f>GenDetail!D14</f>
        <v>524300</v>
      </c>
      <c r="F68" s="269"/>
    </row>
    <row r="69" spans="2:6" ht="15.75">
      <c r="B69" s="250" t="str">
        <f>GenDetail!A15</f>
        <v>Police Department 002</v>
      </c>
      <c r="C69" s="268">
        <f>GenDetail!B21</f>
        <v>1324162</v>
      </c>
      <c r="D69" s="268">
        <f>GenDetail!C21</f>
        <v>1355820</v>
      </c>
      <c r="E69" s="82">
        <f>GenDetail!D21</f>
        <v>1444250</v>
      </c>
      <c r="F69" s="269"/>
    </row>
    <row r="70" spans="2:5" ht="15.75">
      <c r="B70" s="250" t="str">
        <f>GenDetail!A22</f>
        <v>Fire Department 003</v>
      </c>
      <c r="C70" s="268">
        <f>GenDetail!B28</f>
        <v>271635</v>
      </c>
      <c r="D70" s="268">
        <f>GenDetail!C28</f>
        <v>281322</v>
      </c>
      <c r="E70" s="82">
        <f>GenDetail!D28</f>
        <v>299872</v>
      </c>
    </row>
    <row r="71" spans="2:5" ht="15.75">
      <c r="B71" s="250" t="str">
        <f>GenDetail!A29</f>
        <v>Municipal Court Department 004</v>
      </c>
      <c r="C71" s="268">
        <f>GenDetail!B35</f>
        <v>188690</v>
      </c>
      <c r="D71" s="268">
        <f>GenDetail!C35</f>
        <v>187775</v>
      </c>
      <c r="E71" s="82">
        <f>GenDetail!D35</f>
        <v>197900</v>
      </c>
    </row>
    <row r="72" spans="2:5" ht="15.75">
      <c r="B72" s="250" t="str">
        <f>GenDetail!A36</f>
        <v>Street Department 005</v>
      </c>
      <c r="C72" s="268">
        <f>GenDetail!B44</f>
        <v>662546</v>
      </c>
      <c r="D72" s="268">
        <f>GenDetail!C44</f>
        <v>623276</v>
      </c>
      <c r="E72" s="82">
        <f>GenDetail!D44</f>
        <v>661976</v>
      </c>
    </row>
    <row r="73" spans="2:5" ht="15.75">
      <c r="B73" s="250" t="str">
        <f>GenDetail!A45</f>
        <v>Parks &amp; Recreation Department 006</v>
      </c>
      <c r="C73" s="268">
        <f>GenDetail!B52</f>
        <v>321599</v>
      </c>
      <c r="D73" s="268">
        <f>GenDetail!C52</f>
        <v>337164</v>
      </c>
      <c r="E73" s="82">
        <f>GenDetail!D52</f>
        <v>344200</v>
      </c>
    </row>
    <row r="74" spans="2:5" ht="15.75">
      <c r="B74" s="250" t="str">
        <f>GenDetail!A53</f>
        <v>Cemetery Department 007</v>
      </c>
      <c r="C74" s="268">
        <f>GenDetail!B59</f>
        <v>55220</v>
      </c>
      <c r="D74" s="268">
        <f>GenDetail!C59</f>
        <v>66037</v>
      </c>
      <c r="E74" s="82">
        <f>GenDetail!D59</f>
        <v>67550</v>
      </c>
    </row>
    <row r="75" spans="2:5" ht="15.75">
      <c r="B75" s="250" t="str">
        <f>GenDetail!A60</f>
        <v>Community Development Department 009</v>
      </c>
      <c r="C75" s="268">
        <f>GenDetail!B66</f>
        <v>205534</v>
      </c>
      <c r="D75" s="268">
        <f>GenDetail!C66</f>
        <v>211550</v>
      </c>
      <c r="E75" s="82">
        <f>GenDetail!D66</f>
        <v>222250</v>
      </c>
    </row>
    <row r="76" spans="2:5" ht="15.75">
      <c r="B76" s="250">
        <f>GenDetail!A78</f>
        <v>0</v>
      </c>
      <c r="C76" s="268">
        <f>GenDetail!B84</f>
        <v>0</v>
      </c>
      <c r="D76" s="268">
        <f>GenDetail!C84</f>
        <v>0</v>
      </c>
      <c r="E76" s="82">
        <f>GenDetail!D84</f>
        <v>0</v>
      </c>
    </row>
    <row r="77" spans="2:5" ht="15.75">
      <c r="B77" s="250">
        <f>GenDetail!A85</f>
        <v>0</v>
      </c>
      <c r="C77" s="268">
        <f>GenDetail!B91</f>
        <v>0</v>
      </c>
      <c r="D77" s="268">
        <f>GenDetail!C91</f>
        <v>0</v>
      </c>
      <c r="E77" s="82">
        <f>GenDetail!D91</f>
        <v>0</v>
      </c>
    </row>
    <row r="78" spans="2:5" ht="15.75">
      <c r="B78" s="250">
        <f>GenDetail!A92</f>
        <v>0</v>
      </c>
      <c r="C78" s="268">
        <f>GenDetail!B98</f>
        <v>0</v>
      </c>
      <c r="D78" s="268">
        <f>GenDetail!C98</f>
        <v>0</v>
      </c>
      <c r="E78" s="82">
        <f>GenDetail!D98</f>
        <v>0</v>
      </c>
    </row>
    <row r="79" spans="2:5" ht="15.75">
      <c r="B79" s="250">
        <f>GenDetail!A99</f>
        <v>0</v>
      </c>
      <c r="C79" s="268">
        <f>GenDetail!B104</f>
        <v>0</v>
      </c>
      <c r="D79" s="268">
        <f>GenDetail!C104</f>
        <v>0</v>
      </c>
      <c r="E79" s="82">
        <f>GenDetail!D104</f>
        <v>0</v>
      </c>
    </row>
    <row r="80" spans="2:5" ht="15.75">
      <c r="B80" s="250">
        <f>GenDetail!A105</f>
        <v>0</v>
      </c>
      <c r="C80" s="268">
        <f>GenDetail!B111</f>
        <v>0</v>
      </c>
      <c r="D80" s="268">
        <f>GenDetail!C111</f>
        <v>0</v>
      </c>
      <c r="E80" s="82">
        <f>GenDetail!D111</f>
        <v>0</v>
      </c>
    </row>
    <row r="81" spans="2:5" ht="15.75">
      <c r="B81" s="250">
        <f>GenDetail!A112</f>
        <v>0</v>
      </c>
      <c r="C81" s="268">
        <f>GenDetail!B118</f>
        <v>0</v>
      </c>
      <c r="D81" s="268">
        <f>GenDetail!C118</f>
        <v>0</v>
      </c>
      <c r="E81" s="82">
        <f>GenDetail!D118</f>
        <v>0</v>
      </c>
    </row>
    <row r="82" spans="2:5" ht="15.75">
      <c r="B82" s="250">
        <f>GenDetail!A119</f>
        <v>0</v>
      </c>
      <c r="C82" s="268">
        <f>GenDetail!B125</f>
        <v>0</v>
      </c>
      <c r="D82" s="268">
        <f>GenDetail!C125</f>
        <v>0</v>
      </c>
      <c r="E82" s="82">
        <f>GenDetail!D125</f>
        <v>0</v>
      </c>
    </row>
    <row r="83" spans="2:5" ht="15.75">
      <c r="B83" s="250">
        <f>GenDetail!A126</f>
        <v>0</v>
      </c>
      <c r="C83" s="268">
        <f>GenDetail!B132</f>
        <v>0</v>
      </c>
      <c r="D83" s="268">
        <f>GenDetail!C132</f>
        <v>0</v>
      </c>
      <c r="E83" s="82">
        <f>GenDetail!D132</f>
        <v>0</v>
      </c>
    </row>
    <row r="84" spans="2:5" ht="15.75">
      <c r="B84" s="270" t="s">
        <v>159</v>
      </c>
      <c r="C84" s="374">
        <f>SUM(C68:C83)</f>
        <v>3528314</v>
      </c>
      <c r="D84" s="374">
        <f>SUM(D68:D83)</f>
        <v>3571360</v>
      </c>
      <c r="E84" s="285">
        <f>SUM(E68:E83)</f>
        <v>3762298</v>
      </c>
    </row>
    <row r="85" spans="2:5" ht="15.75">
      <c r="B85" s="259" t="s">
        <v>950</v>
      </c>
      <c r="C85" s="255">
        <v>0</v>
      </c>
      <c r="D85" s="255">
        <v>0</v>
      </c>
      <c r="E85" s="258">
        <f>320212+3950</f>
        <v>324162</v>
      </c>
    </row>
    <row r="86" spans="2:5" ht="15.75">
      <c r="B86" s="259"/>
      <c r="C86" s="255"/>
      <c r="D86" s="255"/>
      <c r="E86" s="258"/>
    </row>
    <row r="87" spans="2:5" ht="15.75">
      <c r="B87" s="259"/>
      <c r="C87" s="255"/>
      <c r="D87" s="255"/>
      <c r="E87" s="258"/>
    </row>
    <row r="88" spans="2:5" ht="15.75">
      <c r="B88" s="259"/>
      <c r="C88" s="255"/>
      <c r="D88" s="255"/>
      <c r="E88" s="258"/>
    </row>
    <row r="89" spans="2:5" ht="15.75">
      <c r="B89" s="259"/>
      <c r="C89" s="255"/>
      <c r="D89" s="255"/>
      <c r="E89" s="258"/>
    </row>
    <row r="90" spans="2:5" ht="15.75">
      <c r="B90" s="259"/>
      <c r="C90" s="255"/>
      <c r="D90" s="255"/>
      <c r="E90" s="258"/>
    </row>
    <row r="91" spans="2:5" ht="15.75">
      <c r="B91" s="271"/>
      <c r="C91" s="255"/>
      <c r="D91" s="255"/>
      <c r="E91" s="258"/>
    </row>
    <row r="92" spans="2:5" ht="15.75">
      <c r="B92" s="271"/>
      <c r="C92" s="255"/>
      <c r="D92" s="255"/>
      <c r="E92" s="258"/>
    </row>
    <row r="93" spans="2:5" ht="15.75">
      <c r="B93" s="271"/>
      <c r="C93" s="255"/>
      <c r="D93" s="255"/>
      <c r="E93" s="258"/>
    </row>
    <row r="94" spans="2:5" ht="15.75">
      <c r="B94" s="271"/>
      <c r="C94" s="255"/>
      <c r="D94" s="255"/>
      <c r="E94" s="258"/>
    </row>
    <row r="95" spans="2:5" ht="15.75">
      <c r="B95" s="271"/>
      <c r="C95" s="255"/>
      <c r="D95" s="255"/>
      <c r="E95" s="258"/>
    </row>
    <row r="96" spans="2:5" ht="15.75">
      <c r="B96" s="271"/>
      <c r="C96" s="255"/>
      <c r="D96" s="255"/>
      <c r="E96" s="258"/>
    </row>
    <row r="97" spans="2:5" ht="15.75">
      <c r="B97" s="271"/>
      <c r="C97" s="255"/>
      <c r="D97" s="255"/>
      <c r="E97" s="258"/>
    </row>
    <row r="98" spans="2:5" ht="15.75">
      <c r="B98" s="271"/>
      <c r="C98" s="255"/>
      <c r="D98" s="255"/>
      <c r="E98" s="258"/>
    </row>
    <row r="99" spans="2:5" ht="15.75">
      <c r="B99" s="271"/>
      <c r="C99" s="255"/>
      <c r="D99" s="255"/>
      <c r="E99" s="258"/>
    </row>
    <row r="100" spans="2:5" ht="15.75">
      <c r="B100" s="271"/>
      <c r="C100" s="255"/>
      <c r="D100" s="255"/>
      <c r="E100" s="258"/>
    </row>
    <row r="101" spans="2:5" ht="15.75">
      <c r="B101" s="271"/>
      <c r="C101" s="255"/>
      <c r="D101" s="255"/>
      <c r="E101" s="258"/>
    </row>
    <row r="102" spans="2:10" ht="15.75">
      <c r="B102" s="271"/>
      <c r="C102" s="255"/>
      <c r="D102" s="255"/>
      <c r="E102" s="258"/>
      <c r="G102" s="818" t="str">
        <f>CONCATENATE("Desired Carryover Into ",E1+1,"")</f>
        <v>Desired Carryover Into 2014</v>
      </c>
      <c r="H102" s="819"/>
      <c r="I102" s="819"/>
      <c r="J102" s="820"/>
    </row>
    <row r="103" spans="2:10" ht="15.75">
      <c r="B103" s="271"/>
      <c r="C103" s="255"/>
      <c r="D103" s="255"/>
      <c r="E103" s="258"/>
      <c r="G103" s="534"/>
      <c r="H103" s="531"/>
      <c r="I103" s="531"/>
      <c r="J103" s="535"/>
    </row>
    <row r="104" spans="2:10" ht="15.75">
      <c r="B104" s="271"/>
      <c r="C104" s="255"/>
      <c r="D104" s="255"/>
      <c r="E104" s="258"/>
      <c r="G104" s="545" t="s">
        <v>1140</v>
      </c>
      <c r="H104" s="539"/>
      <c r="I104" s="539"/>
      <c r="J104" s="533">
        <v>0</v>
      </c>
    </row>
    <row r="105" spans="2:10" ht="15.75">
      <c r="B105" s="271"/>
      <c r="C105" s="255"/>
      <c r="D105" s="255"/>
      <c r="E105" s="258"/>
      <c r="G105" s="549" t="s">
        <v>1141</v>
      </c>
      <c r="H105" s="530"/>
      <c r="I105" s="532"/>
      <c r="J105" s="548">
        <f>IF(J104=0,"",ROUND((J104+E118-G117)/inputOth!E7*1000,3)-general!G122)</f>
      </c>
    </row>
    <row r="106" spans="2:10" ht="15.75">
      <c r="B106" s="271"/>
      <c r="C106" s="255"/>
      <c r="D106" s="255"/>
      <c r="E106" s="258"/>
      <c r="G106" s="616" t="str">
        <f>CONCATENATE("",E1," Total Expenditures Must Be:")</f>
        <v>2013 Total Expenditures Must Be:</v>
      </c>
      <c r="H106" s="617"/>
      <c r="I106" s="618"/>
      <c r="J106" s="547">
        <f>IF(J104&gt;0,IF(E115&lt;E57,IF(J104=G117,E115,((J104-G117)*(1-D117))+E57),E115+(J104-G117)),0)</f>
        <v>0</v>
      </c>
    </row>
    <row r="107" spans="2:10" ht="15.75">
      <c r="B107" s="271"/>
      <c r="C107" s="255"/>
      <c r="D107" s="255"/>
      <c r="E107" s="258"/>
      <c r="G107" s="620" t="s">
        <v>287</v>
      </c>
      <c r="H107" s="621"/>
      <c r="I107" s="622"/>
      <c r="J107" s="654">
        <f>IF(J104&gt;0,J106-E115,0)</f>
        <v>0</v>
      </c>
    </row>
    <row r="108" spans="2:5" ht="15.75">
      <c r="B108" s="272" t="s">
        <v>1202</v>
      </c>
      <c r="C108" s="255">
        <v>0</v>
      </c>
      <c r="D108" s="255">
        <v>0</v>
      </c>
      <c r="E108" s="273">
        <f>nhood!E6</f>
      </c>
    </row>
    <row r="109" spans="2:10" ht="15.75">
      <c r="B109" s="272" t="s">
        <v>1203</v>
      </c>
      <c r="C109" s="255">
        <f>914+1690+20+11+292+51</f>
        <v>2978</v>
      </c>
      <c r="D109" s="255">
        <f>750+1500+1000+300+50</f>
        <v>3600</v>
      </c>
      <c r="E109" s="258">
        <f>4500+2000+300</f>
        <v>6800</v>
      </c>
      <c r="G109" s="818" t="str">
        <f>CONCATENATE("Projected Carryover Into ",E1+1,"")</f>
        <v>Projected Carryover Into 2014</v>
      </c>
      <c r="H109" s="827"/>
      <c r="I109" s="827"/>
      <c r="J109" s="828"/>
    </row>
    <row r="110" spans="2:10" ht="15.75">
      <c r="B110" s="272" t="s">
        <v>1153</v>
      </c>
      <c r="C110" s="260">
        <f>IF(C111*0.1&lt;C109,"Exceed 10% Rule","")</f>
      </c>
      <c r="D110" s="260">
        <f>IF(D111*0.1&lt;D109,"Exceed 10% Rule","")</f>
      </c>
      <c r="E110" s="297">
        <f>IF(E111*0.1&lt;E109,"Exceed 10% Rule","")</f>
      </c>
      <c r="G110" s="534"/>
      <c r="H110" s="531"/>
      <c r="I110" s="531"/>
      <c r="J110" s="535"/>
    </row>
    <row r="111" spans="2:10" ht="15.75">
      <c r="B111" s="262" t="s">
        <v>454</v>
      </c>
      <c r="C111" s="264">
        <f>SUM(C84:C109)</f>
        <v>3531292</v>
      </c>
      <c r="D111" s="264">
        <f>SUM(D84:D109)</f>
        <v>3574960</v>
      </c>
      <c r="E111" s="265">
        <f>SUM(E84:E109)</f>
        <v>4093260</v>
      </c>
      <c r="G111" s="536">
        <f>D112</f>
        <v>609943</v>
      </c>
      <c r="H111" s="537" t="str">
        <f>CONCATENATE("",E1-1," Ending Cash Balance (est.)")</f>
        <v>2012 Ending Cash Balance (est.)</v>
      </c>
      <c r="I111" s="538"/>
      <c r="J111" s="535"/>
    </row>
    <row r="112" spans="2:10" ht="15.75">
      <c r="B112" s="150" t="s">
        <v>565</v>
      </c>
      <c r="C112" s="268">
        <f>C57-C111</f>
        <v>705903</v>
      </c>
      <c r="D112" s="268">
        <f>D57-D111</f>
        <v>609943</v>
      </c>
      <c r="E112" s="257" t="s">
        <v>425</v>
      </c>
      <c r="G112" s="536">
        <f>E56</f>
        <v>2385167</v>
      </c>
      <c r="H112" s="539" t="str">
        <f>CONCATENATE("",E1," Non-AV Receipts (est.)")</f>
        <v>2013 Non-AV Receipts (est.)</v>
      </c>
      <c r="I112" s="538"/>
      <c r="J112" s="535"/>
    </row>
    <row r="113" spans="2:11" ht="15.75">
      <c r="B113" s="136" t="str">
        <f>CONCATENATE("",E1-2,"/",E1-1," Budget Authority Amount:")</f>
        <v>2011/2012 Budget Authority Amount:</v>
      </c>
      <c r="C113" s="239">
        <f>inputOth!B60</f>
        <v>4017134</v>
      </c>
      <c r="D113" s="239">
        <f>inputPrYr!D17</f>
        <v>3964319</v>
      </c>
      <c r="E113" s="257" t="s">
        <v>425</v>
      </c>
      <c r="F113" s="274"/>
      <c r="G113" s="540">
        <f>IF(E117&gt;0,E116,E118)</f>
        <v>1098150</v>
      </c>
      <c r="H113" s="539" t="str">
        <f>CONCATENATE("",E1," Ad Valorem Tax (est.)")</f>
        <v>2013 Ad Valorem Tax (est.)</v>
      </c>
      <c r="I113" s="538"/>
      <c r="J113" s="535"/>
      <c r="K113" s="634" t="str">
        <f>IF(G113=E118,"","Note: Does not include Delinquent Taxes")</f>
        <v>Note: Does not include Delinquent Taxes</v>
      </c>
    </row>
    <row r="114" spans="2:10" ht="15.75">
      <c r="B114" s="136"/>
      <c r="C114" s="821" t="s">
        <v>1091</v>
      </c>
      <c r="D114" s="822"/>
      <c r="E114" s="258"/>
      <c r="F114" s="433">
        <f>IF(E111/0.95-E111&lt;E114,"Exceeds 5%","")</f>
      </c>
      <c r="G114" s="536">
        <f>SUM(G111:G113)</f>
        <v>4093260</v>
      </c>
      <c r="H114" s="539" t="str">
        <f>CONCATENATE("Total ",E1," Resources Available")</f>
        <v>Total 2013 Resources Available</v>
      </c>
      <c r="I114" s="538"/>
      <c r="J114" s="535"/>
    </row>
    <row r="115" spans="2:10" ht="15.75">
      <c r="B115" s="525" t="str">
        <f>CONCATENATE(C132,"     ",D132)</f>
        <v>     </v>
      </c>
      <c r="C115" s="823" t="s">
        <v>158</v>
      </c>
      <c r="D115" s="824"/>
      <c r="E115" s="226">
        <f>E111+E114</f>
        <v>4093260</v>
      </c>
      <c r="G115" s="541"/>
      <c r="H115" s="539"/>
      <c r="I115" s="539"/>
      <c r="J115" s="535"/>
    </row>
    <row r="116" spans="2:10" ht="15.75">
      <c r="B116" s="525" t="str">
        <f>CONCATENATE(C133,"     ",D133)</f>
        <v>     </v>
      </c>
      <c r="C116" s="275"/>
      <c r="D116" s="169" t="s">
        <v>455</v>
      </c>
      <c r="E116" s="82">
        <f>IF(E115-E57&gt;0,E115-E57,0)</f>
        <v>1098150</v>
      </c>
      <c r="G116" s="540">
        <f>C111*0.05+C111</f>
        <v>3707856.6</v>
      </c>
      <c r="H116" s="539" t="str">
        <f>CONCATENATE("Less ",E1-2," Expenditures + 5%")</f>
        <v>Less 2011 Expenditures + 5%</v>
      </c>
      <c r="I116" s="538"/>
      <c r="J116" s="535"/>
    </row>
    <row r="117" spans="2:10" ht="15.75">
      <c r="B117" s="169"/>
      <c r="C117" s="381" t="s">
        <v>1090</v>
      </c>
      <c r="D117" s="716">
        <f>inputOth!$E$47</f>
        <v>0.06</v>
      </c>
      <c r="E117" s="226">
        <f>ROUND(IF(D117&gt;0,(E116*D117),0),0)</f>
        <v>65889</v>
      </c>
      <c r="G117" s="546">
        <f>G114-G116</f>
        <v>385403.3999999999</v>
      </c>
      <c r="H117" s="542" t="str">
        <f>CONCATENATE("Projected ",E1+1," Carryover (est.)")</f>
        <v>Projected 2014 Carryover (est.)</v>
      </c>
      <c r="I117" s="543"/>
      <c r="J117" s="544"/>
    </row>
    <row r="118" spans="2:5" ht="16.5" thickBot="1">
      <c r="B118" s="47"/>
      <c r="C118" s="825" t="str">
        <f>CONCATENATE("Amount of  ",$E$1-1," Ad Valorem Tax")</f>
        <v>Amount of  2012 Ad Valorem Tax</v>
      </c>
      <c r="D118" s="826"/>
      <c r="E118" s="640">
        <f>E116+E117</f>
        <v>1164039</v>
      </c>
    </row>
    <row r="119" spans="2:10" ht="16.5" thickTop="1">
      <c r="B119" s="47"/>
      <c r="C119" s="47"/>
      <c r="D119" s="47"/>
      <c r="E119" s="47"/>
      <c r="G119" s="815" t="s">
        <v>288</v>
      </c>
      <c r="H119" s="816"/>
      <c r="I119" s="816"/>
      <c r="J119" s="817"/>
    </row>
    <row r="120" spans="2:10" ht="15.75">
      <c r="B120" s="136" t="s">
        <v>457</v>
      </c>
      <c r="C120" s="171" t="str">
        <f>CONCATENATE("",C59,"a")</f>
        <v>8a</v>
      </c>
      <c r="D120" s="172"/>
      <c r="E120" s="172"/>
      <c r="G120" s="624"/>
      <c r="H120" s="625"/>
      <c r="I120" s="626"/>
      <c r="J120" s="627"/>
    </row>
    <row r="121" spans="7:10" ht="15.75">
      <c r="G121" s="628">
        <f>summ!H15</f>
        <v>25.508</v>
      </c>
      <c r="H121" s="625" t="str">
        <f>CONCATENATE("",E1," Fund Mill Rate")</f>
        <v>2013 Fund Mill Rate</v>
      </c>
      <c r="I121" s="626"/>
      <c r="J121" s="627"/>
    </row>
    <row r="122" spans="2:10" ht="15.75">
      <c r="B122" s="106"/>
      <c r="G122" s="629">
        <f>summ!E15</f>
        <v>25.009</v>
      </c>
      <c r="H122" s="625" t="str">
        <f>CONCATENATE("",E1-1," Fund Mill Rate")</f>
        <v>2012 Fund Mill Rate</v>
      </c>
      <c r="I122" s="626"/>
      <c r="J122" s="627"/>
    </row>
    <row r="123" spans="7:10" ht="15.75">
      <c r="G123" s="630">
        <f>summ!H34</f>
        <v>41.808</v>
      </c>
      <c r="H123" s="625" t="str">
        <f>CONCATENATE("Total ",E1," Mill Rate")</f>
        <v>Total 2013 Mill Rate</v>
      </c>
      <c r="I123" s="626"/>
      <c r="J123" s="627"/>
    </row>
    <row r="124" spans="7:10" ht="15.75">
      <c r="G124" s="629">
        <f>summ!E34</f>
        <v>41.309</v>
      </c>
      <c r="H124" s="631" t="str">
        <f>CONCATENATE("Total ",E1-1," Mill Rate")</f>
        <v>Total 2012 Mill Rate</v>
      </c>
      <c r="I124" s="632"/>
      <c r="J124" s="633"/>
    </row>
    <row r="125" spans="2:3" ht="15.75">
      <c r="B125" s="32"/>
      <c r="C125" s="32"/>
    </row>
    <row r="132" spans="3:4" ht="15.75" hidden="1">
      <c r="C132" s="524">
        <f>IF(C111&gt;C113,"See Tab A","")</f>
      </c>
      <c r="D132" s="524">
        <f>IF(D111&gt;D113,"See Tab C","")</f>
      </c>
    </row>
    <row r="133" spans="3:4" ht="15.75" hidden="1">
      <c r="C133" s="524">
        <f>IF(C112&lt;0,"See Tab B","")</f>
      </c>
      <c r="D133" s="524">
        <f>IF(D112&lt;0,"See Tab D","")</f>
      </c>
    </row>
  </sheetData>
  <sheetProtection/>
  <mergeCells count="6">
    <mergeCell ref="G119:J119"/>
    <mergeCell ref="G102:J102"/>
    <mergeCell ref="C114:D114"/>
    <mergeCell ref="C115:D115"/>
    <mergeCell ref="C118:D118"/>
    <mergeCell ref="G109:J109"/>
  </mergeCells>
  <conditionalFormatting sqref="E109">
    <cfRule type="cellIs" priority="2" dxfId="305" operator="greaterThan" stopIfTrue="1">
      <formula>$E$111*0.1</formula>
    </cfRule>
  </conditionalFormatting>
  <conditionalFormatting sqref="E114">
    <cfRule type="cellIs" priority="3" dxfId="305"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05" operator="greaterThan" stopIfTrue="1">
      <formula>$E$56*0.1+E118</formula>
    </cfRule>
  </conditionalFormatting>
  <conditionalFormatting sqref="D112">
    <cfRule type="cellIs" priority="1" dxfId="0" operator="lessThan" stopIfTrue="1">
      <formula>0</formula>
    </cfRule>
  </conditionalFormatting>
  <printOptions horizontalCentered="1"/>
  <pageMargins left="0.5" right="0.5" top="1" bottom="0.5" header="0.5" footer="0.5"/>
  <pageSetup blackAndWhite="1" fitToHeight="2" fitToWidth="1" horizontalDpi="120" verticalDpi="120" orientation="portrait" scale="82"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8"/>
  <sheetViews>
    <sheetView workbookViewId="0" topLeftCell="A35">
      <selection activeCell="D65" sqref="D65"/>
    </sheetView>
  </sheetViews>
  <sheetFormatPr defaultColWidth="8.796875" defaultRowHeight="15"/>
  <cols>
    <col min="1" max="1" width="30.296875" style="32" customWidth="1"/>
    <col min="2" max="3" width="15.796875" style="32" customWidth="1"/>
    <col min="4" max="4" width="16.09765625" style="32" customWidth="1"/>
    <col min="5" max="16384" width="8.8984375" style="32" customWidth="1"/>
  </cols>
  <sheetData>
    <row r="1" spans="1:4" ht="15.75">
      <c r="A1" s="197" t="str">
        <f>inputPrYr!D2</f>
        <v>City of Paola</v>
      </c>
      <c r="B1" s="47"/>
      <c r="C1" s="171"/>
      <c r="D1" s="47">
        <f>inputPrYr!C5</f>
        <v>2013</v>
      </c>
    </row>
    <row r="2" spans="1:4" ht="15.75">
      <c r="A2" s="47"/>
      <c r="B2" s="47"/>
      <c r="C2" s="47"/>
      <c r="D2" s="171"/>
    </row>
    <row r="3" spans="1:4" ht="15.75">
      <c r="A3" s="562"/>
      <c r="B3" s="276"/>
      <c r="C3" s="276"/>
      <c r="D3" s="276"/>
    </row>
    <row r="4" spans="1:4" ht="15.75">
      <c r="A4" s="706" t="s">
        <v>435</v>
      </c>
      <c r="B4" s="277" t="s">
        <v>388</v>
      </c>
      <c r="C4" s="144" t="s">
        <v>389</v>
      </c>
      <c r="D4" s="144" t="s">
        <v>390</v>
      </c>
    </row>
    <row r="5" spans="1:4" ht="15.75">
      <c r="A5" s="562" t="s">
        <v>48</v>
      </c>
      <c r="B5" s="249" t="str">
        <f>CONCATENATE("Actual for ",D1-2,"")</f>
        <v>Actual for 2011</v>
      </c>
      <c r="C5" s="249" t="str">
        <f>CONCATENATE("Estimate for ",D1-1,"")</f>
        <v>Estimate for 2012</v>
      </c>
      <c r="D5" s="249" t="str">
        <f>CONCATENATE("Year for ",D1,"")</f>
        <v>Year for 2013</v>
      </c>
    </row>
    <row r="6" spans="1:4" ht="15.75">
      <c r="A6" s="224" t="s">
        <v>450</v>
      </c>
      <c r="B6" s="87"/>
      <c r="C6" s="87"/>
      <c r="D6" s="87"/>
    </row>
    <row r="7" spans="1:4" ht="15.75">
      <c r="A7" s="750" t="s">
        <v>951</v>
      </c>
      <c r="B7" s="87"/>
      <c r="C7" s="87"/>
      <c r="D7" s="87"/>
    </row>
    <row r="8" spans="1:4" ht="15.75">
      <c r="A8" s="751" t="s">
        <v>458</v>
      </c>
      <c r="B8" s="258">
        <f>115466+5444+2512</f>
        <v>123422</v>
      </c>
      <c r="C8" s="67">
        <v>125853</v>
      </c>
      <c r="D8" s="258">
        <v>128250</v>
      </c>
    </row>
    <row r="9" spans="1:4" ht="15.75">
      <c r="A9" s="751" t="s">
        <v>451</v>
      </c>
      <c r="B9" s="258">
        <f>239649+852</f>
        <v>240501</v>
      </c>
      <c r="C9" s="67">
        <v>252013</v>
      </c>
      <c r="D9" s="258">
        <v>259000</v>
      </c>
    </row>
    <row r="10" spans="1:4" ht="15.75">
      <c r="A10" s="751" t="s">
        <v>452</v>
      </c>
      <c r="B10" s="258">
        <f>17420+14738-139</f>
        <v>32019</v>
      </c>
      <c r="C10" s="67">
        <v>29550</v>
      </c>
      <c r="D10" s="258">
        <v>31750</v>
      </c>
    </row>
    <row r="11" spans="1:4" ht="15.75">
      <c r="A11" s="751" t="s">
        <v>453</v>
      </c>
      <c r="B11" s="258">
        <v>2986</v>
      </c>
      <c r="C11" s="258">
        <v>0</v>
      </c>
      <c r="D11" s="258">
        <v>2000</v>
      </c>
    </row>
    <row r="12" spans="1:4" ht="15.75">
      <c r="A12" s="751" t="s">
        <v>952</v>
      </c>
      <c r="B12" s="258">
        <v>78000</v>
      </c>
      <c r="C12" s="258">
        <v>78000</v>
      </c>
      <c r="D12" s="258">
        <v>78000</v>
      </c>
    </row>
    <row r="13" spans="1:4" ht="15.75">
      <c r="A13" s="751" t="s">
        <v>953</v>
      </c>
      <c r="B13" s="258">
        <v>22000</v>
      </c>
      <c r="C13" s="258">
        <v>23000</v>
      </c>
      <c r="D13" s="258">
        <v>25300</v>
      </c>
    </row>
    <row r="14" spans="1:4" ht="15.75">
      <c r="A14" s="224" t="s">
        <v>408</v>
      </c>
      <c r="B14" s="263">
        <f>SUM(B7:B13)</f>
        <v>498928</v>
      </c>
      <c r="C14" s="263">
        <f>SUM(C8:C13)</f>
        <v>508416</v>
      </c>
      <c r="D14" s="263">
        <f>SUM(D8:D13)</f>
        <v>524300</v>
      </c>
    </row>
    <row r="15" spans="1:4" ht="15.75">
      <c r="A15" s="752" t="s">
        <v>954</v>
      </c>
      <c r="B15" s="197"/>
      <c r="C15" s="197"/>
      <c r="D15" s="197"/>
    </row>
    <row r="16" spans="1:4" ht="15.75">
      <c r="A16" s="751" t="s">
        <v>458</v>
      </c>
      <c r="B16" s="258">
        <f>846547+17572+50262+26954</f>
        <v>941335</v>
      </c>
      <c r="C16" s="67">
        <v>982500</v>
      </c>
      <c r="D16" s="258">
        <v>1035000</v>
      </c>
    </row>
    <row r="17" spans="1:4" ht="15.75">
      <c r="A17" s="751" t="s">
        <v>451</v>
      </c>
      <c r="B17" s="258">
        <f>5025+123244+288-1151</f>
        <v>127406</v>
      </c>
      <c r="C17" s="67">
        <v>128069</v>
      </c>
      <c r="D17" s="258">
        <v>132750</v>
      </c>
    </row>
    <row r="18" spans="1:4" ht="15.75">
      <c r="A18" s="751" t="s">
        <v>452</v>
      </c>
      <c r="B18" s="258">
        <v>109192</v>
      </c>
      <c r="C18" s="67">
        <v>104806</v>
      </c>
      <c r="D18" s="258">
        <v>109700</v>
      </c>
    </row>
    <row r="19" spans="1:4" ht="15.75">
      <c r="A19" s="751" t="s">
        <v>453</v>
      </c>
      <c r="B19" s="258">
        <v>6229</v>
      </c>
      <c r="C19" s="67">
        <v>6245</v>
      </c>
      <c r="D19" s="258">
        <v>16000</v>
      </c>
    </row>
    <row r="20" spans="1:4" ht="15.75">
      <c r="A20" s="751" t="s">
        <v>953</v>
      </c>
      <c r="B20" s="258">
        <v>140000</v>
      </c>
      <c r="C20" s="258">
        <v>134200</v>
      </c>
      <c r="D20" s="258">
        <v>150800</v>
      </c>
    </row>
    <row r="21" spans="1:4" ht="15.75">
      <c r="A21" s="224" t="s">
        <v>408</v>
      </c>
      <c r="B21" s="263">
        <f>SUM(B15:B20)</f>
        <v>1324162</v>
      </c>
      <c r="C21" s="263">
        <f>SUM(C16:C20)</f>
        <v>1355820</v>
      </c>
      <c r="D21" s="263">
        <f>SUM(D16:D20)</f>
        <v>1444250</v>
      </c>
    </row>
    <row r="22" spans="1:4" ht="15.75">
      <c r="A22" s="752" t="s">
        <v>955</v>
      </c>
      <c r="B22" s="197"/>
      <c r="C22" s="197"/>
      <c r="D22" s="197"/>
    </row>
    <row r="23" spans="1:4" ht="15.75">
      <c r="A23" s="751" t="s">
        <v>458</v>
      </c>
      <c r="B23" s="258">
        <f>145947+3619</f>
        <v>149566</v>
      </c>
      <c r="C23" s="67">
        <v>144000</v>
      </c>
      <c r="D23" s="258">
        <v>155000</v>
      </c>
    </row>
    <row r="24" spans="1:4" ht="15.75">
      <c r="A24" s="751" t="s">
        <v>451</v>
      </c>
      <c r="B24" s="258">
        <v>76002</v>
      </c>
      <c r="C24" s="67">
        <v>78122</v>
      </c>
      <c r="D24" s="258">
        <v>83122</v>
      </c>
    </row>
    <row r="25" spans="1:4" ht="15.75">
      <c r="A25" s="751" t="s">
        <v>452</v>
      </c>
      <c r="B25" s="258">
        <v>45405</v>
      </c>
      <c r="C25" s="67">
        <v>57200</v>
      </c>
      <c r="D25" s="258">
        <v>58750</v>
      </c>
    </row>
    <row r="26" spans="1:4" ht="15.75">
      <c r="A26" s="751" t="s">
        <v>453</v>
      </c>
      <c r="B26" s="258">
        <v>662</v>
      </c>
      <c r="C26" s="258">
        <v>2000</v>
      </c>
      <c r="D26" s="258">
        <v>3000</v>
      </c>
    </row>
    <row r="27" spans="1:4" ht="15.75">
      <c r="A27" s="751" t="s">
        <v>956</v>
      </c>
      <c r="B27" s="258">
        <v>0</v>
      </c>
      <c r="C27" s="258">
        <v>0</v>
      </c>
      <c r="D27" s="258">
        <v>0</v>
      </c>
    </row>
    <row r="28" spans="1:4" ht="15.75">
      <c r="A28" s="224" t="s">
        <v>408</v>
      </c>
      <c r="B28" s="263">
        <f>SUM(B23:B27)</f>
        <v>271635</v>
      </c>
      <c r="C28" s="263">
        <f>SUM(C23:C27)</f>
        <v>281322</v>
      </c>
      <c r="D28" s="263">
        <f>SUM(D23:D27)</f>
        <v>299872</v>
      </c>
    </row>
    <row r="29" spans="1:4" ht="15.75">
      <c r="A29" s="752" t="s">
        <v>957</v>
      </c>
      <c r="B29" s="197"/>
      <c r="C29" s="197"/>
      <c r="D29" s="197"/>
    </row>
    <row r="30" spans="1:4" ht="15.75">
      <c r="A30" s="751" t="s">
        <v>458</v>
      </c>
      <c r="B30" s="258">
        <f>31278+30115+45</f>
        <v>61438</v>
      </c>
      <c r="C30" s="67">
        <v>61832</v>
      </c>
      <c r="D30" s="258">
        <v>64300</v>
      </c>
    </row>
    <row r="31" spans="1:4" ht="15.75">
      <c r="A31" s="751" t="s">
        <v>451</v>
      </c>
      <c r="B31" s="258">
        <f>119935+879-2667-569</f>
        <v>117578</v>
      </c>
      <c r="C31" s="67">
        <v>115125</v>
      </c>
      <c r="D31" s="258">
        <v>121500</v>
      </c>
    </row>
    <row r="32" spans="1:4" ht="15.75">
      <c r="A32" s="751" t="s">
        <v>452</v>
      </c>
      <c r="B32" s="258">
        <f>3654-5</f>
        <v>3649</v>
      </c>
      <c r="C32" s="258">
        <v>4168</v>
      </c>
      <c r="D32" s="258">
        <v>5100</v>
      </c>
    </row>
    <row r="33" spans="1:4" ht="15.75">
      <c r="A33" s="751" t="s">
        <v>453</v>
      </c>
      <c r="B33" s="258">
        <v>425</v>
      </c>
      <c r="C33" s="258">
        <v>1250</v>
      </c>
      <c r="D33" s="258">
        <v>1500</v>
      </c>
    </row>
    <row r="34" spans="1:4" ht="15.75">
      <c r="A34" s="751" t="s">
        <v>953</v>
      </c>
      <c r="B34" s="258">
        <v>5600</v>
      </c>
      <c r="C34" s="258">
        <v>5400</v>
      </c>
      <c r="D34" s="258">
        <v>5500</v>
      </c>
    </row>
    <row r="35" spans="1:5" ht="15.75">
      <c r="A35" s="224" t="s">
        <v>408</v>
      </c>
      <c r="B35" s="263">
        <f>SUM(B29:B34)</f>
        <v>188690</v>
      </c>
      <c r="C35" s="263">
        <f>SUM(C30:C34)</f>
        <v>187775</v>
      </c>
      <c r="D35" s="263">
        <f>SUM(D30:D34)</f>
        <v>197900</v>
      </c>
      <c r="E35" s="766"/>
    </row>
    <row r="36" spans="1:4" ht="15.75">
      <c r="A36" s="752" t="s">
        <v>958</v>
      </c>
      <c r="B36" s="197"/>
      <c r="C36" s="197"/>
      <c r="D36" s="197"/>
    </row>
    <row r="37" spans="1:4" ht="15.75">
      <c r="A37" s="751" t="s">
        <v>458</v>
      </c>
      <c r="B37" s="258">
        <f>230709+2659</f>
        <v>233368</v>
      </c>
      <c r="C37" s="67">
        <v>213000</v>
      </c>
      <c r="D37" s="258">
        <v>229000</v>
      </c>
    </row>
    <row r="38" spans="1:4" ht="15.75">
      <c r="A38" s="751" t="s">
        <v>451</v>
      </c>
      <c r="B38" s="258">
        <f>83025-99</f>
        <v>82926</v>
      </c>
      <c r="C38" s="67">
        <v>65076</v>
      </c>
      <c r="D38" s="258">
        <v>67076</v>
      </c>
    </row>
    <row r="39" spans="1:4" ht="15.75">
      <c r="A39" s="751" t="s">
        <v>452</v>
      </c>
      <c r="B39" s="258">
        <v>137978</v>
      </c>
      <c r="C39" s="67">
        <v>126500</v>
      </c>
      <c r="D39" s="258">
        <v>142200</v>
      </c>
    </row>
    <row r="40" spans="1:4" ht="15.75">
      <c r="A40" s="751" t="s">
        <v>453</v>
      </c>
      <c r="B40" s="258">
        <v>100274</v>
      </c>
      <c r="C40" s="67">
        <v>89000</v>
      </c>
      <c r="D40" s="258">
        <v>92000</v>
      </c>
    </row>
    <row r="41" spans="1:4" ht="15.75">
      <c r="A41" s="751" t="s">
        <v>959</v>
      </c>
      <c r="B41" s="258">
        <v>50000</v>
      </c>
      <c r="C41" s="258">
        <v>50000</v>
      </c>
      <c r="D41" s="258">
        <v>50000</v>
      </c>
    </row>
    <row r="42" spans="1:4" ht="15.75">
      <c r="A42" s="751" t="s">
        <v>953</v>
      </c>
      <c r="B42" s="258">
        <v>58000</v>
      </c>
      <c r="C42" s="258">
        <v>55200</v>
      </c>
      <c r="D42" s="258">
        <v>61700</v>
      </c>
    </row>
    <row r="43" spans="1:4" ht="15.75">
      <c r="A43" s="751" t="s">
        <v>956</v>
      </c>
      <c r="B43" s="258">
        <v>0</v>
      </c>
      <c r="C43" s="258">
        <v>24500</v>
      </c>
      <c r="D43" s="258">
        <v>20000</v>
      </c>
    </row>
    <row r="44" spans="1:4" ht="15.75">
      <c r="A44" s="224" t="s">
        <v>408</v>
      </c>
      <c r="B44" s="263">
        <f>SUM(B36:B43)</f>
        <v>662546</v>
      </c>
      <c r="C44" s="263">
        <f>SUM(C37:C43)</f>
        <v>623276</v>
      </c>
      <c r="D44" s="263">
        <f>SUM(D37:D43)</f>
        <v>661976</v>
      </c>
    </row>
    <row r="45" spans="1:4" ht="15.75">
      <c r="A45" s="752" t="s">
        <v>960</v>
      </c>
      <c r="B45" s="197"/>
      <c r="C45" s="197"/>
      <c r="D45" s="197"/>
    </row>
    <row r="46" spans="1:4" ht="15.75">
      <c r="A46" s="751" t="s">
        <v>458</v>
      </c>
      <c r="B46" s="258">
        <v>171369</v>
      </c>
      <c r="C46" s="258">
        <v>191000</v>
      </c>
      <c r="D46" s="258">
        <v>181500</v>
      </c>
    </row>
    <row r="47" spans="1:4" ht="15.75">
      <c r="A47" s="751" t="s">
        <v>451</v>
      </c>
      <c r="B47" s="258">
        <v>68240</v>
      </c>
      <c r="C47" s="258">
        <v>56714</v>
      </c>
      <c r="D47" s="258">
        <v>50500</v>
      </c>
    </row>
    <row r="48" spans="1:4" ht="15.75">
      <c r="A48" s="751" t="s">
        <v>452</v>
      </c>
      <c r="B48" s="258">
        <v>50550</v>
      </c>
      <c r="C48" s="258">
        <v>51750</v>
      </c>
      <c r="D48" s="258">
        <v>58800</v>
      </c>
    </row>
    <row r="49" spans="1:4" ht="15.75">
      <c r="A49" s="751" t="s">
        <v>453</v>
      </c>
      <c r="B49" s="258">
        <v>0</v>
      </c>
      <c r="C49" s="258">
        <v>0</v>
      </c>
      <c r="D49" s="258">
        <v>16000</v>
      </c>
    </row>
    <row r="50" spans="1:4" ht="15.75">
      <c r="A50" s="751" t="s">
        <v>956</v>
      </c>
      <c r="B50" s="258">
        <v>0</v>
      </c>
      <c r="C50" s="258">
        <v>4000</v>
      </c>
      <c r="D50" s="258">
        <v>0</v>
      </c>
    </row>
    <row r="51" spans="1:4" ht="15.75">
      <c r="A51" s="751" t="s">
        <v>953</v>
      </c>
      <c r="B51" s="258">
        <v>31440</v>
      </c>
      <c r="C51" s="258">
        <v>33700</v>
      </c>
      <c r="D51" s="258">
        <v>37400</v>
      </c>
    </row>
    <row r="52" spans="1:6" ht="15.75">
      <c r="A52" s="224" t="s">
        <v>408</v>
      </c>
      <c r="B52" s="263">
        <f>SUM(B45:B51)</f>
        <v>321599</v>
      </c>
      <c r="C52" s="263">
        <f>SUM(C46:C51)</f>
        <v>337164</v>
      </c>
      <c r="D52" s="263">
        <f>SUM(D46:D51)</f>
        <v>344200</v>
      </c>
      <c r="F52" s="766"/>
    </row>
    <row r="53" spans="1:4" ht="15.75">
      <c r="A53" s="752" t="s">
        <v>961</v>
      </c>
      <c r="B53" s="197"/>
      <c r="C53" s="197"/>
      <c r="D53" s="197"/>
    </row>
    <row r="54" spans="1:4" ht="15.75">
      <c r="A54" s="751" t="s">
        <v>458</v>
      </c>
      <c r="B54" s="258">
        <f>39780+2744</f>
        <v>42524</v>
      </c>
      <c r="C54" s="258">
        <v>50000</v>
      </c>
      <c r="D54" s="258">
        <v>51000</v>
      </c>
    </row>
    <row r="55" spans="1:4" ht="15.75">
      <c r="A55" s="751" t="s">
        <v>451</v>
      </c>
      <c r="B55" s="258">
        <v>517</v>
      </c>
      <c r="C55" s="258">
        <v>837</v>
      </c>
      <c r="D55" s="258">
        <v>800</v>
      </c>
    </row>
    <row r="56" spans="1:4" ht="15.75">
      <c r="A56" s="751" t="s">
        <v>452</v>
      </c>
      <c r="B56" s="258">
        <v>6829</v>
      </c>
      <c r="C56" s="258">
        <v>9250</v>
      </c>
      <c r="D56" s="258">
        <v>9250</v>
      </c>
    </row>
    <row r="57" spans="1:4" ht="15.75">
      <c r="A57" s="751" t="s">
        <v>453</v>
      </c>
      <c r="B57" s="258">
        <v>0</v>
      </c>
      <c r="C57" s="258">
        <v>0</v>
      </c>
      <c r="D57" s="258">
        <v>0</v>
      </c>
    </row>
    <row r="58" spans="1:4" ht="15.75">
      <c r="A58" s="751" t="s">
        <v>953</v>
      </c>
      <c r="B58" s="258">
        <v>5350</v>
      </c>
      <c r="C58" s="258">
        <v>5950</v>
      </c>
      <c r="D58" s="258">
        <v>6500</v>
      </c>
    </row>
    <row r="59" spans="1:4" ht="15.75">
      <c r="A59" s="224" t="s">
        <v>408</v>
      </c>
      <c r="B59" s="263">
        <f>SUM(B54:B58)</f>
        <v>55220</v>
      </c>
      <c r="C59" s="263">
        <f>SUM(C54:C58)</f>
        <v>66037</v>
      </c>
      <c r="D59" s="263">
        <f>SUM(D54:D58)</f>
        <v>67550</v>
      </c>
    </row>
    <row r="60" spans="1:4" ht="15.75">
      <c r="A60" s="752" t="s">
        <v>962</v>
      </c>
      <c r="B60" s="197"/>
      <c r="C60" s="197"/>
      <c r="D60" s="197"/>
    </row>
    <row r="61" spans="1:4" ht="15.75">
      <c r="A61" s="751" t="s">
        <v>458</v>
      </c>
      <c r="B61" s="258">
        <f>139745+302</f>
        <v>140047</v>
      </c>
      <c r="C61" s="258">
        <v>144400</v>
      </c>
      <c r="D61" s="258">
        <v>152600</v>
      </c>
    </row>
    <row r="62" spans="1:4" ht="15.75">
      <c r="A62" s="751" t="s">
        <v>451</v>
      </c>
      <c r="B62" s="258">
        <f>20421+372</f>
        <v>20793</v>
      </c>
      <c r="C62" s="258">
        <v>18600</v>
      </c>
      <c r="D62" s="258">
        <v>19850</v>
      </c>
    </row>
    <row r="63" spans="1:4" ht="15.75">
      <c r="A63" s="751" t="s">
        <v>452</v>
      </c>
      <c r="B63" s="258">
        <v>6406</v>
      </c>
      <c r="C63" s="258">
        <v>7750</v>
      </c>
      <c r="D63" s="258">
        <v>8000</v>
      </c>
    </row>
    <row r="64" spans="1:4" ht="15.75">
      <c r="A64" s="751" t="s">
        <v>453</v>
      </c>
      <c r="B64" s="258">
        <v>988</v>
      </c>
      <c r="C64" s="258">
        <v>5000</v>
      </c>
      <c r="D64" s="258">
        <v>1000</v>
      </c>
    </row>
    <row r="65" spans="1:4" ht="15.75">
      <c r="A65" s="751" t="s">
        <v>953</v>
      </c>
      <c r="B65" s="258">
        <v>37300</v>
      </c>
      <c r="C65" s="258">
        <v>35800</v>
      </c>
      <c r="D65" s="258">
        <v>40800</v>
      </c>
    </row>
    <row r="66" spans="1:4" ht="15.75">
      <c r="A66" s="224" t="s">
        <v>408</v>
      </c>
      <c r="B66" s="263">
        <f>SUM(B61:B65)</f>
        <v>205534</v>
      </c>
      <c r="C66" s="263">
        <f>SUM(C61:C65)</f>
        <v>211550</v>
      </c>
      <c r="D66" s="263">
        <f>SUM(D61:D65)</f>
        <v>222250</v>
      </c>
    </row>
    <row r="67" spans="1:4" ht="15.75">
      <c r="A67" s="47"/>
      <c r="B67" s="197"/>
      <c r="C67" s="197"/>
      <c r="D67" s="197"/>
    </row>
    <row r="68" spans="1:4" ht="16.5" thickBot="1">
      <c r="A68" s="224" t="s">
        <v>44</v>
      </c>
      <c r="B68" s="281">
        <f>B14+B21+B28+B35+B44+B52+B59+B66</f>
        <v>3528314</v>
      </c>
      <c r="C68" s="281">
        <f>C14+C21+C28+C35+C44+C52+C59+C66</f>
        <v>3571360</v>
      </c>
      <c r="D68" s="281">
        <f>D14+D21+D28+D35+D44+D52+D59+D66</f>
        <v>3762298</v>
      </c>
    </row>
    <row r="69" spans="1:4" ht="16.5" thickTop="1">
      <c r="A69" s="282"/>
      <c r="B69" s="197"/>
      <c r="C69" s="197"/>
      <c r="D69" s="197"/>
    </row>
    <row r="70" spans="1:4" ht="15.75">
      <c r="A70" s="399" t="s">
        <v>457</v>
      </c>
      <c r="B70" s="197" t="str">
        <f>CONCATENATE("",general!C59,"b")</f>
        <v>8b</v>
      </c>
      <c r="C70" s="197"/>
      <c r="D70" s="197"/>
    </row>
    <row r="71" spans="1:4" ht="15.75">
      <c r="A71" s="47"/>
      <c r="B71" s="197"/>
      <c r="C71" s="197"/>
      <c r="D71" s="197"/>
    </row>
    <row r="72" spans="1:4" ht="15.75">
      <c r="A72" s="197" t="str">
        <f>A1</f>
        <v>City of Paola</v>
      </c>
      <c r="B72" s="47"/>
      <c r="C72" s="171"/>
      <c r="D72" s="47">
        <f>D1</f>
        <v>2013</v>
      </c>
    </row>
    <row r="73" spans="1:4" ht="15.75">
      <c r="A73" s="47"/>
      <c r="B73" s="47"/>
      <c r="C73" s="47"/>
      <c r="D73" s="171"/>
    </row>
    <row r="74" spans="1:6" ht="15.75">
      <c r="A74" s="247"/>
      <c r="B74" s="219"/>
      <c r="C74" s="219"/>
      <c r="D74" s="219"/>
      <c r="F74" s="709"/>
    </row>
    <row r="75" spans="1:6" ht="15.75">
      <c r="A75" s="707" t="s">
        <v>435</v>
      </c>
      <c r="B75" s="561" t="str">
        <f aca="true" t="shared" si="0" ref="B75:D76">B4</f>
        <v>Prior Year </v>
      </c>
      <c r="C75" s="708" t="str">
        <f t="shared" si="0"/>
        <v>Current Year </v>
      </c>
      <c r="D75" s="560" t="str">
        <f t="shared" si="0"/>
        <v>Proposed Budget </v>
      </c>
      <c r="F75" s="709"/>
    </row>
    <row r="76" spans="1:4" ht="15.75">
      <c r="A76" s="562" t="s">
        <v>49</v>
      </c>
      <c r="B76" s="249" t="str">
        <f t="shared" si="0"/>
        <v>Actual for 2011</v>
      </c>
      <c r="C76" s="249" t="str">
        <f t="shared" si="0"/>
        <v>Estimate for 2012</v>
      </c>
      <c r="D76" s="249" t="str">
        <f t="shared" si="0"/>
        <v>Year for 2013</v>
      </c>
    </row>
    <row r="77" spans="1:4" ht="15.75">
      <c r="A77" s="224" t="s">
        <v>450</v>
      </c>
      <c r="B77" s="87"/>
      <c r="C77" s="87"/>
      <c r="D77" s="87"/>
    </row>
    <row r="78" spans="1:4" ht="15.75">
      <c r="A78" s="278"/>
      <c r="B78" s="87"/>
      <c r="C78" s="87"/>
      <c r="D78" s="87"/>
    </row>
    <row r="79" spans="1:4" ht="15.75">
      <c r="A79" s="279" t="s">
        <v>458</v>
      </c>
      <c r="B79" s="258"/>
      <c r="C79" s="258"/>
      <c r="D79" s="258"/>
    </row>
    <row r="80" spans="1:4" ht="15.75">
      <c r="A80" s="279" t="s">
        <v>451</v>
      </c>
      <c r="B80" s="258"/>
      <c r="C80" s="258"/>
      <c r="D80" s="258"/>
    </row>
    <row r="81" spans="1:4" ht="15.75">
      <c r="A81" s="279" t="s">
        <v>452</v>
      </c>
      <c r="B81" s="258"/>
      <c r="C81" s="258"/>
      <c r="D81" s="258"/>
    </row>
    <row r="82" spans="1:4" ht="15.75">
      <c r="A82" s="279" t="s">
        <v>453</v>
      </c>
      <c r="B82" s="258"/>
      <c r="C82" s="258"/>
      <c r="D82" s="258"/>
    </row>
    <row r="83" spans="1:4" ht="15.75">
      <c r="A83" s="69"/>
      <c r="B83" s="258"/>
      <c r="C83" s="258"/>
      <c r="D83" s="258"/>
    </row>
    <row r="84" spans="1:4" ht="15.75">
      <c r="A84" s="224" t="s">
        <v>408</v>
      </c>
      <c r="B84" s="263">
        <f>SUM(B79:B83)</f>
        <v>0</v>
      </c>
      <c r="C84" s="263">
        <f>SUM(C79:C83)</f>
        <v>0</v>
      </c>
      <c r="D84" s="263">
        <f>SUM(D79:D83)</f>
        <v>0</v>
      </c>
    </row>
    <row r="85" spans="1:4" ht="15.75">
      <c r="A85" s="280"/>
      <c r="B85" s="197"/>
      <c r="C85" s="197"/>
      <c r="D85" s="197"/>
    </row>
    <row r="86" spans="1:4" ht="15.75">
      <c r="A86" s="279" t="s">
        <v>458</v>
      </c>
      <c r="B86" s="258"/>
      <c r="C86" s="258"/>
      <c r="D86" s="258"/>
    </row>
    <row r="87" spans="1:4" ht="15.75">
      <c r="A87" s="279" t="s">
        <v>451</v>
      </c>
      <c r="B87" s="258"/>
      <c r="C87" s="258"/>
      <c r="D87" s="258"/>
    </row>
    <row r="88" spans="1:4" ht="15.75">
      <c r="A88" s="279" t="s">
        <v>452</v>
      </c>
      <c r="B88" s="258"/>
      <c r="C88" s="258"/>
      <c r="D88" s="258"/>
    </row>
    <row r="89" spans="1:4" ht="15.75">
      <c r="A89" s="279" t="s">
        <v>453</v>
      </c>
      <c r="B89" s="258"/>
      <c r="C89" s="258"/>
      <c r="D89" s="258"/>
    </row>
    <row r="90" spans="1:4" ht="15.75">
      <c r="A90" s="279"/>
      <c r="B90" s="258"/>
      <c r="C90" s="258"/>
      <c r="D90" s="258"/>
    </row>
    <row r="91" spans="1:4" ht="15.75">
      <c r="A91" s="224" t="s">
        <v>408</v>
      </c>
      <c r="B91" s="263">
        <f>SUM(B86:B90)</f>
        <v>0</v>
      </c>
      <c r="C91" s="263">
        <f>SUM(C86:C90)</f>
        <v>0</v>
      </c>
      <c r="D91" s="263">
        <f>SUM(D86:D90)</f>
        <v>0</v>
      </c>
    </row>
    <row r="92" spans="1:4" ht="15.75">
      <c r="A92" s="280"/>
      <c r="B92" s="197"/>
      <c r="C92" s="197"/>
      <c r="D92" s="197"/>
    </row>
    <row r="93" spans="1:4" ht="15.75">
      <c r="A93" s="279" t="s">
        <v>458</v>
      </c>
      <c r="B93" s="258"/>
      <c r="C93" s="258"/>
      <c r="D93" s="258"/>
    </row>
    <row r="94" spans="1:4" ht="15.75">
      <c r="A94" s="279" t="s">
        <v>451</v>
      </c>
      <c r="B94" s="258"/>
      <c r="C94" s="258"/>
      <c r="D94" s="258"/>
    </row>
    <row r="95" spans="1:4" ht="15.75">
      <c r="A95" s="279" t="s">
        <v>452</v>
      </c>
      <c r="B95" s="258"/>
      <c r="C95" s="258"/>
      <c r="D95" s="258"/>
    </row>
    <row r="96" spans="1:4" ht="15.75">
      <c r="A96" s="279" t="s">
        <v>453</v>
      </c>
      <c r="B96" s="258"/>
      <c r="C96" s="258"/>
      <c r="D96" s="258"/>
    </row>
    <row r="97" spans="1:4" ht="15.75">
      <c r="A97" s="279"/>
      <c r="B97" s="258"/>
      <c r="C97" s="258"/>
      <c r="D97" s="258"/>
    </row>
    <row r="98" spans="1:4" ht="15.75">
      <c r="A98" s="224" t="s">
        <v>408</v>
      </c>
      <c r="B98" s="263">
        <f>SUM(B93:B97)</f>
        <v>0</v>
      </c>
      <c r="C98" s="263">
        <f>SUM(C93:C97)</f>
        <v>0</v>
      </c>
      <c r="D98" s="263">
        <f>SUM(D93:D97)</f>
        <v>0</v>
      </c>
    </row>
    <row r="99" spans="1:4" ht="15.75">
      <c r="A99" s="280"/>
      <c r="B99" s="197"/>
      <c r="C99" s="197"/>
      <c r="D99" s="197"/>
    </row>
    <row r="100" spans="1:4" ht="15.75">
      <c r="A100" s="279" t="s">
        <v>458</v>
      </c>
      <c r="B100" s="258"/>
      <c r="C100" s="258"/>
      <c r="D100" s="258"/>
    </row>
    <row r="101" spans="1:4" ht="15.75">
      <c r="A101" s="279" t="s">
        <v>451</v>
      </c>
      <c r="B101" s="258"/>
      <c r="C101" s="258"/>
      <c r="D101" s="258"/>
    </row>
    <row r="102" spans="1:4" ht="15.75">
      <c r="A102" s="279" t="s">
        <v>452</v>
      </c>
      <c r="B102" s="258"/>
      <c r="C102" s="258"/>
      <c r="D102" s="258"/>
    </row>
    <row r="103" spans="1:4" ht="15.75">
      <c r="A103" s="279" t="s">
        <v>453</v>
      </c>
      <c r="B103" s="258"/>
      <c r="C103" s="258"/>
      <c r="D103" s="258"/>
    </row>
    <row r="104" spans="1:4" ht="15.75">
      <c r="A104" s="224" t="s">
        <v>408</v>
      </c>
      <c r="B104" s="263">
        <f>SUM(B100:B103)</f>
        <v>0</v>
      </c>
      <c r="C104" s="263">
        <f>SUM(C100:C103)</f>
        <v>0</v>
      </c>
      <c r="D104" s="263">
        <f>SUM(D100:D103)</f>
        <v>0</v>
      </c>
    </row>
    <row r="105" spans="1:4" ht="15.75">
      <c r="A105" s="280"/>
      <c r="B105" s="197"/>
      <c r="C105" s="197"/>
      <c r="D105" s="197"/>
    </row>
    <row r="106" spans="1:4" ht="15.75">
      <c r="A106" s="279" t="s">
        <v>458</v>
      </c>
      <c r="B106" s="258"/>
      <c r="C106" s="258"/>
      <c r="D106" s="258"/>
    </row>
    <row r="107" spans="1:4" ht="15.75">
      <c r="A107" s="279" t="s">
        <v>451</v>
      </c>
      <c r="B107" s="258"/>
      <c r="C107" s="258"/>
      <c r="D107" s="258"/>
    </row>
    <row r="108" spans="1:4" ht="15.75">
      <c r="A108" s="279" t="s">
        <v>452</v>
      </c>
      <c r="B108" s="258"/>
      <c r="C108" s="258"/>
      <c r="D108" s="258"/>
    </row>
    <row r="109" spans="1:4" ht="15.75">
      <c r="A109" s="279" t="s">
        <v>453</v>
      </c>
      <c r="B109" s="258"/>
      <c r="C109" s="258"/>
      <c r="D109" s="258"/>
    </row>
    <row r="110" spans="1:4" ht="15.75">
      <c r="A110" s="279"/>
      <c r="B110" s="258"/>
      <c r="C110" s="258"/>
      <c r="D110" s="258"/>
    </row>
    <row r="111" spans="1:4" ht="15.75">
      <c r="A111" s="224" t="s">
        <v>408</v>
      </c>
      <c r="B111" s="263">
        <f>SUM(B106:B110)</f>
        <v>0</v>
      </c>
      <c r="C111" s="263">
        <f>SUM(C106:C110)</f>
        <v>0</v>
      </c>
      <c r="D111" s="263">
        <f>SUM(D106:D110)</f>
        <v>0</v>
      </c>
    </row>
    <row r="112" spans="1:4" ht="15.75">
      <c r="A112" s="280"/>
      <c r="B112" s="197"/>
      <c r="C112" s="197"/>
      <c r="D112" s="197"/>
    </row>
    <row r="113" spans="1:4" ht="15.75">
      <c r="A113" s="279" t="s">
        <v>458</v>
      </c>
      <c r="B113" s="258"/>
      <c r="C113" s="258"/>
      <c r="D113" s="258"/>
    </row>
    <row r="114" spans="1:4" ht="15.75">
      <c r="A114" s="279" t="s">
        <v>451</v>
      </c>
      <c r="B114" s="258"/>
      <c r="C114" s="258"/>
      <c r="D114" s="258"/>
    </row>
    <row r="115" spans="1:4" ht="15.75">
      <c r="A115" s="279" t="s">
        <v>452</v>
      </c>
      <c r="B115" s="258"/>
      <c r="C115" s="258"/>
      <c r="D115" s="258"/>
    </row>
    <row r="116" spans="1:4" ht="15.75">
      <c r="A116" s="279" t="s">
        <v>453</v>
      </c>
      <c r="B116" s="258"/>
      <c r="C116" s="258"/>
      <c r="D116" s="258"/>
    </row>
    <row r="117" spans="1:4" ht="15.75">
      <c r="A117" s="279"/>
      <c r="B117" s="258"/>
      <c r="C117" s="258"/>
      <c r="D117" s="258"/>
    </row>
    <row r="118" spans="1:4" ht="15.75">
      <c r="A118" s="224" t="s">
        <v>408</v>
      </c>
      <c r="B118" s="263">
        <f>SUM(B113:B117)</f>
        <v>0</v>
      </c>
      <c r="C118" s="263">
        <f>SUM(C113:C117)</f>
        <v>0</v>
      </c>
      <c r="D118" s="263">
        <f>SUM(D113:D117)</f>
        <v>0</v>
      </c>
    </row>
    <row r="119" spans="1:4" ht="15.75">
      <c r="A119" s="280"/>
      <c r="B119" s="197"/>
      <c r="C119" s="197"/>
      <c r="D119" s="197"/>
    </row>
    <row r="120" spans="1:4" ht="15.75">
      <c r="A120" s="279" t="s">
        <v>458</v>
      </c>
      <c r="B120" s="258"/>
      <c r="C120" s="258"/>
      <c r="D120" s="258"/>
    </row>
    <row r="121" spans="1:4" ht="15.75">
      <c r="A121" s="279" t="s">
        <v>451</v>
      </c>
      <c r="B121" s="258"/>
      <c r="C121" s="258"/>
      <c r="D121" s="258"/>
    </row>
    <row r="122" spans="1:4" ht="15.75">
      <c r="A122" s="279" t="s">
        <v>452</v>
      </c>
      <c r="B122" s="258"/>
      <c r="C122" s="258"/>
      <c r="D122" s="258"/>
    </row>
    <row r="123" spans="1:4" ht="15.75">
      <c r="A123" s="279" t="s">
        <v>453</v>
      </c>
      <c r="B123" s="258"/>
      <c r="C123" s="258"/>
      <c r="D123" s="258"/>
    </row>
    <row r="124" spans="1:4" ht="15.75">
      <c r="A124" s="279"/>
      <c r="B124" s="258"/>
      <c r="C124" s="258"/>
      <c r="D124" s="258"/>
    </row>
    <row r="125" spans="1:4" ht="15.75">
      <c r="A125" s="224" t="s">
        <v>408</v>
      </c>
      <c r="B125" s="263">
        <f>SUM(B120:B124)</f>
        <v>0</v>
      </c>
      <c r="C125" s="263">
        <f>SUM(C120:C124)</f>
        <v>0</v>
      </c>
      <c r="D125" s="263">
        <f>SUM(D120:D124)</f>
        <v>0</v>
      </c>
    </row>
    <row r="126" spans="1:4" ht="15.75">
      <c r="A126" s="280"/>
      <c r="B126" s="197"/>
      <c r="C126" s="197"/>
      <c r="D126" s="197"/>
    </row>
    <row r="127" spans="1:4" ht="15.75">
      <c r="A127" s="279" t="s">
        <v>458</v>
      </c>
      <c r="B127" s="258"/>
      <c r="C127" s="258"/>
      <c r="D127" s="258"/>
    </row>
    <row r="128" spans="1:4" ht="15.75">
      <c r="A128" s="279" t="s">
        <v>451</v>
      </c>
      <c r="B128" s="258"/>
      <c r="C128" s="258"/>
      <c r="D128" s="258"/>
    </row>
    <row r="129" spans="1:4" ht="15.75">
      <c r="A129" s="279" t="s">
        <v>452</v>
      </c>
      <c r="B129" s="258"/>
      <c r="C129" s="258"/>
      <c r="D129" s="258"/>
    </row>
    <row r="130" spans="1:4" ht="15.75">
      <c r="A130" s="279" t="s">
        <v>453</v>
      </c>
      <c r="B130" s="258"/>
      <c r="C130" s="258"/>
      <c r="D130" s="258"/>
    </row>
    <row r="131" spans="1:4" ht="15.75">
      <c r="A131" s="279"/>
      <c r="B131" s="258"/>
      <c r="C131" s="258"/>
      <c r="D131" s="258"/>
    </row>
    <row r="132" spans="1:4" ht="15.75">
      <c r="A132" s="224" t="s">
        <v>408</v>
      </c>
      <c r="B132" s="263">
        <f>SUM(B127:B131)</f>
        <v>0</v>
      </c>
      <c r="C132" s="263">
        <f>SUM(C127:C131)</f>
        <v>0</v>
      </c>
      <c r="D132" s="263">
        <f>SUM(D127:D131)</f>
        <v>0</v>
      </c>
    </row>
    <row r="133" spans="1:4" ht="15.75">
      <c r="A133" s="224"/>
      <c r="B133" s="197"/>
      <c r="C133" s="197"/>
      <c r="D133" s="197"/>
    </row>
    <row r="134" spans="1:4" ht="15.75">
      <c r="A134" s="65" t="s">
        <v>46</v>
      </c>
      <c r="B134" s="273">
        <f>B84+B91+B98+B104+B111+B118+B125+B132</f>
        <v>0</v>
      </c>
      <c r="C134" s="273">
        <f>C84+C91+C98+C104+C111+C118+C125+C132</f>
        <v>0</v>
      </c>
      <c r="D134" s="273">
        <f>D84+D91+D98+D104+D111+D118+D125+D132</f>
        <v>0</v>
      </c>
    </row>
    <row r="135" spans="1:4" ht="15.75">
      <c r="A135" s="224" t="s">
        <v>45</v>
      </c>
      <c r="B135" s="263">
        <f>B68</f>
        <v>3528314</v>
      </c>
      <c r="C135" s="263">
        <f>C68</f>
        <v>3571360</v>
      </c>
      <c r="D135" s="263">
        <f>D68</f>
        <v>3762298</v>
      </c>
    </row>
    <row r="136" spans="1:4" ht="16.5" thickBot="1">
      <c r="A136" s="224" t="s">
        <v>47</v>
      </c>
      <c r="B136" s="281">
        <f>SUM(B134:B135)</f>
        <v>3528314</v>
      </c>
      <c r="C136" s="281">
        <f>SUM(C134:C135)</f>
        <v>3571360</v>
      </c>
      <c r="D136" s="281">
        <f>SUM(D134:D135)</f>
        <v>3762298</v>
      </c>
    </row>
    <row r="137" spans="1:4" ht="16.5" thickTop="1">
      <c r="A137" s="282" t="s">
        <v>331</v>
      </c>
      <c r="B137" s="197"/>
      <c r="C137" s="197"/>
      <c r="D137" s="197"/>
    </row>
    <row r="138" spans="1:4" ht="15.75">
      <c r="A138" s="399" t="s">
        <v>457</v>
      </c>
      <c r="B138" s="197" t="str">
        <f>CONCATENATE("",general!C59,"c")</f>
        <v>8c</v>
      </c>
      <c r="C138" s="197"/>
      <c r="D138" s="197"/>
    </row>
  </sheetData>
  <sheetProtection/>
  <printOptions horizontalCentered="1"/>
  <pageMargins left="0.5" right="0.5" top="0.72" bottom="0.5" header="0.39" footer="0.5"/>
  <pageSetup blackAndWhite="1" fitToHeight="2" fitToWidth="1" horizontalDpi="300" verticalDpi="300" orientation="portrait" scale="70" r:id="rId1"/>
  <headerFooter alignWithMargins="0">
    <oddHeader>&amp;RState of Kansas
City</oddHeader>
  </headerFooter>
  <rowBreaks count="3" manualBreakCount="3">
    <brk id="70" max="255" man="1"/>
    <brk id="72" max="255" man="1"/>
    <brk id="138"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103"/>
  <sheetViews>
    <sheetView zoomScalePageLayoutView="0" workbookViewId="0" topLeftCell="C24">
      <selection activeCell="E35" sqref="E35"/>
    </sheetView>
  </sheetViews>
  <sheetFormatPr defaultColWidth="8.796875" defaultRowHeight="15"/>
  <cols>
    <col min="1" max="1" width="2.3984375" style="45" customWidth="1"/>
    <col min="2" max="2" width="37.1992187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97" t="str">
        <f>inputPrYr!D2</f>
        <v>City of Paola</v>
      </c>
      <c r="C1" s="397"/>
      <c r="D1" s="383"/>
      <c r="E1" s="391">
        <f>inputPrYr!C5</f>
        <v>2013</v>
      </c>
    </row>
    <row r="2" spans="2:5" ht="15.75">
      <c r="B2" s="383"/>
      <c r="C2" s="383"/>
      <c r="D2" s="383"/>
      <c r="E2" s="399"/>
    </row>
    <row r="3" spans="2:5" ht="15.75">
      <c r="B3" s="386" t="s">
        <v>505</v>
      </c>
      <c r="C3" s="386"/>
      <c r="D3" s="401"/>
      <c r="E3" s="392"/>
    </row>
    <row r="4" spans="2:5" ht="15.75">
      <c r="B4" s="385" t="s">
        <v>435</v>
      </c>
      <c r="C4" s="704" t="s">
        <v>388</v>
      </c>
      <c r="D4" s="705" t="s">
        <v>389</v>
      </c>
      <c r="E4" s="144" t="s">
        <v>390</v>
      </c>
    </row>
    <row r="5" spans="2:5" ht="15.75">
      <c r="B5" s="428" t="s">
        <v>330</v>
      </c>
      <c r="C5" s="223" t="str">
        <f>CONCATENATE("Actual for ",E1-2,"")</f>
        <v>Actual for 2011</v>
      </c>
      <c r="D5" s="223" t="str">
        <f>CONCATENATE("Estimate for ",E1-1,"")</f>
        <v>Estimate for 2012</v>
      </c>
      <c r="E5" s="208" t="str">
        <f>CONCATENATE("Year for ",E1,"")</f>
        <v>Year for 2013</v>
      </c>
    </row>
    <row r="6" spans="2:5" ht="15.75">
      <c r="B6" s="393" t="s">
        <v>564</v>
      </c>
      <c r="C6" s="424">
        <v>337201</v>
      </c>
      <c r="D6" s="423">
        <f>C42</f>
        <v>355051</v>
      </c>
      <c r="E6" s="394">
        <f>D42</f>
        <v>290298</v>
      </c>
    </row>
    <row r="7" spans="2:5" ht="15.75">
      <c r="B7" s="393" t="s">
        <v>566</v>
      </c>
      <c r="C7" s="395"/>
      <c r="D7" s="423"/>
      <c r="E7" s="394"/>
    </row>
    <row r="8" spans="2:5" ht="15.75">
      <c r="B8" s="393" t="s">
        <v>436</v>
      </c>
      <c r="C8" s="421">
        <v>215336</v>
      </c>
      <c r="D8" s="423">
        <v>208100</v>
      </c>
      <c r="E8" s="410" t="s">
        <v>425</v>
      </c>
    </row>
    <row r="9" spans="2:5" ht="15.75">
      <c r="B9" s="393" t="s">
        <v>437</v>
      </c>
      <c r="C9" s="421">
        <v>7749</v>
      </c>
      <c r="D9" s="425">
        <v>6000</v>
      </c>
      <c r="E9" s="387">
        <v>6000</v>
      </c>
    </row>
    <row r="10" spans="2:5" ht="15.75">
      <c r="B10" s="393" t="s">
        <v>438</v>
      </c>
      <c r="C10" s="421">
        <v>21794</v>
      </c>
      <c r="D10" s="425">
        <v>22000</v>
      </c>
      <c r="E10" s="394">
        <f>mvalloc!D8</f>
        <v>20257</v>
      </c>
    </row>
    <row r="11" spans="2:5" ht="15.75">
      <c r="B11" s="393" t="s">
        <v>439</v>
      </c>
      <c r="C11" s="421"/>
      <c r="D11" s="425"/>
      <c r="E11" s="394">
        <f>mvalloc!E8</f>
        <v>267</v>
      </c>
    </row>
    <row r="12" spans="2:5" ht="15.75">
      <c r="B12" s="396" t="s">
        <v>537</v>
      </c>
      <c r="C12" s="421"/>
      <c r="D12" s="425"/>
      <c r="E12" s="394">
        <f>mvalloc!F8</f>
        <v>125</v>
      </c>
    </row>
    <row r="13" spans="2:5" ht="15.75">
      <c r="B13" s="753" t="s">
        <v>963</v>
      </c>
      <c r="C13" s="421">
        <v>324698</v>
      </c>
      <c r="D13" s="425">
        <v>250000</v>
      </c>
      <c r="E13" s="387">
        <v>190000</v>
      </c>
    </row>
    <row r="14" spans="2:5" ht="15.75">
      <c r="B14" s="753" t="s">
        <v>964</v>
      </c>
      <c r="C14" s="421">
        <v>50000</v>
      </c>
      <c r="D14" s="425">
        <v>50000</v>
      </c>
      <c r="E14" s="387">
        <v>50000</v>
      </c>
    </row>
    <row r="15" spans="2:5" ht="15.75">
      <c r="B15" s="753" t="s">
        <v>965</v>
      </c>
      <c r="C15" s="421">
        <v>10000</v>
      </c>
      <c r="D15" s="425">
        <v>10000</v>
      </c>
      <c r="E15" s="387">
        <v>10000</v>
      </c>
    </row>
    <row r="16" spans="2:5" ht="15.75">
      <c r="B16" s="753" t="s">
        <v>966</v>
      </c>
      <c r="C16" s="421">
        <v>25000</v>
      </c>
      <c r="D16" s="425">
        <f>25000+89193</f>
        <v>114193</v>
      </c>
      <c r="E16" s="387">
        <f>25000+296958</f>
        <v>321958</v>
      </c>
    </row>
    <row r="17" spans="2:5" ht="15.75">
      <c r="B17" s="753" t="s">
        <v>967</v>
      </c>
      <c r="C17" s="421">
        <v>50000</v>
      </c>
      <c r="D17" s="425">
        <v>50000</v>
      </c>
      <c r="E17" s="387">
        <v>50000</v>
      </c>
    </row>
    <row r="18" spans="2:5" ht="15.75">
      <c r="B18" s="753" t="s">
        <v>968</v>
      </c>
      <c r="C18" s="421">
        <v>326063</v>
      </c>
      <c r="D18" s="425">
        <v>338463</v>
      </c>
      <c r="E18" s="387">
        <v>350063</v>
      </c>
    </row>
    <row r="19" spans="2:5" ht="15.75">
      <c r="B19" s="753" t="s">
        <v>969</v>
      </c>
      <c r="C19" s="421">
        <v>90922</v>
      </c>
      <c r="D19" s="425">
        <v>88748</v>
      </c>
      <c r="E19" s="387">
        <v>91248</v>
      </c>
    </row>
    <row r="20" spans="2:7" ht="15.75">
      <c r="B20" s="753" t="s">
        <v>970</v>
      </c>
      <c r="C20" s="421">
        <v>331344</v>
      </c>
      <c r="D20" s="425">
        <v>332263</v>
      </c>
      <c r="E20" s="387">
        <v>326963</v>
      </c>
      <c r="G20" s="244"/>
    </row>
    <row r="21" spans="2:7" ht="15.75">
      <c r="B21" s="753" t="s">
        <v>971</v>
      </c>
      <c r="C21" s="421">
        <v>0</v>
      </c>
      <c r="D21" s="425">
        <v>57318</v>
      </c>
      <c r="E21" s="387">
        <v>89406</v>
      </c>
      <c r="G21" s="244"/>
    </row>
    <row r="22" spans="2:5" ht="15.75">
      <c r="B22" s="753" t="s">
        <v>972</v>
      </c>
      <c r="C22" s="421">
        <v>0</v>
      </c>
      <c r="D22" s="425">
        <v>97341</v>
      </c>
      <c r="E22" s="387">
        <v>149281</v>
      </c>
    </row>
    <row r="23" spans="2:5" ht="15.75">
      <c r="B23" s="753" t="s">
        <v>973</v>
      </c>
      <c r="C23" s="421">
        <v>0</v>
      </c>
      <c r="D23" s="425">
        <v>0</v>
      </c>
      <c r="E23" s="387">
        <v>0</v>
      </c>
    </row>
    <row r="24" spans="2:5" ht="15.75">
      <c r="B24" s="753" t="s">
        <v>974</v>
      </c>
      <c r="C24" s="421">
        <v>401</v>
      </c>
      <c r="D24" s="425">
        <v>500</v>
      </c>
      <c r="E24" s="387">
        <v>500</v>
      </c>
    </row>
    <row r="25" spans="2:9" ht="15.75">
      <c r="B25" s="407" t="s">
        <v>442</v>
      </c>
      <c r="C25" s="421">
        <v>6049</v>
      </c>
      <c r="D25" s="425">
        <v>3500</v>
      </c>
      <c r="E25" s="387">
        <v>3500</v>
      </c>
      <c r="F25" s="382"/>
      <c r="G25" s="382"/>
      <c r="H25" s="382"/>
      <c r="I25" s="382"/>
    </row>
    <row r="26" spans="2:9" ht="15.75">
      <c r="B26" s="393" t="s">
        <v>1203</v>
      </c>
      <c r="C26" s="255">
        <v>0</v>
      </c>
      <c r="D26" s="255">
        <v>0</v>
      </c>
      <c r="E26" s="67">
        <v>0</v>
      </c>
      <c r="F26" s="382"/>
      <c r="G26" s="382"/>
      <c r="H26" s="382"/>
      <c r="I26" s="382"/>
    </row>
    <row r="27" spans="2:9" ht="15.75">
      <c r="B27" s="393" t="s">
        <v>1152</v>
      </c>
      <c r="C27" s="260">
        <f>IF(C28*0.1&lt;C26,"Exceed 10% Rule","")</f>
      </c>
      <c r="D27" s="260">
        <f>IF(D28*0.1&lt;D26,"Exceed 10% Rule","")</f>
      </c>
      <c r="E27" s="297">
        <f>IF(E28*0.1+E48&lt;E26,"Exceed 10% Rule","")</f>
      </c>
      <c r="F27" s="382"/>
      <c r="G27" s="382"/>
      <c r="H27" s="382"/>
      <c r="I27" s="382"/>
    </row>
    <row r="28" spans="2:9" ht="15.75">
      <c r="B28" s="403" t="s">
        <v>443</v>
      </c>
      <c r="C28" s="426">
        <f>SUM(C8:C26)</f>
        <v>1459356</v>
      </c>
      <c r="D28" s="426">
        <f>SUM(D8:D26)</f>
        <v>1628426</v>
      </c>
      <c r="E28" s="413">
        <f>SUM(E9:E26)</f>
        <v>1659568</v>
      </c>
      <c r="F28" s="382"/>
      <c r="G28" s="382"/>
      <c r="H28" s="382"/>
      <c r="I28" s="382"/>
    </row>
    <row r="29" spans="2:9" ht="15.75">
      <c r="B29" s="403" t="s">
        <v>448</v>
      </c>
      <c r="C29" s="426">
        <f>SUM(C6+C28)</f>
        <v>1796557</v>
      </c>
      <c r="D29" s="426">
        <f>SUM(D6+D28)</f>
        <v>1983477</v>
      </c>
      <c r="E29" s="413">
        <f>SUM(E6+E28)</f>
        <v>1949866</v>
      </c>
      <c r="F29" s="382"/>
      <c r="G29" s="382"/>
      <c r="H29" s="382"/>
      <c r="I29" s="382"/>
    </row>
    <row r="30" spans="2:9" ht="15.75">
      <c r="B30" s="393" t="s">
        <v>450</v>
      </c>
      <c r="C30" s="393"/>
      <c r="D30" s="423"/>
      <c r="E30" s="394"/>
      <c r="F30" s="382"/>
      <c r="G30" s="382"/>
      <c r="H30" s="382"/>
      <c r="I30" s="382"/>
    </row>
    <row r="31" spans="2:9" ht="15.75">
      <c r="B31" s="735" t="s">
        <v>975</v>
      </c>
      <c r="C31" s="488">
        <v>980000</v>
      </c>
      <c r="D31" s="425">
        <v>1195000</v>
      </c>
      <c r="E31" s="387">
        <v>1390000</v>
      </c>
      <c r="F31" s="382"/>
      <c r="G31" s="382"/>
      <c r="H31" s="382"/>
      <c r="I31" s="382"/>
    </row>
    <row r="32" spans="2:10" ht="15.75">
      <c r="B32" s="735" t="s">
        <v>976</v>
      </c>
      <c r="C32" s="488">
        <v>461506</v>
      </c>
      <c r="D32" s="425">
        <v>496579</v>
      </c>
      <c r="E32" s="387">
        <v>577139</v>
      </c>
      <c r="F32" s="382"/>
      <c r="G32" s="831" t="str">
        <f>CONCATENATE("Desired Carryover Into ",E1+1,"")</f>
        <v>Desired Carryover Into 2014</v>
      </c>
      <c r="H32" s="827"/>
      <c r="I32" s="827"/>
      <c r="J32" s="828"/>
    </row>
    <row r="33" spans="2:10" ht="15.75">
      <c r="B33" s="735" t="s">
        <v>977</v>
      </c>
      <c r="C33" s="488">
        <v>0</v>
      </c>
      <c r="D33" s="425">
        <v>0</v>
      </c>
      <c r="E33" s="387">
        <v>0</v>
      </c>
      <c r="F33" s="382"/>
      <c r="G33" s="642"/>
      <c r="H33" s="76"/>
      <c r="I33" s="643"/>
      <c r="J33" s="644"/>
    </row>
    <row r="34" spans="2:10" ht="15.75">
      <c r="B34" s="735" t="s">
        <v>978</v>
      </c>
      <c r="C34" s="488">
        <v>0</v>
      </c>
      <c r="D34" s="425">
        <v>0</v>
      </c>
      <c r="E34" s="387">
        <v>184697</v>
      </c>
      <c r="F34" s="382"/>
      <c r="G34" s="645" t="s">
        <v>1140</v>
      </c>
      <c r="H34" s="643"/>
      <c r="I34" s="643"/>
      <c r="J34" s="646">
        <v>0</v>
      </c>
    </row>
    <row r="35" spans="2:10" ht="15.75">
      <c r="B35" s="412"/>
      <c r="C35" s="488"/>
      <c r="D35" s="425"/>
      <c r="E35" s="387"/>
      <c r="F35" s="382"/>
      <c r="G35" s="642" t="s">
        <v>1141</v>
      </c>
      <c r="H35" s="76"/>
      <c r="I35" s="76"/>
      <c r="J35" s="647">
        <f>IF(J34=0,"",ROUND((J34+E48-G47)/inputOth!E7*1000,3)-G52)</f>
      </c>
    </row>
    <row r="36" spans="2:10" ht="15.75">
      <c r="B36" s="412"/>
      <c r="C36" s="488"/>
      <c r="D36" s="425"/>
      <c r="E36" s="387"/>
      <c r="F36" s="382"/>
      <c r="G36" s="648" t="str">
        <f>CONCATENATE("",E1," Tot Exp/Non-Appr Must Be:")</f>
        <v>2013 Tot Exp/Non-Appr Must Be:</v>
      </c>
      <c r="H36" s="649"/>
      <c r="I36" s="650"/>
      <c r="J36" s="651">
        <f>IF(J34&gt;0,IF(E45&lt;E29,IF(J34=G47,E45,((J34-G47)*(1-D47))+E29),E45+(J34-G47)),0)</f>
        <v>0</v>
      </c>
    </row>
    <row r="37" spans="2:10" ht="15.75">
      <c r="B37" s="412"/>
      <c r="C37" s="488"/>
      <c r="D37" s="425"/>
      <c r="E37" s="387"/>
      <c r="F37" s="382"/>
      <c r="G37" s="652" t="s">
        <v>289</v>
      </c>
      <c r="H37" s="653"/>
      <c r="I37" s="653"/>
      <c r="J37" s="654">
        <f>IF(J34&gt;0,J36-E45,0)</f>
        <v>0</v>
      </c>
    </row>
    <row r="38" spans="2:9" ht="15.75">
      <c r="B38" s="409" t="s">
        <v>1202</v>
      </c>
      <c r="C38" s="488">
        <v>0</v>
      </c>
      <c r="D38" s="425">
        <v>0</v>
      </c>
      <c r="E38" s="394">
        <f>nhood!E7</f>
      </c>
      <c r="F38" s="382"/>
      <c r="G38" s="382"/>
      <c r="H38" s="382"/>
      <c r="I38" s="382"/>
    </row>
    <row r="39" spans="2:10" ht="15.75">
      <c r="B39" s="409" t="s">
        <v>1203</v>
      </c>
      <c r="C39" s="488">
        <v>0</v>
      </c>
      <c r="D39" s="425">
        <v>1600</v>
      </c>
      <c r="E39" s="387">
        <v>2500</v>
      </c>
      <c r="F39" s="382"/>
      <c r="G39" s="834" t="str">
        <f>CONCATENATE("Projected Carryover Into ",E1+1,"")</f>
        <v>Projected Carryover Into 2014</v>
      </c>
      <c r="H39" s="827"/>
      <c r="I39" s="827"/>
      <c r="J39" s="828"/>
    </row>
    <row r="40" spans="2:10" ht="15.75">
      <c r="B40" s="409" t="s">
        <v>1154</v>
      </c>
      <c r="C40" s="260">
        <f>IF(C41*0.1&lt;C39,"Exceed 10% Rule","")</f>
      </c>
      <c r="D40" s="260">
        <f>IF(D41*0.1&lt;D39,"Exceed 10% Rule","")</f>
      </c>
      <c r="E40" s="297">
        <f>IF(E41*0.1&lt;E39,"Exceed 10% Rule","")</f>
      </c>
      <c r="F40" s="382"/>
      <c r="G40" s="414"/>
      <c r="H40" s="530"/>
      <c r="I40" s="530"/>
      <c r="J40" s="638"/>
    </row>
    <row r="41" spans="2:10" ht="15.75">
      <c r="B41" s="403" t="s">
        <v>454</v>
      </c>
      <c r="C41" s="422">
        <f>SUM(C31:C39)</f>
        <v>1441506</v>
      </c>
      <c r="D41" s="422">
        <f>SUM(D31:D39)</f>
        <v>1693179</v>
      </c>
      <c r="E41" s="408">
        <f>SUM(E31:E39)</f>
        <v>2154336</v>
      </c>
      <c r="F41" s="382"/>
      <c r="G41" s="418">
        <f>D42</f>
        <v>290298</v>
      </c>
      <c r="H41" s="420" t="str">
        <f>CONCATENATE("",E1-1," Ending Cash Balance (est.)")</f>
        <v>2012 Ending Cash Balance (est.)</v>
      </c>
      <c r="I41" s="415"/>
      <c r="J41" s="638"/>
    </row>
    <row r="42" spans="2:10" ht="15.75">
      <c r="B42" s="393" t="s">
        <v>565</v>
      </c>
      <c r="C42" s="427">
        <f>SUM(C29-C41)</f>
        <v>355051</v>
      </c>
      <c r="D42" s="427">
        <f>SUM(D29-D41)</f>
        <v>290298</v>
      </c>
      <c r="E42" s="410" t="s">
        <v>425</v>
      </c>
      <c r="F42" s="382"/>
      <c r="G42" s="418">
        <f>E28</f>
        <v>1659568</v>
      </c>
      <c r="H42" s="419" t="str">
        <f>CONCATENATE("",E1," Non-AV Receipts (est.)")</f>
        <v>2013 Non-AV Receipts (est.)</v>
      </c>
      <c r="I42" s="530"/>
      <c r="J42" s="638"/>
    </row>
    <row r="43" spans="2:10" ht="15.75">
      <c r="B43" s="398" t="str">
        <f>CONCATENATE("",E1-2,"/",E1-1," Budget Authority Amount:")</f>
        <v>2011/2012 Budget Authority Amount:</v>
      </c>
      <c r="C43" s="400">
        <f>inputOth!B61</f>
        <v>2108092</v>
      </c>
      <c r="D43" s="404">
        <f>inputPrYr!D18</f>
        <v>2129781</v>
      </c>
      <c r="E43" s="410" t="s">
        <v>425</v>
      </c>
      <c r="F43" s="405"/>
      <c r="G43" s="417">
        <f>IF(E47&gt;0,E46,E48)</f>
        <v>204470</v>
      </c>
      <c r="H43" s="419" t="str">
        <f>CONCATENATE("",E1," Ad Valorem Tax (est.)")</f>
        <v>2013 Ad Valorem Tax (est.)</v>
      </c>
      <c r="I43" s="530"/>
      <c r="J43" s="638"/>
    </row>
    <row r="44" spans="2:10" ht="15.75">
      <c r="B44" s="398"/>
      <c r="C44" s="821" t="s">
        <v>1091</v>
      </c>
      <c r="D44" s="822"/>
      <c r="E44" s="67">
        <v>0</v>
      </c>
      <c r="F44" s="433">
        <f>IF(E41/0.95-E41&lt;E44,"Exceeds 5%","")</f>
      </c>
      <c r="G44" s="418">
        <f>SUM(G41:G43)</f>
        <v>2154336</v>
      </c>
      <c r="H44" s="419" t="str">
        <f>CONCATENATE("Total ",E1," Resources Available")</f>
        <v>Total 2013 Resources Available</v>
      </c>
      <c r="I44" s="415"/>
      <c r="J44" s="638"/>
    </row>
    <row r="45" spans="2:10" ht="15.75">
      <c r="B45" s="525" t="str">
        <f>CONCATENATE(C100,"     ",D100)</f>
        <v>     </v>
      </c>
      <c r="C45" s="823" t="s">
        <v>158</v>
      </c>
      <c r="D45" s="824"/>
      <c r="E45" s="394">
        <f>SUM(E41+E44)</f>
        <v>2154336</v>
      </c>
      <c r="F45" s="382"/>
      <c r="G45" s="416"/>
      <c r="H45" s="419"/>
      <c r="I45" s="530"/>
      <c r="J45" s="638"/>
    </row>
    <row r="46" spans="2:10" ht="15.75">
      <c r="B46" s="525" t="str">
        <f>CONCATENATE(C101,"     ",D101)</f>
        <v>     </v>
      </c>
      <c r="C46" s="406"/>
      <c r="D46" s="399" t="s">
        <v>455</v>
      </c>
      <c r="E46" s="388">
        <f>IF(E45-E29&gt;0,E45-E29,0)</f>
        <v>204470</v>
      </c>
      <c r="F46" s="382"/>
      <c r="G46" s="417">
        <f>C41</f>
        <v>1441506</v>
      </c>
      <c r="H46" s="419" t="str">
        <f>CONCATENATE("Less ",E1-2," Expenditures")</f>
        <v>Less 2011 Expenditures</v>
      </c>
      <c r="I46" s="530"/>
      <c r="J46" s="638"/>
    </row>
    <row r="47" spans="2:10" ht="15.75">
      <c r="B47" s="399"/>
      <c r="C47" s="381" t="s">
        <v>1090</v>
      </c>
      <c r="D47" s="716">
        <f>inputOth!$E$47</f>
        <v>0.06</v>
      </c>
      <c r="E47" s="394">
        <f>ROUND(IF(D47&gt;0,(E46*D47),0),0)</f>
        <v>12268</v>
      </c>
      <c r="F47" s="382"/>
      <c r="G47" s="635">
        <f>SUM(G44-G46)</f>
        <v>712830</v>
      </c>
      <c r="H47" s="636" t="str">
        <f>CONCATENATE("Projected ",E1+1," carryover (est.)")</f>
        <v>Projected 2014 carryover (est.)</v>
      </c>
      <c r="I47" s="637"/>
      <c r="J47" s="623"/>
    </row>
    <row r="48" spans="2:6" ht="16.5" thickBot="1">
      <c r="B48" s="383"/>
      <c r="C48" s="829" t="str">
        <f>CONCATENATE("Amount of  ",E1-1," Ad Valorem Tax")</f>
        <v>Amount of  2012 Ad Valorem Tax</v>
      </c>
      <c r="D48" s="830"/>
      <c r="E48" s="639">
        <f>SUM(E46:E47)</f>
        <v>216738</v>
      </c>
      <c r="F48" s="382"/>
    </row>
    <row r="49" spans="2:10" ht="16.5" thickTop="1">
      <c r="B49" s="383"/>
      <c r="C49" s="599"/>
      <c r="D49" s="389"/>
      <c r="E49" s="389"/>
      <c r="F49" s="382"/>
      <c r="G49" s="815" t="s">
        <v>288</v>
      </c>
      <c r="H49" s="816"/>
      <c r="I49" s="816"/>
      <c r="J49" s="817"/>
    </row>
    <row r="50" spans="2:10" ht="15.75">
      <c r="B50" s="385"/>
      <c r="C50" s="385"/>
      <c r="D50" s="401"/>
      <c r="E50" s="401"/>
      <c r="F50" s="382"/>
      <c r="G50" s="624"/>
      <c r="H50" s="625"/>
      <c r="I50" s="626"/>
      <c r="J50" s="627"/>
    </row>
    <row r="51" spans="2:10" ht="15.75">
      <c r="B51" s="385" t="s">
        <v>435</v>
      </c>
      <c r="C51" s="704" t="s">
        <v>388</v>
      </c>
      <c r="D51" s="705" t="s">
        <v>389</v>
      </c>
      <c r="E51" s="144" t="s">
        <v>390</v>
      </c>
      <c r="F51" s="382"/>
      <c r="G51" s="628">
        <f>summ!H16</f>
        <v>4.749</v>
      </c>
      <c r="H51" s="625" t="str">
        <f>CONCATENATE("",E1," Fund Mill Rate")</f>
        <v>2013 Fund Mill Rate</v>
      </c>
      <c r="I51" s="626"/>
      <c r="J51" s="627"/>
    </row>
    <row r="52" spans="2:10" ht="15.75">
      <c r="B52" s="429" t="str">
        <f>inputPrYr!B19</f>
        <v>Library - Fund 02</v>
      </c>
      <c r="C52" s="223" t="str">
        <f>CONCATENATE("Actual for ",E1-2,"")</f>
        <v>Actual for 2011</v>
      </c>
      <c r="D52" s="223" t="str">
        <f>CONCATENATE("Estimate for ",E1-1,"")</f>
        <v>Estimate for 2012</v>
      </c>
      <c r="E52" s="208" t="str">
        <f>CONCATENATE("Year for ",E1,"")</f>
        <v>Year for 2013</v>
      </c>
      <c r="F52" s="382"/>
      <c r="G52" s="629">
        <f>summ!E16</f>
        <v>4.749</v>
      </c>
      <c r="H52" s="625" t="str">
        <f>CONCATENATE("",E1-1," Fund Mill Rate")</f>
        <v>2012 Fund Mill Rate</v>
      </c>
      <c r="I52" s="626"/>
      <c r="J52" s="627"/>
    </row>
    <row r="53" spans="2:10" ht="15.75">
      <c r="B53" s="393" t="s">
        <v>564</v>
      </c>
      <c r="C53" s="421">
        <v>22143</v>
      </c>
      <c r="D53" s="423">
        <f>C81</f>
        <v>28305</v>
      </c>
      <c r="E53" s="394">
        <f>D81</f>
        <v>28706</v>
      </c>
      <c r="F53" s="382"/>
      <c r="G53" s="630">
        <f>summ!H34</f>
        <v>41.808</v>
      </c>
      <c r="H53" s="625" t="str">
        <f>CONCATENATE("Total ",E1," Mill Rate")</f>
        <v>Total 2013 Mill Rate</v>
      </c>
      <c r="I53" s="626"/>
      <c r="J53" s="627"/>
    </row>
    <row r="54" spans="2:10" ht="15.75">
      <c r="B54" s="402" t="s">
        <v>566</v>
      </c>
      <c r="C54" s="393"/>
      <c r="D54" s="423"/>
      <c r="E54" s="394"/>
      <c r="F54" s="382"/>
      <c r="G54" s="629">
        <f>summ!E34</f>
        <v>41.309</v>
      </c>
      <c r="H54" s="631" t="str">
        <f>CONCATENATE("Total ",E1-1," Mill Rate")</f>
        <v>Total 2012 Mill Rate</v>
      </c>
      <c r="I54" s="632"/>
      <c r="J54" s="633"/>
    </row>
    <row r="55" spans="2:9" ht="15.75">
      <c r="B55" s="393" t="s">
        <v>436</v>
      </c>
      <c r="C55" s="421">
        <v>209594</v>
      </c>
      <c r="D55" s="423">
        <v>205000</v>
      </c>
      <c r="E55" s="410" t="s">
        <v>425</v>
      </c>
      <c r="F55" s="382"/>
      <c r="G55" s="382"/>
      <c r="H55" s="382"/>
      <c r="I55" s="382"/>
    </row>
    <row r="56" spans="2:9" ht="15.75">
      <c r="B56" s="393" t="s">
        <v>437</v>
      </c>
      <c r="C56" s="421">
        <v>7099</v>
      </c>
      <c r="D56" s="425">
        <v>6000</v>
      </c>
      <c r="E56" s="387">
        <v>5500</v>
      </c>
      <c r="F56" s="382"/>
      <c r="G56" s="382"/>
      <c r="H56" s="382"/>
      <c r="I56" s="382"/>
    </row>
    <row r="57" spans="2:9" ht="15.75">
      <c r="B57" s="393" t="s">
        <v>438</v>
      </c>
      <c r="C57" s="421">
        <v>19969</v>
      </c>
      <c r="D57" s="425">
        <v>22000</v>
      </c>
      <c r="E57" s="394">
        <f>mvalloc!D9</f>
        <v>20168</v>
      </c>
      <c r="F57" s="382"/>
      <c r="G57" s="382"/>
      <c r="H57" s="382"/>
      <c r="I57" s="382"/>
    </row>
    <row r="58" spans="2:9" ht="15.75">
      <c r="B58" s="393" t="s">
        <v>439</v>
      </c>
      <c r="C58" s="421"/>
      <c r="D58" s="425"/>
      <c r="E58" s="394">
        <f>mvalloc!E9</f>
        <v>266</v>
      </c>
      <c r="F58" s="382"/>
      <c r="G58" s="382"/>
      <c r="H58" s="382"/>
      <c r="I58" s="382"/>
    </row>
    <row r="59" spans="2:5" ht="15.75">
      <c r="B59" s="396" t="s">
        <v>537</v>
      </c>
      <c r="C59" s="421"/>
      <c r="D59" s="425"/>
      <c r="E59" s="394">
        <f>mvalloc!F9</f>
        <v>124</v>
      </c>
    </row>
    <row r="60" spans="2:5" ht="15.75">
      <c r="B60" s="735" t="s">
        <v>979</v>
      </c>
      <c r="C60" s="421">
        <v>390</v>
      </c>
      <c r="D60" s="425">
        <v>200</v>
      </c>
      <c r="E60" s="387">
        <v>250</v>
      </c>
    </row>
    <row r="61" spans="2:5" ht="15.75">
      <c r="B61" s="735" t="s">
        <v>948</v>
      </c>
      <c r="C61" s="421">
        <v>22427</v>
      </c>
      <c r="D61" s="425">
        <v>22976</v>
      </c>
      <c r="E61" s="387">
        <v>23474</v>
      </c>
    </row>
    <row r="62" spans="2:5" ht="15.75">
      <c r="B62" s="735" t="s">
        <v>980</v>
      </c>
      <c r="C62" s="421">
        <v>5725</v>
      </c>
      <c r="D62" s="425">
        <v>4000</v>
      </c>
      <c r="E62" s="387">
        <v>5000</v>
      </c>
    </row>
    <row r="63" spans="2:5" ht="15.75">
      <c r="B63" s="735" t="s">
        <v>981</v>
      </c>
      <c r="C63" s="421">
        <v>0</v>
      </c>
      <c r="D63" s="425">
        <v>1</v>
      </c>
      <c r="E63" s="387">
        <v>0</v>
      </c>
    </row>
    <row r="64" spans="2:5" ht="15.75">
      <c r="B64" s="407" t="s">
        <v>442</v>
      </c>
      <c r="C64" s="421">
        <v>658</v>
      </c>
      <c r="D64" s="425">
        <v>350</v>
      </c>
      <c r="E64" s="387">
        <v>350</v>
      </c>
    </row>
    <row r="65" spans="2:6" ht="15.75">
      <c r="B65" s="393" t="s">
        <v>1203</v>
      </c>
      <c r="C65" s="421">
        <v>2077</v>
      </c>
      <c r="D65" s="255">
        <v>2500</v>
      </c>
      <c r="E65" s="67">
        <v>2500</v>
      </c>
      <c r="F65" s="765"/>
    </row>
    <row r="66" spans="2:5" ht="15.75">
      <c r="B66" s="393" t="s">
        <v>1152</v>
      </c>
      <c r="C66" s="260">
        <f>IF(C67*0.1&lt;C65,"Exceed 10% Rule","")</f>
      </c>
      <c r="D66" s="260">
        <f>IF(D67*0.1&lt;D65,"Exceed 10% Rule","")</f>
      </c>
      <c r="E66" s="297">
        <f>IF(E67*0.1+E87&lt;E65,"Exceed 10% Rule","")</f>
      </c>
    </row>
    <row r="67" spans="2:5" ht="15.75">
      <c r="B67" s="403" t="s">
        <v>443</v>
      </c>
      <c r="C67" s="422">
        <f>SUM(C55:C65)</f>
        <v>267939</v>
      </c>
      <c r="D67" s="422">
        <f>SUM(D55:D65)</f>
        <v>263027</v>
      </c>
      <c r="E67" s="408">
        <f>SUM(E56:E65)</f>
        <v>57632</v>
      </c>
    </row>
    <row r="68" spans="2:5" ht="15.75">
      <c r="B68" s="403" t="s">
        <v>448</v>
      </c>
      <c r="C68" s="422">
        <f>SUM(C53+C67)</f>
        <v>290082</v>
      </c>
      <c r="D68" s="422">
        <f>SUM(D53+D67)</f>
        <v>291332</v>
      </c>
      <c r="E68" s="408">
        <f>SUM(E53+E67)</f>
        <v>86338</v>
      </c>
    </row>
    <row r="69" spans="2:5" ht="15.75">
      <c r="B69" s="393" t="s">
        <v>450</v>
      </c>
      <c r="C69" s="393"/>
      <c r="D69" s="423"/>
      <c r="E69" s="394"/>
    </row>
    <row r="70" spans="2:5" ht="15.75">
      <c r="B70" s="735" t="s">
        <v>982</v>
      </c>
      <c r="C70" s="421">
        <f>66832+52629+26880+413+184</f>
        <v>146938</v>
      </c>
      <c r="D70" s="425">
        <f>71136+55325+18000+450+200</f>
        <v>145111</v>
      </c>
      <c r="E70" s="387">
        <f>74000+57200+23000+550+225</f>
        <v>154975</v>
      </c>
    </row>
    <row r="71" spans="2:10" ht="15.75">
      <c r="B71" s="735" t="s">
        <v>950</v>
      </c>
      <c r="C71" s="421">
        <v>0</v>
      </c>
      <c r="D71" s="425">
        <v>0</v>
      </c>
      <c r="E71" s="387">
        <f>20553+765</f>
        <v>21318</v>
      </c>
      <c r="F71" s="2"/>
      <c r="G71" s="831" t="str">
        <f>CONCATENATE("Desired Carryover Into ",E1+1,"")</f>
        <v>Desired Carryover Into 2014</v>
      </c>
      <c r="H71" s="827"/>
      <c r="I71" s="827"/>
      <c r="J71" s="828"/>
    </row>
    <row r="72" spans="2:10" ht="15.75">
      <c r="B72" s="735" t="s">
        <v>983</v>
      </c>
      <c r="C72" s="421">
        <f>27832+121</f>
        <v>27953</v>
      </c>
      <c r="D72" s="425">
        <f>1300+1400+500+6132+13000+7000</f>
        <v>29332</v>
      </c>
      <c r="E72" s="387">
        <f>1350+1300+500+7000+14000+7000</f>
        <v>31150</v>
      </c>
      <c r="F72" s="2"/>
      <c r="G72" s="642"/>
      <c r="H72" s="76"/>
      <c r="I72" s="643"/>
      <c r="J72" s="644"/>
    </row>
    <row r="73" spans="2:10" ht="15.75">
      <c r="B73" s="735" t="s">
        <v>984</v>
      </c>
      <c r="C73" s="421">
        <f>38854-58</f>
        <v>38796</v>
      </c>
      <c r="D73" s="425">
        <f>1800+1000+60+3500+3000+400+26000+1100+800+100</f>
        <v>37760</v>
      </c>
      <c r="E73" s="387">
        <f>2000+1000+60+4000+3000+400+26000+1200+900+100</f>
        <v>38660</v>
      </c>
      <c r="F73" s="2"/>
      <c r="G73" s="645" t="s">
        <v>1140</v>
      </c>
      <c r="H73" s="643"/>
      <c r="I73" s="643"/>
      <c r="J73" s="646">
        <v>0</v>
      </c>
    </row>
    <row r="74" spans="2:10" ht="15.75">
      <c r="B74" s="735" t="s">
        <v>985</v>
      </c>
      <c r="C74" s="421">
        <v>9090</v>
      </c>
      <c r="D74" s="425">
        <f>5000+300+6000</f>
        <v>11300</v>
      </c>
      <c r="E74" s="387">
        <v>11200</v>
      </c>
      <c r="F74" s="2"/>
      <c r="G74" s="642" t="s">
        <v>1141</v>
      </c>
      <c r="H74" s="76"/>
      <c r="I74" s="76"/>
      <c r="J74" s="647">
        <f>IF(J73=0,"",ROUND((J73+E87-G86)/inputOth!E7*1000,3)-G91)</f>
      </c>
    </row>
    <row r="75" spans="2:10" ht="15.75">
      <c r="B75" s="735" t="s">
        <v>986</v>
      </c>
      <c r="C75" s="421">
        <v>39000</v>
      </c>
      <c r="D75" s="425">
        <v>39000</v>
      </c>
      <c r="E75" s="387">
        <v>32500</v>
      </c>
      <c r="F75" s="2"/>
      <c r="G75" s="648" t="str">
        <f>CONCATENATE("",E1," Tot Exp/Non-Appr Must Be:")</f>
        <v>2013 Tot Exp/Non-Appr Must Be:</v>
      </c>
      <c r="H75" s="649"/>
      <c r="I75" s="650"/>
      <c r="J75" s="651">
        <f>IF(J73&gt;0,IF(E84&lt;E68,IF(J73=G86,E84,((J73-G86)*(1-D86))+E68),E84+(J73-G86)),0)</f>
        <v>0</v>
      </c>
    </row>
    <row r="76" spans="2:10" ht="15.75">
      <c r="B76" s="412"/>
      <c r="C76" s="421"/>
      <c r="D76" s="425"/>
      <c r="E76" s="387"/>
      <c r="F76" s="2"/>
      <c r="G76" s="652" t="s">
        <v>289</v>
      </c>
      <c r="H76" s="653"/>
      <c r="I76" s="653"/>
      <c r="J76" s="654">
        <f>IF(J73&gt;0,J75-E84,0)</f>
        <v>0</v>
      </c>
    </row>
    <row r="77" spans="2:10" ht="15.75">
      <c r="B77" s="396" t="s">
        <v>1202</v>
      </c>
      <c r="C77" s="421">
        <v>0</v>
      </c>
      <c r="D77" s="425"/>
      <c r="E77" s="394">
        <f>nhood!E8</f>
      </c>
      <c r="F77"/>
      <c r="G77" s="2"/>
      <c r="H77" s="2"/>
      <c r="I77" s="2"/>
      <c r="J77" s="2"/>
    </row>
    <row r="78" spans="2:10" ht="15.75">
      <c r="B78" s="396" t="s">
        <v>1203</v>
      </c>
      <c r="C78" s="488">
        <v>0</v>
      </c>
      <c r="D78" s="425">
        <v>123</v>
      </c>
      <c r="E78" s="387">
        <v>100</v>
      </c>
      <c r="F78"/>
      <c r="G78" s="831" t="str">
        <f>CONCATENATE("Projected Carryover Into ",E1+1,"")</f>
        <v>Projected Carryover Into 2014</v>
      </c>
      <c r="H78" s="832"/>
      <c r="I78" s="832"/>
      <c r="J78" s="833"/>
    </row>
    <row r="79" spans="2:10" ht="15.75">
      <c r="B79" s="396" t="s">
        <v>1153</v>
      </c>
      <c r="C79" s="260">
        <f>IF(C80*0.1&lt;C78,"Exceed 10% Rule","")</f>
      </c>
      <c r="D79" s="260">
        <f>IF(D80*0.1&lt;D78,"Exceed 10% Rule","")</f>
      </c>
      <c r="E79" s="297">
        <f>IF(E80*0.1&lt;E78,"Exceed 10% Rule","")</f>
      </c>
      <c r="F79"/>
      <c r="G79" s="655"/>
      <c r="H79" s="76"/>
      <c r="I79" s="76"/>
      <c r="J79" s="656"/>
    </row>
    <row r="80" spans="2:10" ht="15.75">
      <c r="B80" s="403" t="s">
        <v>454</v>
      </c>
      <c r="C80" s="422">
        <f>SUM(C70:C78)</f>
        <v>261777</v>
      </c>
      <c r="D80" s="422">
        <f>SUM(D70:D78)</f>
        <v>262626</v>
      </c>
      <c r="E80" s="408">
        <f>SUM(E70:E78)</f>
        <v>289903</v>
      </c>
      <c r="F80"/>
      <c r="G80" s="657">
        <f>D81</f>
        <v>28706</v>
      </c>
      <c r="H80" s="625" t="str">
        <f>CONCATENATE("",E1-1," Ending Cash Balance (est.)")</f>
        <v>2012 Ending Cash Balance (est.)</v>
      </c>
      <c r="I80" s="658"/>
      <c r="J80" s="656"/>
    </row>
    <row r="81" spans="2:10" ht="15.75">
      <c r="B81" s="393" t="s">
        <v>565</v>
      </c>
      <c r="C81" s="427">
        <f>SUM(C68-C80)</f>
        <v>28305</v>
      </c>
      <c r="D81" s="427">
        <f>SUM(D68-D80)</f>
        <v>28706</v>
      </c>
      <c r="E81" s="410" t="s">
        <v>425</v>
      </c>
      <c r="F81"/>
      <c r="G81" s="657">
        <f>E67</f>
        <v>57632</v>
      </c>
      <c r="H81" s="643" t="str">
        <f>CONCATENATE("",E1," Non-AV Receipts (est.)")</f>
        <v>2013 Non-AV Receipts (est.)</v>
      </c>
      <c r="I81" s="658"/>
      <c r="J81" s="656"/>
    </row>
    <row r="82" spans="2:11" ht="15.75">
      <c r="B82" s="398" t="str">
        <f>CONCATENATE("",E1-2,"/",E1-1," Budget Authority Amount:")</f>
        <v>2011/2012 Budget Authority Amount:</v>
      </c>
      <c r="C82" s="400">
        <f>inputOth!B62</f>
        <v>297403</v>
      </c>
      <c r="D82" s="400">
        <f>inputPrYr!D19</f>
        <v>287288</v>
      </c>
      <c r="E82" s="410" t="s">
        <v>425</v>
      </c>
      <c r="F82" s="274"/>
      <c r="G82" s="659">
        <f>IF(E86&gt;0,E85,E87)</f>
        <v>203565</v>
      </c>
      <c r="H82" s="643" t="str">
        <f>CONCATENATE("",E1," Ad Valorem Tax (est.)")</f>
        <v>2013 Ad Valorem Tax (est.)</v>
      </c>
      <c r="I82" s="658"/>
      <c r="J82" s="656"/>
      <c r="K82" s="634" t="str">
        <f>IF(G82=E87,"","Note: Does not include Delinquent Taxes")</f>
        <v>Note: Does not include Delinquent Taxes</v>
      </c>
    </row>
    <row r="83" spans="2:10" ht="15.75">
      <c r="B83" s="398"/>
      <c r="C83" s="821" t="s">
        <v>1091</v>
      </c>
      <c r="D83" s="822"/>
      <c r="E83" s="67">
        <v>0</v>
      </c>
      <c r="F83" s="660">
        <f>IF(E80/0.95-E80&lt;E83,"Exceeds 5%","")</f>
      </c>
      <c r="G83" s="661">
        <f>SUM(G80:G82)</f>
        <v>289903</v>
      </c>
      <c r="H83" s="643" t="str">
        <f>CONCATENATE("Total ",E1," Resources Available")</f>
        <v>Total 2013 Resources Available</v>
      </c>
      <c r="I83" s="662"/>
      <c r="J83" s="656"/>
    </row>
    <row r="84" spans="2:10" ht="15.75">
      <c r="B84" s="525" t="str">
        <f>CONCATENATE(C102,"     ",D102)</f>
        <v>     </v>
      </c>
      <c r="C84" s="823" t="s">
        <v>158</v>
      </c>
      <c r="D84" s="824"/>
      <c r="E84" s="394">
        <f>SUM(E80+E83)</f>
        <v>289903</v>
      </c>
      <c r="F84"/>
      <c r="G84" s="663"/>
      <c r="H84" s="664"/>
      <c r="I84" s="76"/>
      <c r="J84" s="656"/>
    </row>
    <row r="85" spans="2:10" ht="15.75">
      <c r="B85" s="525" t="str">
        <f>CONCATENATE(C103,"     ",D103)</f>
        <v>     </v>
      </c>
      <c r="C85" s="406"/>
      <c r="D85" s="399" t="s">
        <v>455</v>
      </c>
      <c r="E85" s="388">
        <f>IF(E84-E68&gt;0,E84-E68,0)</f>
        <v>203565</v>
      </c>
      <c r="F85"/>
      <c r="G85" s="665">
        <f>ROUND(C80*0.05+C80,0)</f>
        <v>274866</v>
      </c>
      <c r="H85" s="664" t="str">
        <f>CONCATENATE("Less ",E1-2," Expenditures + 5%")</f>
        <v>Less 2011 Expenditures + 5%</v>
      </c>
      <c r="I85" s="662"/>
      <c r="J85" s="656"/>
    </row>
    <row r="86" spans="2:10" ht="15.75">
      <c r="B86" s="399"/>
      <c r="C86" s="381" t="s">
        <v>1090</v>
      </c>
      <c r="D86" s="716">
        <f>inputOth!$E$47</f>
        <v>0.06</v>
      </c>
      <c r="E86" s="394">
        <f>ROUND(IF(D86&gt;0,(E85*D86),0),0)</f>
        <v>12214</v>
      </c>
      <c r="F86"/>
      <c r="G86" s="666">
        <f>G83-G85</f>
        <v>15037</v>
      </c>
      <c r="H86" s="667" t="str">
        <f>CONCATENATE("Projected ",E1+1," carryover (est.)")</f>
        <v>Projected 2014 carryover (est.)</v>
      </c>
      <c r="I86" s="668"/>
      <c r="J86" s="669"/>
    </row>
    <row r="87" spans="2:10" ht="16.5" thickBot="1">
      <c r="B87" s="383"/>
      <c r="C87" s="829" t="str">
        <f>CONCATENATE("Amount of  ",E1-1," Ad Valorem Tax")</f>
        <v>Amount of  2012 Ad Valorem Tax</v>
      </c>
      <c r="D87" s="830"/>
      <c r="E87" s="639">
        <f>SUM(E85:E86)</f>
        <v>215779</v>
      </c>
      <c r="F87" s="670" t="str">
        <f>IF('Library Grant'!F33="","",IF('Library Grant'!F33="Qualify","Qualifies for State Library Grant","See 'Library Grant' tab"))</f>
        <v>Qualifies for State Library Grant</v>
      </c>
      <c r="G87" s="2"/>
      <c r="H87" s="2"/>
      <c r="I87" s="2"/>
      <c r="J87" s="2"/>
    </row>
    <row r="88" spans="2:10" ht="16.5" thickTop="1">
      <c r="B88" s="399" t="s">
        <v>457</v>
      </c>
      <c r="C88" s="411">
        <v>9</v>
      </c>
      <c r="D88" s="389"/>
      <c r="E88" s="383"/>
      <c r="F88"/>
      <c r="G88" s="815" t="s">
        <v>288</v>
      </c>
      <c r="H88" s="816"/>
      <c r="I88" s="816"/>
      <c r="J88" s="817"/>
    </row>
    <row r="89" spans="6:10" ht="15.75">
      <c r="F89" s="2"/>
      <c r="G89" s="624"/>
      <c r="H89" s="625"/>
      <c r="I89" s="626"/>
      <c r="J89" s="627"/>
    </row>
    <row r="90" spans="2:10" ht="15.75">
      <c r="B90" s="390"/>
      <c r="C90" s="390"/>
      <c r="D90" s="382"/>
      <c r="E90" s="382"/>
      <c r="F90"/>
      <c r="G90" s="628">
        <f>summ!H17</f>
        <v>4.728</v>
      </c>
      <c r="H90" s="625" t="str">
        <f>CONCATENATE("",E1," Fund Mill Rate")</f>
        <v>2013 Fund Mill Rate</v>
      </c>
      <c r="I90" s="626"/>
      <c r="J90" s="627"/>
    </row>
    <row r="91" spans="6:10" ht="15.75">
      <c r="F91" s="2"/>
      <c r="G91" s="629">
        <f>summ!E17</f>
        <v>4.728</v>
      </c>
      <c r="H91" s="625" t="str">
        <f>CONCATENATE("",E1-1," Fund Mill Rate")</f>
        <v>2012 Fund Mill Rate</v>
      </c>
      <c r="I91" s="626"/>
      <c r="J91" s="627"/>
    </row>
    <row r="92" spans="6:10" ht="15.75">
      <c r="F92" s="2"/>
      <c r="G92" s="630">
        <f>summ!H34</f>
        <v>41.808</v>
      </c>
      <c r="H92" s="625" t="str">
        <f>CONCATENATE("Total ",E1," Mill Rate")</f>
        <v>Total 2013 Mill Rate</v>
      </c>
      <c r="I92" s="626"/>
      <c r="J92" s="627"/>
    </row>
    <row r="93" spans="6:10" ht="15.75">
      <c r="F93" s="2"/>
      <c r="G93" s="629">
        <f>summ!E34</f>
        <v>41.309</v>
      </c>
      <c r="H93" s="631" t="str">
        <f>CONCATENATE("Total ",E1-1," Mill Rate")</f>
        <v>Total 2012 Mill Rate</v>
      </c>
      <c r="I93" s="632"/>
      <c r="J93" s="633"/>
    </row>
    <row r="95" spans="3:4" ht="15.75">
      <c r="C95" s="384" t="s">
        <v>160</v>
      </c>
      <c r="D95" s="384" t="s">
        <v>160</v>
      </c>
    </row>
    <row r="96" spans="3:4" ht="15.75">
      <c r="C96" s="384" t="s">
        <v>160</v>
      </c>
      <c r="D96" s="384" t="s">
        <v>160</v>
      </c>
    </row>
    <row r="98" spans="3:4" ht="15.75">
      <c r="C98" s="384" t="s">
        <v>160</v>
      </c>
      <c r="D98" s="384" t="s">
        <v>160</v>
      </c>
    </row>
    <row r="99" spans="3:4" ht="1.5" customHeight="1">
      <c r="C99" s="384" t="s">
        <v>160</v>
      </c>
      <c r="D99" s="384" t="s">
        <v>160</v>
      </c>
    </row>
    <row r="100" spans="3:4" ht="15" customHeight="1" hidden="1">
      <c r="C100" s="524">
        <f>IF(C41&gt;C43,"See Tab A","")</f>
      </c>
      <c r="D100" s="524">
        <f>IF(D41&gt;D43,"See Tab C","")</f>
      </c>
    </row>
    <row r="101" spans="3:4" ht="15.75" customHeight="1" hidden="1">
      <c r="C101" s="524">
        <f>IF(C42&lt;0,"See Tab B","")</f>
      </c>
      <c r="D101" s="524">
        <f>IF(D42&lt;0,"See Tab D","")</f>
      </c>
    </row>
    <row r="102" spans="3:4" ht="1.5" customHeight="1" hidden="1">
      <c r="C102" s="524">
        <f>IF(C80&gt;C82,"See Tab A","")</f>
      </c>
      <c r="D102" s="524">
        <f>IF(D80&gt;D82,"See Tab C","")</f>
      </c>
    </row>
    <row r="103" spans="3:4" ht="43.5" customHeight="1" hidden="1">
      <c r="C103" s="524">
        <f>IF(C81&lt;0,"See Tab B","")</f>
      </c>
      <c r="D103" s="524">
        <f>IF(D81&lt;0,"See Tab D","")</f>
      </c>
    </row>
    <row r="104" ht="24.75" customHeight="1"/>
  </sheetData>
  <sheetProtection/>
  <mergeCells count="12">
    <mergeCell ref="G39:J39"/>
    <mergeCell ref="G32:J32"/>
    <mergeCell ref="G49:J49"/>
    <mergeCell ref="G71:J71"/>
    <mergeCell ref="C44:D44"/>
    <mergeCell ref="C45:D45"/>
    <mergeCell ref="G88:J88"/>
    <mergeCell ref="C87:D87"/>
    <mergeCell ref="C83:D83"/>
    <mergeCell ref="C84:D84"/>
    <mergeCell ref="C48:D48"/>
    <mergeCell ref="G78:J78"/>
  </mergeCells>
  <conditionalFormatting sqref="C65">
    <cfRule type="cellIs" priority="22" dxfId="0" operator="greaterThan" stopIfTrue="1">
      <formula>$C$67*0.1</formula>
    </cfRule>
  </conditionalFormatting>
  <conditionalFormatting sqref="D65 D26">
    <cfRule type="cellIs" priority="21" dxfId="3" operator="greaterThan" stopIfTrue="1">
      <formula>$D$28*0.1</formula>
    </cfRule>
  </conditionalFormatting>
  <conditionalFormatting sqref="E65">
    <cfRule type="cellIs" priority="20" dxfId="305" operator="greaterThan" stopIfTrue="1">
      <formula>$E$28*0.1+E87</formula>
    </cfRule>
  </conditionalFormatting>
  <conditionalFormatting sqref="C78">
    <cfRule type="cellIs" priority="19" dxfId="0" operator="greaterThan" stopIfTrue="1">
      <formula>$C$80*0.1</formula>
    </cfRule>
  </conditionalFormatting>
  <conditionalFormatting sqref="D78">
    <cfRule type="cellIs" priority="18" dxfId="0" operator="greaterThan" stopIfTrue="1">
      <formula>$D$80*0.1</formula>
    </cfRule>
  </conditionalFormatting>
  <conditionalFormatting sqref="E78">
    <cfRule type="cellIs" priority="17" dxfId="0" operator="greaterThan" stopIfTrue="1">
      <formula>$E$80*0.1</formula>
    </cfRule>
  </conditionalFormatting>
  <conditionalFormatting sqref="C39">
    <cfRule type="cellIs" priority="16" dxfId="0" operator="greaterThan" stopIfTrue="1">
      <formula>$C$41*0.1</formula>
    </cfRule>
  </conditionalFormatting>
  <conditionalFormatting sqref="D39">
    <cfRule type="cellIs" priority="15" dxfId="0" operator="greaterThan" stopIfTrue="1">
      <formula>$D$41*0.1</formula>
    </cfRule>
  </conditionalFormatting>
  <conditionalFormatting sqref="E39">
    <cfRule type="cellIs" priority="14" dxfId="0" operator="greaterThan" stopIfTrue="1">
      <formula>$E$41*0.1</formula>
    </cfRule>
  </conditionalFormatting>
  <conditionalFormatting sqref="C26">
    <cfRule type="cellIs" priority="12" dxfId="3" operator="greaterThan" stopIfTrue="1">
      <formula>$C$28*0.1</formula>
    </cfRule>
  </conditionalFormatting>
  <conditionalFormatting sqref="E26">
    <cfRule type="cellIs" priority="11" dxfId="305" operator="greaterThan" stopIfTrue="1">
      <formula>$E$28*0.1+E48</formula>
    </cfRule>
  </conditionalFormatting>
  <conditionalFormatting sqref="E44">
    <cfRule type="cellIs" priority="10" dxfId="305" operator="greaterThan" stopIfTrue="1">
      <formula>$E$41/0.95-$E$41</formula>
    </cfRule>
  </conditionalFormatting>
  <conditionalFormatting sqref="E83">
    <cfRule type="cellIs" priority="9" dxfId="305" operator="greaterThan" stopIfTrue="1">
      <formula>$E$80/0.95-$E$80</formula>
    </cfRule>
  </conditionalFormatting>
  <conditionalFormatting sqref="C41">
    <cfRule type="cellIs" priority="8" dxfId="0" operator="greaterThan" stopIfTrue="1">
      <formula>$C$43</formula>
    </cfRule>
  </conditionalFormatting>
  <conditionalFormatting sqref="D81">
    <cfRule type="cellIs" priority="7" dxfId="0" operator="lessThan" stopIfTrue="1">
      <formula>0</formula>
    </cfRule>
  </conditionalFormatting>
  <conditionalFormatting sqref="D41">
    <cfRule type="cellIs" priority="6" dxfId="0" operator="greaterThan" stopIfTrue="1">
      <formula>$D$43</formula>
    </cfRule>
  </conditionalFormatting>
  <conditionalFormatting sqref="C80">
    <cfRule type="cellIs" priority="4" dxfId="0" operator="greaterThan" stopIfTrue="1">
      <formula>$C$82</formula>
    </cfRule>
  </conditionalFormatting>
  <conditionalFormatting sqref="D80">
    <cfRule type="cellIs" priority="2" dxfId="0" operator="greaterThan" stopIfTrue="1">
      <formula>$D$82</formula>
    </cfRule>
  </conditionalFormatting>
  <printOptions horizontalCentered="1"/>
  <pageMargins left="0.75" right="0.75" top="0.71" bottom="0.38" header="0.5" footer="0.25"/>
  <pageSetup blackAndWhite="1" fitToHeight="1" fitToWidth="1" horizontalDpi="600" verticalDpi="600" orientation="portrait" scale="5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9"/>
  <sheetViews>
    <sheetView zoomScalePageLayoutView="0" workbookViewId="0" topLeftCell="B34">
      <selection activeCell="E47" sqref="E47"/>
    </sheetView>
  </sheetViews>
  <sheetFormatPr defaultColWidth="8.796875" defaultRowHeight="15"/>
  <cols>
    <col min="1" max="1" width="2.3984375" style="45" customWidth="1"/>
    <col min="2" max="2" width="39.29687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505</v>
      </c>
      <c r="C3" s="201"/>
      <c r="D3" s="201"/>
      <c r="E3" s="286"/>
    </row>
    <row r="4" spans="2:5" ht="15.75">
      <c r="B4" s="52" t="s">
        <v>435</v>
      </c>
      <c r="C4" s="704" t="s">
        <v>388</v>
      </c>
      <c r="D4" s="705" t="s">
        <v>389</v>
      </c>
      <c r="E4" s="144" t="s">
        <v>390</v>
      </c>
    </row>
    <row r="5" spans="2:5" ht="15.75">
      <c r="B5" s="529" t="str">
        <f>inputPrYr!B21</f>
        <v>Employee Benefits - Fund 05</v>
      </c>
      <c r="C5" s="223" t="str">
        <f>CONCATENATE("Actual for ",E1-2,"")</f>
        <v>Actual for 2011</v>
      </c>
      <c r="D5" s="223" t="str">
        <f>CONCATENATE("Estimate for ",E1-1,"")</f>
        <v>Estimate for 2012</v>
      </c>
      <c r="E5" s="208" t="str">
        <f>CONCATENATE("Year for ",E1,"")</f>
        <v>Year for 2013</v>
      </c>
    </row>
    <row r="6" spans="2:5" ht="15.75">
      <c r="B6" s="250" t="s">
        <v>564</v>
      </c>
      <c r="C6" s="255">
        <v>276245</v>
      </c>
      <c r="D6" s="253">
        <f>C51</f>
        <v>418476</v>
      </c>
      <c r="E6" s="226">
        <f>D51</f>
        <v>397585</v>
      </c>
    </row>
    <row r="7" spans="2:5" ht="15.75">
      <c r="B7" s="254" t="s">
        <v>566</v>
      </c>
      <c r="C7" s="159"/>
      <c r="D7" s="159"/>
      <c r="E7" s="87"/>
    </row>
    <row r="8" spans="2:5" ht="15.75">
      <c r="B8" s="150" t="s">
        <v>436</v>
      </c>
      <c r="C8" s="255">
        <v>302468</v>
      </c>
      <c r="D8" s="253">
        <v>298980</v>
      </c>
      <c r="E8" s="284" t="s">
        <v>425</v>
      </c>
    </row>
    <row r="9" spans="2:5" ht="15.75">
      <c r="B9" s="150" t="s">
        <v>437</v>
      </c>
      <c r="C9" s="255">
        <v>10405</v>
      </c>
      <c r="D9" s="255">
        <v>9000</v>
      </c>
      <c r="E9" s="67">
        <v>8000</v>
      </c>
    </row>
    <row r="10" spans="2:5" ht="15.75">
      <c r="B10" s="150" t="s">
        <v>438</v>
      </c>
      <c r="C10" s="255">
        <v>29190</v>
      </c>
      <c r="D10" s="255">
        <v>30000</v>
      </c>
      <c r="E10" s="226">
        <f>mvalloc!D10</f>
        <v>29103</v>
      </c>
    </row>
    <row r="11" spans="2:5" ht="15.75">
      <c r="B11" s="150" t="s">
        <v>439</v>
      </c>
      <c r="C11" s="255"/>
      <c r="D11" s="255"/>
      <c r="E11" s="226">
        <f>mvalloc!E10</f>
        <v>384</v>
      </c>
    </row>
    <row r="12" spans="2:5" ht="15.75">
      <c r="B12" s="159" t="s">
        <v>537</v>
      </c>
      <c r="C12" s="255"/>
      <c r="D12" s="255"/>
      <c r="E12" s="226">
        <f>mvalloc!F10</f>
        <v>180</v>
      </c>
    </row>
    <row r="13" spans="2:5" ht="15.75">
      <c r="B13" s="735" t="s">
        <v>979</v>
      </c>
      <c r="C13" s="255">
        <v>563</v>
      </c>
      <c r="D13" s="255">
        <v>300</v>
      </c>
      <c r="E13" s="67">
        <v>400</v>
      </c>
    </row>
    <row r="14" spans="2:5" ht="15.75">
      <c r="B14" s="735" t="s">
        <v>973</v>
      </c>
      <c r="C14" s="255">
        <v>40037</v>
      </c>
      <c r="D14" s="255">
        <v>46302</v>
      </c>
      <c r="E14" s="67">
        <f>11000+26000</f>
        <v>37000</v>
      </c>
    </row>
    <row r="15" spans="2:5" ht="15.75">
      <c r="B15" s="735" t="s">
        <v>987</v>
      </c>
      <c r="C15" s="255">
        <v>22000</v>
      </c>
      <c r="D15" s="255">
        <v>23000</v>
      </c>
      <c r="E15" s="67">
        <v>25300</v>
      </c>
    </row>
    <row r="16" spans="2:5" ht="15.75">
      <c r="B16" s="735" t="s">
        <v>988</v>
      </c>
      <c r="C16" s="255">
        <v>140000</v>
      </c>
      <c r="D16" s="255">
        <v>134200</v>
      </c>
      <c r="E16" s="67">
        <v>150800</v>
      </c>
    </row>
    <row r="17" spans="2:5" ht="15.75">
      <c r="B17" s="735" t="s">
        <v>989</v>
      </c>
      <c r="C17" s="255">
        <v>5600</v>
      </c>
      <c r="D17" s="255">
        <v>5400</v>
      </c>
      <c r="E17" s="67">
        <v>5500</v>
      </c>
    </row>
    <row r="18" spans="2:5" ht="15.75">
      <c r="B18" s="735" t="s">
        <v>990</v>
      </c>
      <c r="C18" s="255">
        <v>58000</v>
      </c>
      <c r="D18" s="255">
        <v>55200</v>
      </c>
      <c r="E18" s="67">
        <v>61700</v>
      </c>
    </row>
    <row r="19" spans="2:5" ht="15.75">
      <c r="B19" s="735" t="s">
        <v>991</v>
      </c>
      <c r="C19" s="255">
        <v>31440</v>
      </c>
      <c r="D19" s="255">
        <v>33700</v>
      </c>
      <c r="E19" s="67">
        <v>37400</v>
      </c>
    </row>
    <row r="20" spans="2:5" ht="15.75">
      <c r="B20" s="735" t="s">
        <v>992</v>
      </c>
      <c r="C20" s="255">
        <v>5350</v>
      </c>
      <c r="D20" s="255">
        <v>5950</v>
      </c>
      <c r="E20" s="67">
        <v>6500</v>
      </c>
    </row>
    <row r="21" spans="2:5" ht="15.75">
      <c r="B21" s="735" t="s">
        <v>993</v>
      </c>
      <c r="C21" s="255">
        <v>37300</v>
      </c>
      <c r="D21" s="255">
        <v>35800</v>
      </c>
      <c r="E21" s="67">
        <v>40800</v>
      </c>
    </row>
    <row r="22" spans="2:5" ht="15.75">
      <c r="B22" s="735" t="s">
        <v>994</v>
      </c>
      <c r="C22" s="255">
        <v>39000</v>
      </c>
      <c r="D22" s="255">
        <v>39000</v>
      </c>
      <c r="E22" s="67">
        <v>32500</v>
      </c>
    </row>
    <row r="23" spans="2:5" ht="15.75">
      <c r="B23" s="735" t="s">
        <v>995</v>
      </c>
      <c r="C23" s="255">
        <v>112540</v>
      </c>
      <c r="D23" s="255">
        <v>120000</v>
      </c>
      <c r="E23" s="67">
        <v>123000</v>
      </c>
    </row>
    <row r="24" spans="2:5" ht="15.75">
      <c r="B24" s="735" t="s">
        <v>996</v>
      </c>
      <c r="C24" s="255">
        <v>39300</v>
      </c>
      <c r="D24" s="255">
        <v>39300</v>
      </c>
      <c r="E24" s="67">
        <v>39300</v>
      </c>
    </row>
    <row r="25" spans="2:5" ht="15.75">
      <c r="B25" s="735" t="s">
        <v>997</v>
      </c>
      <c r="C25" s="255">
        <v>15000</v>
      </c>
      <c r="D25" s="255">
        <v>15000</v>
      </c>
      <c r="E25" s="67">
        <v>16000</v>
      </c>
    </row>
    <row r="26" spans="2:6" ht="15.75">
      <c r="B26" s="735" t="s">
        <v>998</v>
      </c>
      <c r="C26" s="255">
        <v>131640</v>
      </c>
      <c r="D26" s="255">
        <v>138750</v>
      </c>
      <c r="E26" s="67">
        <v>135100</v>
      </c>
      <c r="F26" s="765"/>
    </row>
    <row r="27" spans="2:5" ht="15.75">
      <c r="B27" s="735" t="s">
        <v>999</v>
      </c>
      <c r="C27" s="255">
        <v>0</v>
      </c>
      <c r="D27" s="255">
        <v>5000</v>
      </c>
      <c r="E27" s="67">
        <v>5000</v>
      </c>
    </row>
    <row r="28" spans="2:5" ht="15.75">
      <c r="B28" s="754" t="s">
        <v>1000</v>
      </c>
      <c r="C28" s="255">
        <v>5900</v>
      </c>
      <c r="D28" s="255">
        <v>5000</v>
      </c>
      <c r="E28" s="67">
        <v>4000</v>
      </c>
    </row>
    <row r="29" spans="2:5" ht="15.75">
      <c r="B29" s="754" t="s">
        <v>1001</v>
      </c>
      <c r="C29" s="255">
        <v>5000</v>
      </c>
      <c r="D29" s="255">
        <v>10000</v>
      </c>
      <c r="E29" s="67">
        <v>10000</v>
      </c>
    </row>
    <row r="30" spans="2:6" ht="15.75">
      <c r="B30" s="754" t="s">
        <v>1127</v>
      </c>
      <c r="C30" s="255">
        <v>0</v>
      </c>
      <c r="D30" s="255">
        <v>0</v>
      </c>
      <c r="E30" s="67">
        <v>4000</v>
      </c>
      <c r="F30" s="765"/>
    </row>
    <row r="31" spans="2:6" ht="15.75">
      <c r="B31" s="259" t="s">
        <v>442</v>
      </c>
      <c r="C31" s="255">
        <v>2621</v>
      </c>
      <c r="D31" s="255">
        <v>1500</v>
      </c>
      <c r="E31" s="67">
        <v>1500</v>
      </c>
      <c r="F31" s="765"/>
    </row>
    <row r="32" spans="2:5" ht="15.75">
      <c r="B32" s="159" t="s">
        <v>1203</v>
      </c>
      <c r="C32" s="255">
        <v>0</v>
      </c>
      <c r="D32" s="255">
        <v>0</v>
      </c>
      <c r="E32" s="67">
        <v>2000</v>
      </c>
    </row>
    <row r="33" spans="2:5" ht="15.75">
      <c r="B33" s="250" t="s">
        <v>1152</v>
      </c>
      <c r="C33" s="260">
        <f>IF(C34*0.1&lt;C32,"Exceed 10% Rule","")</f>
      </c>
      <c r="D33" s="260">
        <f>IF(D34*0.1&lt;D32,"Exceed 10% Rule","")</f>
      </c>
      <c r="E33" s="297">
        <f>IF(E34*0.1+E57&lt;E32,"Exceed 10% Rule","")</f>
      </c>
    </row>
    <row r="34" spans="2:5" ht="15.75">
      <c r="B34" s="262" t="s">
        <v>443</v>
      </c>
      <c r="C34" s="264">
        <f>SUM(C8:C32)</f>
        <v>1033354</v>
      </c>
      <c r="D34" s="264">
        <f>SUM(D8:D32)</f>
        <v>1051382</v>
      </c>
      <c r="E34" s="265">
        <f>SUM(E8:E32)</f>
        <v>775467</v>
      </c>
    </row>
    <row r="35" spans="2:5" ht="15.75">
      <c r="B35" s="262" t="s">
        <v>448</v>
      </c>
      <c r="C35" s="268">
        <f>C6+C34</f>
        <v>1309599</v>
      </c>
      <c r="D35" s="268">
        <f>D6+D34</f>
        <v>1469858</v>
      </c>
      <c r="E35" s="82">
        <f>E6+E34</f>
        <v>1173052</v>
      </c>
    </row>
    <row r="36" spans="2:5" ht="15.75">
      <c r="B36" s="150" t="s">
        <v>450</v>
      </c>
      <c r="C36" s="272"/>
      <c r="D36" s="272"/>
      <c r="E36" s="65"/>
    </row>
    <row r="37" spans="2:5" ht="15.75">
      <c r="B37" s="735" t="s">
        <v>1002</v>
      </c>
      <c r="C37" s="255">
        <f>38226+302244+10535-2</f>
        <v>351003</v>
      </c>
      <c r="D37" s="255">
        <f>45000+340000+11000</f>
        <v>396000</v>
      </c>
      <c r="E37" s="67">
        <f>85000+382500+11000</f>
        <v>478500</v>
      </c>
    </row>
    <row r="38" spans="2:10" ht="15.75">
      <c r="B38" s="735" t="s">
        <v>1003</v>
      </c>
      <c r="C38" s="255">
        <v>205250</v>
      </c>
      <c r="D38" s="255">
        <v>220000</v>
      </c>
      <c r="E38" s="67">
        <v>230000</v>
      </c>
      <c r="G38" s="831" t="str">
        <f>CONCATENATE("Desired Carryover Into ",E1+1,"")</f>
        <v>Desired Carryover Into 2014</v>
      </c>
      <c r="H38" s="827"/>
      <c r="I38" s="827"/>
      <c r="J38" s="828"/>
    </row>
    <row r="39" spans="2:10" ht="15.75">
      <c r="B39" s="735" t="s">
        <v>1004</v>
      </c>
      <c r="C39" s="255">
        <v>65721</v>
      </c>
      <c r="D39" s="255">
        <v>85408</v>
      </c>
      <c r="E39" s="67">
        <v>95000</v>
      </c>
      <c r="G39" s="642"/>
      <c r="H39" s="76"/>
      <c r="I39" s="643"/>
      <c r="J39" s="644"/>
    </row>
    <row r="40" spans="2:10" ht="15.75">
      <c r="B40" s="735" t="s">
        <v>1005</v>
      </c>
      <c r="C40" s="255">
        <v>233728</v>
      </c>
      <c r="D40" s="255">
        <v>265000</v>
      </c>
      <c r="E40" s="67">
        <v>310000</v>
      </c>
      <c r="G40" s="642"/>
      <c r="H40" s="76"/>
      <c r="I40" s="643"/>
      <c r="J40" s="644"/>
    </row>
    <row r="41" spans="2:10" ht="15.75">
      <c r="B41" s="735" t="s">
        <v>1006</v>
      </c>
      <c r="C41" s="255">
        <v>0</v>
      </c>
      <c r="D41" s="255">
        <v>40000</v>
      </c>
      <c r="E41" s="67">
        <v>50000</v>
      </c>
      <c r="G41" s="642"/>
      <c r="H41" s="76"/>
      <c r="I41" s="643"/>
      <c r="J41" s="644"/>
    </row>
    <row r="42" spans="2:10" ht="15.75">
      <c r="B42" s="735" t="s">
        <v>1007</v>
      </c>
      <c r="C42" s="255">
        <v>3337</v>
      </c>
      <c r="D42" s="255">
        <v>26200</v>
      </c>
      <c r="E42" s="67">
        <v>10000</v>
      </c>
      <c r="G42" s="642"/>
      <c r="H42" s="76"/>
      <c r="I42" s="643"/>
      <c r="J42" s="644"/>
    </row>
    <row r="43" spans="2:10" ht="15.75">
      <c r="B43" s="735" t="s">
        <v>1008</v>
      </c>
      <c r="C43" s="255">
        <v>9432</v>
      </c>
      <c r="D43" s="255">
        <v>10000</v>
      </c>
      <c r="E43" s="67">
        <v>20000</v>
      </c>
      <c r="G43" s="645" t="s">
        <v>1140</v>
      </c>
      <c r="H43" s="643"/>
      <c r="I43" s="643"/>
      <c r="J43" s="646">
        <v>0</v>
      </c>
    </row>
    <row r="44" spans="2:10" ht="15.75">
      <c r="B44" s="735" t="s">
        <v>1009</v>
      </c>
      <c r="C44" s="255">
        <f>17032+600</f>
        <v>17632</v>
      </c>
      <c r="D44" s="255">
        <v>25000</v>
      </c>
      <c r="E44" s="67">
        <v>26000</v>
      </c>
      <c r="G44" s="642" t="s">
        <v>1141</v>
      </c>
      <c r="H44" s="76"/>
      <c r="I44" s="76"/>
      <c r="J44" s="647">
        <f>IF(J43=0,"",ROUND((J43+E57-G56)/inputOth!E7*1000,3)-G61)</f>
      </c>
    </row>
    <row r="45" spans="2:10" ht="15.75">
      <c r="B45" s="735" t="s">
        <v>983</v>
      </c>
      <c r="C45" s="255">
        <v>3290</v>
      </c>
      <c r="D45" s="255">
        <f>200+113+1000+1352</f>
        <v>2665</v>
      </c>
      <c r="E45" s="67">
        <f>1200+250+250+1000+1400</f>
        <v>4100</v>
      </c>
      <c r="G45" s="648" t="str">
        <f>CONCATENATE("",E1," Tot Exp/Non-Appr Must Be:")</f>
        <v>2013 Tot Exp/Non-Appr Must Be:</v>
      </c>
      <c r="H45" s="649"/>
      <c r="I45" s="650"/>
      <c r="J45" s="651">
        <f>IF(J43&gt;0,IF(E54&lt;E35,IF(J43=G56,E54,((J43-G56)*(1-D56))+E35),E54+(J43-G56)),0)</f>
        <v>0</v>
      </c>
    </row>
    <row r="46" spans="2:10" ht="15.75">
      <c r="B46" s="735" t="s">
        <v>978</v>
      </c>
      <c r="C46" s="255">
        <v>0</v>
      </c>
      <c r="D46" s="255">
        <v>0</v>
      </c>
      <c r="E46" s="67">
        <v>241200</v>
      </c>
      <c r="G46" s="652" t="s">
        <v>289</v>
      </c>
      <c r="H46" s="653"/>
      <c r="I46" s="653"/>
      <c r="J46" s="654">
        <f>IF(J43&gt;0,J45-E54,0)</f>
        <v>0</v>
      </c>
    </row>
    <row r="47" spans="2:10" ht="15.75">
      <c r="B47" s="272" t="s">
        <v>1202</v>
      </c>
      <c r="C47" s="255">
        <v>0</v>
      </c>
      <c r="D47" s="255">
        <v>0</v>
      </c>
      <c r="E47" s="82">
        <f>nhood!E9</f>
      </c>
      <c r="J47" s="2"/>
    </row>
    <row r="48" spans="2:10" ht="15.75">
      <c r="B48" s="272" t="s">
        <v>1203</v>
      </c>
      <c r="C48" s="255">
        <v>1730</v>
      </c>
      <c r="D48" s="255">
        <v>2000</v>
      </c>
      <c r="E48" s="67">
        <v>2000</v>
      </c>
      <c r="G48" s="831" t="str">
        <f>CONCATENATE("Projected Carryover Into ",E1+1,"")</f>
        <v>Projected Carryover Into 2014</v>
      </c>
      <c r="H48" s="835"/>
      <c r="I48" s="835"/>
      <c r="J48" s="833"/>
    </row>
    <row r="49" spans="2:10" ht="15.75">
      <c r="B49" s="272" t="s">
        <v>1153</v>
      </c>
      <c r="C49" s="260">
        <f>IF(C50*0.1&lt;C48,"Exceed 10% Rule","")</f>
      </c>
      <c r="D49" s="260">
        <f>IF(D50*0.1&lt;D48,"Exceed 10% Rule","")</f>
      </c>
      <c r="E49" s="297">
        <f>IF(E50*0.1&lt;E48,"Exceed 10% Rule","")</f>
      </c>
      <c r="G49" s="642"/>
      <c r="H49" s="643"/>
      <c r="I49" s="643"/>
      <c r="J49" s="656"/>
    </row>
    <row r="50" spans="2:10" ht="15.75">
      <c r="B50" s="262" t="s">
        <v>454</v>
      </c>
      <c r="C50" s="264">
        <f>SUM(C37:C48)</f>
        <v>891123</v>
      </c>
      <c r="D50" s="264">
        <f>SUM(D37:D48)</f>
        <v>1072273</v>
      </c>
      <c r="E50" s="265">
        <f>SUM(E37:E48)</f>
        <v>1466800</v>
      </c>
      <c r="G50" s="657">
        <f>D51</f>
        <v>397585</v>
      </c>
      <c r="H50" s="625" t="str">
        <f>CONCATENATE("",E1-1," Ending Cash Balance (est.)")</f>
        <v>2012 Ending Cash Balance (est.)</v>
      </c>
      <c r="I50" s="658"/>
      <c r="J50" s="656"/>
    </row>
    <row r="51" spans="2:10" ht="15.75">
      <c r="B51" s="150" t="s">
        <v>565</v>
      </c>
      <c r="C51" s="268">
        <f>C35-C50</f>
        <v>418476</v>
      </c>
      <c r="D51" s="268">
        <f>D35-D50</f>
        <v>397585</v>
      </c>
      <c r="E51" s="284" t="s">
        <v>425</v>
      </c>
      <c r="G51" s="657">
        <f>E34</f>
        <v>775467</v>
      </c>
      <c r="H51" s="643" t="str">
        <f>CONCATENATE("",E1," Non-AV Receipts (est.)")</f>
        <v>2013 Non-AV Receipts (est.)</v>
      </c>
      <c r="I51" s="658"/>
      <c r="J51" s="656"/>
    </row>
    <row r="52" spans="2:11" ht="15.75">
      <c r="B52" s="136" t="str">
        <f>CONCATENATE("",E1-2,"/",E1-1," Budget Authority Amount:")</f>
        <v>2011/2012 Budget Authority Amount:</v>
      </c>
      <c r="C52" s="239">
        <f>inputOth!B63</f>
        <v>1213890</v>
      </c>
      <c r="D52" s="239">
        <f>inputPrYr!D21</f>
        <v>1403785</v>
      </c>
      <c r="E52" s="284" t="s">
        <v>425</v>
      </c>
      <c r="F52" s="274"/>
      <c r="G52" s="659">
        <f>IF(E56&gt;0,E55,E57)</f>
        <v>293748</v>
      </c>
      <c r="H52" s="643" t="str">
        <f>CONCATENATE("",E1," Ad Valorem Tax (est.)")</f>
        <v>2013 Ad Valorem Tax (est.)</v>
      </c>
      <c r="I52" s="658"/>
      <c r="J52" s="638"/>
      <c r="K52" s="634" t="str">
        <f>IF(G52=E57,"","Note: Does not include Delinquent Taxes")</f>
        <v>Note: Does not include Delinquent Taxes</v>
      </c>
    </row>
    <row r="53" spans="2:10" ht="15.75">
      <c r="B53" s="136"/>
      <c r="C53" s="821" t="s">
        <v>1091</v>
      </c>
      <c r="D53" s="822"/>
      <c r="E53" s="67"/>
      <c r="F53" s="726">
        <f>IF(E50/0.95-E50&lt;E53,"Exceeds 5%","")</f>
      </c>
      <c r="G53" s="657">
        <f>SUM(G50:G52)</f>
        <v>1466800</v>
      </c>
      <c r="H53" s="643" t="str">
        <f>CONCATENATE("Total ",E1," Resources Available")</f>
        <v>Total 2013 Resources Available</v>
      </c>
      <c r="I53" s="658"/>
      <c r="J53" s="656"/>
    </row>
    <row r="54" spans="2:10" ht="15.75">
      <c r="B54" s="525" t="str">
        <f>CONCATENATE(C106,"     ",D106)</f>
        <v>     </v>
      </c>
      <c r="C54" s="823" t="s">
        <v>158</v>
      </c>
      <c r="D54" s="824"/>
      <c r="E54" s="226">
        <f>E50+E53</f>
        <v>1466800</v>
      </c>
      <c r="G54" s="694"/>
      <c r="H54" s="643"/>
      <c r="I54" s="643"/>
      <c r="J54" s="656"/>
    </row>
    <row r="55" spans="2:10" ht="15.75">
      <c r="B55" s="525" t="str">
        <f>CONCATENATE(C107,"     ",D107)</f>
        <v>     </v>
      </c>
      <c r="C55" s="275"/>
      <c r="D55" s="169" t="s">
        <v>455</v>
      </c>
      <c r="E55" s="82">
        <f>IF(E54-E35&gt;0,E54-E35,0)</f>
        <v>293748</v>
      </c>
      <c r="G55" s="659">
        <f>ROUND(C50*0.05+C50,0)</f>
        <v>935679</v>
      </c>
      <c r="H55" s="643" t="str">
        <f>CONCATENATE("Less ",E1-2," Expenditures + 5%")</f>
        <v>Less 2011 Expenditures + 5%</v>
      </c>
      <c r="I55" s="658"/>
      <c r="J55" s="656"/>
    </row>
    <row r="56" spans="2:10" ht="15.75">
      <c r="B56" s="169"/>
      <c r="C56" s="381" t="s">
        <v>1090</v>
      </c>
      <c r="D56" s="716">
        <f>inputOth!$E$47</f>
        <v>0.06</v>
      </c>
      <c r="E56" s="226">
        <f>ROUND(IF(D56&gt;0,(E55*D56),0),0)</f>
        <v>17625</v>
      </c>
      <c r="G56" s="695">
        <f>G53-G55</f>
        <v>531121</v>
      </c>
      <c r="H56" s="696" t="str">
        <f>CONCATENATE("Projected ",E1+1," carryover (est.)")</f>
        <v>Projected 2014 carryover (est.)</v>
      </c>
      <c r="I56" s="697"/>
      <c r="J56" s="669"/>
    </row>
    <row r="57" spans="2:10" ht="16.5" thickBot="1">
      <c r="B57" s="169"/>
      <c r="C57" s="825" t="str">
        <f>CONCATENATE("Amount of  ",$E$1-1," Ad Valorem Tax")</f>
        <v>Amount of  2012 Ad Valorem Tax</v>
      </c>
      <c r="D57" s="826"/>
      <c r="E57" s="641">
        <f>E55+E56</f>
        <v>311373</v>
      </c>
      <c r="F57" s="765"/>
      <c r="G57" s="2"/>
      <c r="H57" s="2"/>
      <c r="I57" s="2"/>
      <c r="J57" s="2"/>
    </row>
    <row r="58" spans="2:10" ht="16.5" thickTop="1">
      <c r="B58" s="47"/>
      <c r="C58" s="825"/>
      <c r="D58" s="836"/>
      <c r="E58" s="76"/>
      <c r="G58" s="815" t="s">
        <v>288</v>
      </c>
      <c r="H58" s="816"/>
      <c r="I58" s="816"/>
      <c r="J58" s="817"/>
    </row>
    <row r="59" spans="2:10" ht="15.75">
      <c r="B59" s="399" t="s">
        <v>457</v>
      </c>
      <c r="C59" s="280">
        <v>10</v>
      </c>
      <c r="D59" s="287"/>
      <c r="E59" s="287"/>
      <c r="G59" s="624"/>
      <c r="H59" s="625"/>
      <c r="I59" s="626"/>
      <c r="J59" s="627"/>
    </row>
    <row r="60" spans="2:10" ht="15.75">
      <c r="B60" s="52" t="s">
        <v>435</v>
      </c>
      <c r="C60" s="704" t="s">
        <v>388</v>
      </c>
      <c r="D60" s="705" t="s">
        <v>389</v>
      </c>
      <c r="E60" s="144" t="s">
        <v>390</v>
      </c>
      <c r="G60" s="628">
        <f>summ!H18</f>
        <v>6.823</v>
      </c>
      <c r="H60" s="625" t="str">
        <f>CONCATENATE("",E1," Fund Mill Rate")</f>
        <v>2013 Fund Mill Rate</v>
      </c>
      <c r="I60" s="626"/>
      <c r="J60" s="627"/>
    </row>
    <row r="61" spans="2:10" ht="15.75">
      <c r="B61" s="529">
        <f>(inputPrYr!B22)</f>
        <v>0</v>
      </c>
      <c r="C61" s="223" t="str">
        <f>CONCATENATE("Actual for ",E1-2,"")</f>
        <v>Actual for 2011</v>
      </c>
      <c r="D61" s="223" t="str">
        <f>CONCATENATE("Estimate for ",E1-1,"")</f>
        <v>Estimate for 2012</v>
      </c>
      <c r="E61" s="208" t="str">
        <f>CONCATENATE("Year for ",E1,"")</f>
        <v>Year for 2013</v>
      </c>
      <c r="G61" s="629">
        <f>summ!E18</f>
        <v>6.823</v>
      </c>
      <c r="H61" s="625" t="str">
        <f>CONCATENATE("",E1-1," Fund Mill Rate")</f>
        <v>2012 Fund Mill Rate</v>
      </c>
      <c r="I61" s="626"/>
      <c r="J61" s="627"/>
    </row>
    <row r="62" spans="2:10" ht="15.75">
      <c r="B62" s="250" t="s">
        <v>564</v>
      </c>
      <c r="C62" s="255"/>
      <c r="D62" s="253">
        <f>C86</f>
        <v>0</v>
      </c>
      <c r="E62" s="226">
        <f>D86</f>
        <v>0</v>
      </c>
      <c r="G62" s="630">
        <f>summ!H34</f>
        <v>41.808</v>
      </c>
      <c r="H62" s="625" t="str">
        <f>CONCATENATE("Total ",E1," Mill Rate")</f>
        <v>Total 2013 Mill Rate</v>
      </c>
      <c r="I62" s="626"/>
      <c r="J62" s="627"/>
    </row>
    <row r="63" spans="2:10" ht="15.75">
      <c r="B63" s="254" t="s">
        <v>566</v>
      </c>
      <c r="C63" s="159"/>
      <c r="D63" s="159"/>
      <c r="E63" s="87"/>
      <c r="G63" s="629">
        <f>summ!E34</f>
        <v>41.309</v>
      </c>
      <c r="H63" s="631" t="str">
        <f>CONCATENATE("Total ",E1-1," Mill Rate")</f>
        <v>Total 2012 Mill Rate</v>
      </c>
      <c r="I63" s="632"/>
      <c r="J63" s="633"/>
    </row>
    <row r="64" spans="2:5" ht="15.75">
      <c r="B64" s="150" t="s">
        <v>436</v>
      </c>
      <c r="C64" s="255"/>
      <c r="D64" s="253">
        <f>IF(inputPrYr!H16&gt;0,inputPrYr!G22,inputPrYr!E22)</f>
        <v>0</v>
      </c>
      <c r="E64" s="284" t="s">
        <v>425</v>
      </c>
    </row>
    <row r="65" spans="2:5" ht="15.75">
      <c r="B65" s="150" t="s">
        <v>437</v>
      </c>
      <c r="C65" s="255"/>
      <c r="D65" s="255"/>
      <c r="E65" s="67"/>
    </row>
    <row r="66" spans="2:5" ht="15.75">
      <c r="B66" s="150" t="s">
        <v>438</v>
      </c>
      <c r="C66" s="255"/>
      <c r="D66" s="255"/>
      <c r="E66" s="226" t="str">
        <f>mvalloc!D11</f>
        <v>  </v>
      </c>
    </row>
    <row r="67" spans="2:5" ht="15.75">
      <c r="B67" s="150" t="s">
        <v>439</v>
      </c>
      <c r="C67" s="255"/>
      <c r="D67" s="255"/>
      <c r="E67" s="226" t="str">
        <f>mvalloc!E11</f>
        <v> </v>
      </c>
    </row>
    <row r="68" spans="2:5" ht="15.75">
      <c r="B68" s="159" t="s">
        <v>537</v>
      </c>
      <c r="C68" s="255"/>
      <c r="D68" s="255"/>
      <c r="E68" s="226" t="str">
        <f>mvalloc!F11</f>
        <v> </v>
      </c>
    </row>
    <row r="69" spans="2:5" ht="15.75">
      <c r="B69" s="271"/>
      <c r="C69" s="255"/>
      <c r="D69" s="255"/>
      <c r="E69" s="67"/>
    </row>
    <row r="70" spans="2:5" ht="15.75">
      <c r="B70" s="259" t="s">
        <v>442</v>
      </c>
      <c r="C70" s="255"/>
      <c r="D70" s="255"/>
      <c r="E70" s="67"/>
    </row>
    <row r="71" spans="2:5" ht="15.75">
      <c r="B71" s="159" t="s">
        <v>1203</v>
      </c>
      <c r="C71" s="255"/>
      <c r="D71" s="255"/>
      <c r="E71" s="67"/>
    </row>
    <row r="72" spans="2:5" ht="15.75">
      <c r="B72" s="250" t="s">
        <v>1152</v>
      </c>
      <c r="C72" s="260">
        <f>IF(C73*0.1&lt;C71,"Exceed 10% Rule","")</f>
      </c>
      <c r="D72" s="260">
        <f>IF(D73*0.1&lt;D71,"Exceed 10% Rule","")</f>
      </c>
      <c r="E72" s="297">
        <f>IF(E73*0.1+E92&lt;E71,"Exceed 10% Rule","")</f>
      </c>
    </row>
    <row r="73" spans="2:5" ht="15.75">
      <c r="B73" s="262" t="s">
        <v>443</v>
      </c>
      <c r="C73" s="264">
        <f>SUM(C64:C71)</f>
        <v>0</v>
      </c>
      <c r="D73" s="264">
        <f>SUM(D64:D71)</f>
        <v>0</v>
      </c>
      <c r="E73" s="265">
        <f>SUM(E64:E71)</f>
        <v>0</v>
      </c>
    </row>
    <row r="74" spans="2:5" ht="15.75">
      <c r="B74" s="262" t="s">
        <v>448</v>
      </c>
      <c r="C74" s="264">
        <f>C62+C73</f>
        <v>0</v>
      </c>
      <c r="D74" s="264">
        <f>D62+D73</f>
        <v>0</v>
      </c>
      <c r="E74" s="265">
        <f>E62+E73</f>
        <v>0</v>
      </c>
    </row>
    <row r="75" spans="2:5" ht="15.75">
      <c r="B75" s="150" t="s">
        <v>450</v>
      </c>
      <c r="C75" s="272"/>
      <c r="D75" s="272"/>
      <c r="E75" s="65"/>
    </row>
    <row r="76" spans="2:10" ht="15.75">
      <c r="B76" s="271"/>
      <c r="C76" s="255"/>
      <c r="D76" s="255"/>
      <c r="E76" s="67"/>
      <c r="G76" s="831" t="str">
        <f>CONCATENATE("Desired Carryover Into ",E1+1,"")</f>
        <v>Desired Carryover Into 2014</v>
      </c>
      <c r="H76" s="827"/>
      <c r="I76" s="827"/>
      <c r="J76" s="828"/>
    </row>
    <row r="77" spans="2:10" ht="15.75">
      <c r="B77" s="271"/>
      <c r="C77" s="255"/>
      <c r="D77" s="255"/>
      <c r="E77" s="67"/>
      <c r="G77" s="642"/>
      <c r="H77" s="76"/>
      <c r="I77" s="643"/>
      <c r="J77" s="644"/>
    </row>
    <row r="78" spans="2:10" ht="15.75">
      <c r="B78" s="271"/>
      <c r="C78" s="255"/>
      <c r="D78" s="255"/>
      <c r="E78" s="67"/>
      <c r="G78" s="645" t="s">
        <v>1140</v>
      </c>
      <c r="H78" s="643"/>
      <c r="I78" s="643"/>
      <c r="J78" s="646">
        <v>0</v>
      </c>
    </row>
    <row r="79" spans="2:10" ht="15.75">
      <c r="B79" s="271"/>
      <c r="C79" s="255"/>
      <c r="D79" s="255"/>
      <c r="E79" s="67"/>
      <c r="G79" s="642" t="s">
        <v>1141</v>
      </c>
      <c r="H79" s="76"/>
      <c r="I79" s="76"/>
      <c r="J79" s="647">
        <f>IF(J78=0,"",ROUND((J78+E92-G91)/inputOth!E7*1000,3)-G96)</f>
      </c>
    </row>
    <row r="80" spans="2:10" ht="15.75">
      <c r="B80" s="271"/>
      <c r="C80" s="255"/>
      <c r="D80" s="255"/>
      <c r="E80" s="67"/>
      <c r="G80" s="648" t="str">
        <f>CONCATENATE("",E1," Tot Exp/Non-Appr Must Be:")</f>
        <v>2013 Tot Exp/Non-Appr Must Be:</v>
      </c>
      <c r="H80" s="649"/>
      <c r="I80" s="650"/>
      <c r="J80" s="651">
        <f>IF(J78&gt;0,IF(E89&lt;E74,IF(J78=G91,E89,((J78-G91)*(1-D91))+E74),E89+(J78-G91)),0)</f>
        <v>0</v>
      </c>
    </row>
    <row r="81" spans="2:10" ht="15.75">
      <c r="B81" s="271"/>
      <c r="C81" s="255"/>
      <c r="D81" s="255"/>
      <c r="E81" s="67"/>
      <c r="G81" s="652" t="s">
        <v>289</v>
      </c>
      <c r="H81" s="653"/>
      <c r="I81" s="653"/>
      <c r="J81" s="654">
        <f>IF(J78&gt;0,J80-E89,0)</f>
        <v>0</v>
      </c>
    </row>
    <row r="82" spans="2:10" ht="15.75">
      <c r="B82" s="272" t="s">
        <v>1202</v>
      </c>
      <c r="C82" s="255"/>
      <c r="D82" s="255"/>
      <c r="E82" s="82">
        <f>nhood!E10</f>
      </c>
      <c r="J82" s="2"/>
    </row>
    <row r="83" spans="2:10" ht="15.75">
      <c r="B83" s="272" t="s">
        <v>1203</v>
      </c>
      <c r="C83" s="255"/>
      <c r="D83" s="255"/>
      <c r="E83" s="67"/>
      <c r="G83" s="831" t="str">
        <f>CONCATENATE("Projected Carryover Into ",E1+1,"")</f>
        <v>Projected Carryover Into 2014</v>
      </c>
      <c r="H83" s="832"/>
      <c r="I83" s="832"/>
      <c r="J83" s="833"/>
    </row>
    <row r="84" spans="2:10" ht="15.75">
      <c r="B84" s="272" t="s">
        <v>1153</v>
      </c>
      <c r="C84" s="260">
        <f>IF(C85*0.1&lt;C83,"Exceed 10% Rule","")</f>
      </c>
      <c r="D84" s="260">
        <f>IF(D85*0.1&lt;D83,"Exceed 10% Rule","")</f>
      </c>
      <c r="E84" s="297">
        <f>IF(E85*0.1&lt;E83,"Exceed 10% Rule","")</f>
      </c>
      <c r="G84" s="655"/>
      <c r="H84" s="76"/>
      <c r="I84" s="76"/>
      <c r="J84" s="662"/>
    </row>
    <row r="85" spans="2:10" ht="15.75">
      <c r="B85" s="262" t="s">
        <v>454</v>
      </c>
      <c r="C85" s="264">
        <f>SUM(C76:C83)</f>
        <v>0</v>
      </c>
      <c r="D85" s="264">
        <f>SUM(D76:D83)</f>
        <v>0</v>
      </c>
      <c r="E85" s="265">
        <f>SUM(E76:E83)</f>
        <v>0</v>
      </c>
      <c r="G85" s="657">
        <f>D86</f>
        <v>0</v>
      </c>
      <c r="H85" s="625" t="str">
        <f>CONCATENATE("",E1-1," Ending Cash Balance (est.)")</f>
        <v>2012 Ending Cash Balance (est.)</v>
      </c>
      <c r="I85" s="658"/>
      <c r="J85" s="662"/>
    </row>
    <row r="86" spans="2:10" ht="15.75">
      <c r="B86" s="150" t="s">
        <v>565</v>
      </c>
      <c r="C86" s="268">
        <f>C74-C85</f>
        <v>0</v>
      </c>
      <c r="D86" s="268">
        <f>D74-D85</f>
        <v>0</v>
      </c>
      <c r="E86" s="284" t="s">
        <v>425</v>
      </c>
      <c r="G86" s="657">
        <f>E73</f>
        <v>0</v>
      </c>
      <c r="H86" s="643" t="str">
        <f>CONCATENATE("",E1," Non-AV Receipts (est.)")</f>
        <v>2013 Non-AV Receipts (est.)</v>
      </c>
      <c r="I86" s="658"/>
      <c r="J86" s="662"/>
    </row>
    <row r="87" spans="2:11" ht="15.75">
      <c r="B87" s="136" t="str">
        <f>CONCATENATE("",E1-2,"/",E1-1," Budget Authority Amount:")</f>
        <v>2011/2012 Budget Authority Amount:</v>
      </c>
      <c r="C87" s="239">
        <f>inputOth!B64</f>
        <v>0</v>
      </c>
      <c r="D87" s="239">
        <f>inputPrYr!D22</f>
        <v>0</v>
      </c>
      <c r="E87" s="284" t="s">
        <v>425</v>
      </c>
      <c r="F87" s="274"/>
      <c r="G87" s="659">
        <f>IF(D91&gt;0,E90,E92)</f>
        <v>0</v>
      </c>
      <c r="H87" s="643" t="str">
        <f>CONCATENATE("",E1," Ad Valorem Tax (est.)")</f>
        <v>2013 Ad Valorem Tax (est.)</v>
      </c>
      <c r="I87" s="658"/>
      <c r="J87" s="662"/>
      <c r="K87" s="634">
        <f>IF(G87=E92,"","Note: Does not include Delinquent Taxes")</f>
      </c>
    </row>
    <row r="88" spans="2:10" ht="15.75">
      <c r="B88" s="136"/>
      <c r="C88" s="821" t="s">
        <v>1091</v>
      </c>
      <c r="D88" s="822"/>
      <c r="E88" s="67"/>
      <c r="F88" s="726">
        <f>IF(E85/0.95-E85&lt;E88,"Exceeds 5%","")</f>
      </c>
      <c r="G88" s="661">
        <f>SUM(G85:G87)</f>
        <v>0</v>
      </c>
      <c r="H88" s="643" t="str">
        <f>CONCATENATE("Total ",E1," Resources Available")</f>
        <v>Total 2013 Resources Available</v>
      </c>
      <c r="I88" s="662"/>
      <c r="J88" s="662"/>
    </row>
    <row r="89" spans="2:10" ht="15.75">
      <c r="B89" s="525" t="str">
        <f>CONCATENATE(C108,"     ",D108)</f>
        <v>     </v>
      </c>
      <c r="C89" s="823" t="s">
        <v>158</v>
      </c>
      <c r="D89" s="824"/>
      <c r="E89" s="226">
        <f>E85+E88</f>
        <v>0</v>
      </c>
      <c r="G89" s="663"/>
      <c r="H89" s="664"/>
      <c r="I89" s="76"/>
      <c r="J89" s="662"/>
    </row>
    <row r="90" spans="2:10" ht="15.75">
      <c r="B90" s="525" t="str">
        <f>CONCATENATE(C109,"     ",D109)</f>
        <v>     </v>
      </c>
      <c r="C90" s="275"/>
      <c r="D90" s="169" t="s">
        <v>455</v>
      </c>
      <c r="E90" s="82">
        <f>IF(E89-E74&gt;0,E89-E74,0)</f>
        <v>0</v>
      </c>
      <c r="G90" s="665">
        <f>ROUND(C85*0.05+C85,0)</f>
        <v>0</v>
      </c>
      <c r="H90" s="664" t="str">
        <f>CONCATENATE("Less ",E1-2," Expenditures + 5%")</f>
        <v>Less 2011 Expenditures + 5%</v>
      </c>
      <c r="I90" s="662"/>
      <c r="J90" s="662"/>
    </row>
    <row r="91" spans="2:10" ht="15.75">
      <c r="B91" s="169"/>
      <c r="C91" s="381" t="s">
        <v>1090</v>
      </c>
      <c r="D91" s="716">
        <f>inputOth!$E$47</f>
        <v>0.06</v>
      </c>
      <c r="E91" s="226">
        <f>ROUND(IF(D91&gt;0,(E90*D91),0),0)</f>
        <v>0</v>
      </c>
      <c r="G91" s="666">
        <f>G88-G90</f>
        <v>0</v>
      </c>
      <c r="H91" s="667" t="str">
        <f>CONCATENATE("Projected ",E1+1," carryover (est.)")</f>
        <v>Projected 2014 carryover (est.)</v>
      </c>
      <c r="I91" s="668"/>
      <c r="J91" s="669"/>
    </row>
    <row r="92" spans="2:9" ht="16.5" thickBot="1">
      <c r="B92" s="47"/>
      <c r="C92" s="825" t="str">
        <f>CONCATENATE("Amount of  ",$E$1-1," Ad Valorem Tax")</f>
        <v>Amount of  2012 Ad Valorem Tax</v>
      </c>
      <c r="D92" s="826"/>
      <c r="E92" s="641">
        <f>E90+E91</f>
        <v>0</v>
      </c>
      <c r="G92" s="2"/>
      <c r="H92" s="2"/>
      <c r="I92" s="2"/>
    </row>
    <row r="93" spans="2:10" ht="16.5" thickTop="1">
      <c r="B93" s="399" t="s">
        <v>457</v>
      </c>
      <c r="C93" s="280">
        <v>10</v>
      </c>
      <c r="D93" s="47"/>
      <c r="E93" s="47"/>
      <c r="G93" s="815" t="s">
        <v>288</v>
      </c>
      <c r="H93" s="816"/>
      <c r="I93" s="816"/>
      <c r="J93" s="817"/>
    </row>
    <row r="94" spans="2:10" ht="15.75">
      <c r="B94" s="32"/>
      <c r="G94" s="624"/>
      <c r="H94" s="625"/>
      <c r="I94" s="626"/>
      <c r="J94" s="627"/>
    </row>
    <row r="95" spans="7:10" ht="15.75">
      <c r="G95" s="628" t="e">
        <f>summ!#REF!</f>
        <v>#REF!</v>
      </c>
      <c r="H95" s="625" t="str">
        <f>CONCATENATE("",E1," Fund Mill Rate")</f>
        <v>2013 Fund Mill Rate</v>
      </c>
      <c r="I95" s="626"/>
      <c r="J95" s="627"/>
    </row>
    <row r="96" spans="7:10" ht="15.75">
      <c r="G96" s="629" t="e">
        <f>summ!#REF!</f>
        <v>#REF!</v>
      </c>
      <c r="H96" s="625" t="str">
        <f>CONCATENATE("",E1-1," Fund Mill Rate")</f>
        <v>2012 Fund Mill Rate</v>
      </c>
      <c r="I96" s="626"/>
      <c r="J96" s="627"/>
    </row>
    <row r="97" spans="7:10" ht="15.75">
      <c r="G97" s="630">
        <f>summ!H34</f>
        <v>41.808</v>
      </c>
      <c r="H97" s="625" t="str">
        <f>CONCATENATE("Total ",E1," Mill Rate")</f>
        <v>Total 2013 Mill Rate</v>
      </c>
      <c r="I97" s="626"/>
      <c r="J97" s="627"/>
    </row>
    <row r="98" spans="7:10" ht="15.75">
      <c r="G98" s="629">
        <f>summ!E34</f>
        <v>41.309</v>
      </c>
      <c r="H98" s="631" t="str">
        <f>CONCATENATE("Total ",E1-1," Mill Rate")</f>
        <v>Total 2012 Mill Rate</v>
      </c>
      <c r="I98" s="632"/>
      <c r="J98" s="633"/>
    </row>
    <row r="106" spans="3:4" ht="15.75" hidden="1">
      <c r="C106" s="524">
        <f>IF(C50&gt;C52,"See Tab A","")</f>
      </c>
      <c r="D106" s="524">
        <f>IF(D48&gt;D52,"See Tab C","")</f>
      </c>
    </row>
    <row r="107" spans="3:4" ht="15.75" hidden="1">
      <c r="C107" s="524">
        <f>IF(C51&lt;0,"See Tab B","")</f>
      </c>
      <c r="D107" s="524">
        <f>IF(D51&lt;0,"See Tab D","")</f>
      </c>
    </row>
    <row r="108" spans="3:4" ht="15.75" hidden="1">
      <c r="C108" s="524">
        <f>IF(C83&gt;C87,"See Tab A","")</f>
      </c>
      <c r="D108" s="524">
        <f>IF(D83&gt;D87,"See Tab C","")</f>
      </c>
    </row>
    <row r="109" spans="3:4" ht="15.75" hidden="1">
      <c r="C109" s="524">
        <f>IF(C86&lt;0,"See Tab B","")</f>
      </c>
      <c r="D109" s="524">
        <f>IF(D86&lt;0,"See Tab D","")</f>
      </c>
    </row>
  </sheetData>
  <sheetProtection/>
  <mergeCells count="13">
    <mergeCell ref="G93:J93"/>
    <mergeCell ref="C92:D92"/>
    <mergeCell ref="C57:D57"/>
    <mergeCell ref="G83:J83"/>
    <mergeCell ref="C88:D88"/>
    <mergeCell ref="C89:D89"/>
    <mergeCell ref="G38:J38"/>
    <mergeCell ref="G48:J48"/>
    <mergeCell ref="G58:J58"/>
    <mergeCell ref="G76:J76"/>
    <mergeCell ref="C53:D53"/>
    <mergeCell ref="C54:D54"/>
    <mergeCell ref="C58:D58"/>
  </mergeCells>
  <conditionalFormatting sqref="E83">
    <cfRule type="cellIs" priority="3" dxfId="305" operator="greaterThan" stopIfTrue="1">
      <formula>$E$85*0.1</formula>
    </cfRule>
  </conditionalFormatting>
  <conditionalFormatting sqref="E88">
    <cfRule type="cellIs" priority="4" dxfId="305" operator="greaterThan" stopIfTrue="1">
      <formula>$E$85/0.95-$E$85</formula>
    </cfRule>
  </conditionalFormatting>
  <conditionalFormatting sqref="C86:D86 C51:D51">
    <cfRule type="cellIs" priority="11" dxfId="3" operator="lessThan" stopIfTrue="1">
      <formula>0</formula>
    </cfRule>
  </conditionalFormatting>
  <conditionalFormatting sqref="C83">
    <cfRule type="cellIs" priority="12" dxfId="3" operator="greaterThan" stopIfTrue="1">
      <formula>$C$85*0.1</formula>
    </cfRule>
  </conditionalFormatting>
  <conditionalFormatting sqref="D83">
    <cfRule type="cellIs" priority="13" dxfId="3" operator="greaterThan" stopIfTrue="1">
      <formula>$D$85*0.1</formula>
    </cfRule>
  </conditionalFormatting>
  <conditionalFormatting sqref="D85">
    <cfRule type="cellIs" priority="14" dxfId="3" operator="greaterThan" stopIfTrue="1">
      <formula>$D$87</formula>
    </cfRule>
  </conditionalFormatting>
  <conditionalFormatting sqref="C85">
    <cfRule type="cellIs" priority="15" dxfId="3" operator="greaterThan" stopIfTrue="1">
      <formula>$C$87</formula>
    </cfRule>
  </conditionalFormatting>
  <conditionalFormatting sqref="E32">
    <cfRule type="cellIs" priority="20" dxfId="305" operator="greaterThan" stopIfTrue="1">
      <formula>$E$34*0.1+E57</formula>
    </cfRule>
  </conditionalFormatting>
  <conditionalFormatting sqref="E71">
    <cfRule type="cellIs" priority="21" dxfId="305" operator="greaterThan" stopIfTrue="1">
      <formula>$E$73*0.1+E92</formula>
    </cfRule>
  </conditionalFormatting>
  <conditionalFormatting sqref="D71">
    <cfRule type="cellIs" priority="18" dxfId="3" operator="greaterThan" stopIfTrue="1">
      <formula>$D$73*0.1</formula>
    </cfRule>
  </conditionalFormatting>
  <conditionalFormatting sqref="C71">
    <cfRule type="cellIs" priority="19" dxfId="3" operator="greaterThan" stopIfTrue="1">
      <formula>$C$73*0.1</formula>
    </cfRule>
  </conditionalFormatting>
  <conditionalFormatting sqref="E48">
    <cfRule type="cellIs" priority="5" dxfId="305" operator="greaterThan" stopIfTrue="1">
      <formula>$E$50*0.1</formula>
    </cfRule>
  </conditionalFormatting>
  <conditionalFormatting sqref="E53">
    <cfRule type="cellIs" priority="6" dxfId="305" operator="greaterThan" stopIfTrue="1">
      <formula>$E$50/0.95-$E$50</formula>
    </cfRule>
  </conditionalFormatting>
  <conditionalFormatting sqref="C48">
    <cfRule type="cellIs" priority="7" dxfId="3" operator="greaterThan" stopIfTrue="1">
      <formula>$C$50*0.1</formula>
    </cfRule>
  </conditionalFormatting>
  <conditionalFormatting sqref="D48">
    <cfRule type="cellIs" priority="8" dxfId="3" operator="greaterThan" stopIfTrue="1">
      <formula>$D$50*0.1</formula>
    </cfRule>
  </conditionalFormatting>
  <conditionalFormatting sqref="D50">
    <cfRule type="cellIs" priority="9" dxfId="3" operator="greaterThan" stopIfTrue="1">
      <formula>$D$52</formula>
    </cfRule>
  </conditionalFormatting>
  <conditionalFormatting sqref="C50">
    <cfRule type="cellIs" priority="10" dxfId="3" operator="greaterThan" stopIfTrue="1">
      <formula>$C$52</formula>
    </cfRule>
  </conditionalFormatting>
  <conditionalFormatting sqref="D32">
    <cfRule type="cellIs" priority="16" dxfId="3" operator="greaterThan" stopIfTrue="1">
      <formula>$D$34*0.1</formula>
    </cfRule>
  </conditionalFormatting>
  <conditionalFormatting sqref="C32">
    <cfRule type="cellIs" priority="17" dxfId="3" operator="greaterThan" stopIfTrue="1">
      <formula>$C$34*0.1</formula>
    </cfRule>
  </conditionalFormatting>
  <printOptions horizontalCentered="1"/>
  <pageMargins left="1.05" right="0.5" top="0.87" bottom="0.5" header="0.5" footer="0.5"/>
  <pageSetup blackAndWhite="1" fitToHeight="1" fitToWidth="1" horizontalDpi="120" verticalDpi="120" orientation="portrait" scale="7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505</v>
      </c>
      <c r="C3" s="201"/>
      <c r="D3" s="201"/>
      <c r="E3" s="286"/>
    </row>
    <row r="4" spans="2:5" ht="15.75">
      <c r="B4" s="52" t="s">
        <v>435</v>
      </c>
      <c r="C4" s="704" t="s">
        <v>388</v>
      </c>
      <c r="D4" s="705" t="s">
        <v>389</v>
      </c>
      <c r="E4" s="144" t="s">
        <v>390</v>
      </c>
    </row>
    <row r="5" spans="2:5" ht="15.75">
      <c r="B5" s="529">
        <f>inputPrYr!B23</f>
        <v>0</v>
      </c>
      <c r="C5" s="223" t="str">
        <f>CONCATENATE("Actual for ",E1-2,"")</f>
        <v>Actual for 2011</v>
      </c>
      <c r="D5" s="223" t="str">
        <f>CONCATENATE("Estimate for ",E1-1,"")</f>
        <v>Estimate for 2012</v>
      </c>
      <c r="E5" s="208" t="str">
        <f>CONCATENATE("Year for ",E1,"")</f>
        <v>Year for 2013</v>
      </c>
    </row>
    <row r="6" spans="2:5" ht="15.75">
      <c r="B6" s="250" t="s">
        <v>564</v>
      </c>
      <c r="C6" s="255"/>
      <c r="D6" s="253">
        <f>C34</f>
        <v>0</v>
      </c>
      <c r="E6" s="226">
        <f>D34</f>
        <v>0</v>
      </c>
    </row>
    <row r="7" spans="2:5" ht="15.75">
      <c r="B7" s="254" t="s">
        <v>566</v>
      </c>
      <c r="C7" s="253"/>
      <c r="D7" s="253"/>
      <c r="E7" s="226"/>
    </row>
    <row r="8" spans="2:5" ht="15.75">
      <c r="B8" s="150" t="s">
        <v>436</v>
      </c>
      <c r="C8" s="255"/>
      <c r="D8" s="253">
        <f>IF(inputPrYr!H16&gt;0,inputPrYr!G23,inputPrYr!E23)</f>
        <v>0</v>
      </c>
      <c r="E8" s="284" t="s">
        <v>425</v>
      </c>
    </row>
    <row r="9" spans="2:5" ht="15.75">
      <c r="B9" s="150" t="s">
        <v>437</v>
      </c>
      <c r="C9" s="255"/>
      <c r="D9" s="255"/>
      <c r="E9" s="67"/>
    </row>
    <row r="10" spans="2:5" ht="15.75">
      <c r="B10" s="150" t="s">
        <v>438</v>
      </c>
      <c r="C10" s="255"/>
      <c r="D10" s="255"/>
      <c r="E10" s="226" t="str">
        <f>mvalloc!D12</f>
        <v>  </v>
      </c>
    </row>
    <row r="11" spans="2:5" ht="15.75">
      <c r="B11" s="150" t="s">
        <v>439</v>
      </c>
      <c r="C11" s="255"/>
      <c r="D11" s="255"/>
      <c r="E11" s="226" t="str">
        <f>mvalloc!E12</f>
        <v> </v>
      </c>
    </row>
    <row r="12" spans="2:5" ht="15.75">
      <c r="B12" s="159" t="s">
        <v>537</v>
      </c>
      <c r="C12" s="255"/>
      <c r="D12" s="255"/>
      <c r="E12" s="226" t="str">
        <f>mvalloc!F12</f>
        <v> </v>
      </c>
    </row>
    <row r="13" spans="2:5" ht="15.75">
      <c r="B13" s="271"/>
      <c r="C13" s="255"/>
      <c r="D13" s="255"/>
      <c r="E13" s="67"/>
    </row>
    <row r="14" spans="2:5" ht="15.75">
      <c r="B14" s="271"/>
      <c r="C14" s="255"/>
      <c r="D14" s="255"/>
      <c r="E14" s="67"/>
    </row>
    <row r="15" spans="2:5" ht="15.75">
      <c r="B15" s="271"/>
      <c r="C15" s="255"/>
      <c r="D15" s="255"/>
      <c r="E15" s="67"/>
    </row>
    <row r="16" spans="2:5" ht="15.75">
      <c r="B16" s="271"/>
      <c r="C16" s="255"/>
      <c r="D16" s="255"/>
      <c r="E16" s="67"/>
    </row>
    <row r="17" spans="2:5" ht="15.75">
      <c r="B17" s="259" t="s">
        <v>442</v>
      </c>
      <c r="C17" s="255"/>
      <c r="D17" s="255"/>
      <c r="E17" s="67"/>
    </row>
    <row r="18" spans="2:5" ht="15.75">
      <c r="B18" s="159" t="s">
        <v>1203</v>
      </c>
      <c r="C18" s="255"/>
      <c r="D18" s="255"/>
      <c r="E18" s="67"/>
    </row>
    <row r="19" spans="2:5" ht="15.75">
      <c r="B19" s="250" t="s">
        <v>1152</v>
      </c>
      <c r="C19" s="260">
        <f>IF(C20*0.1&lt;C18,"Exceed 10% Rule","")</f>
      </c>
      <c r="D19" s="260">
        <f>IF(D20*0.1&lt;D18,"Exceed 10% Rule","")</f>
      </c>
      <c r="E19" s="297">
        <f>IF(E20*0.1+E40&lt;E18,"Exceed 10% Rule","")</f>
      </c>
    </row>
    <row r="20" spans="2:5" ht="15.75">
      <c r="B20" s="262" t="s">
        <v>443</v>
      </c>
      <c r="C20" s="264">
        <f>SUM(C8:C18)</f>
        <v>0</v>
      </c>
      <c r="D20" s="264">
        <f>SUM(D8:D18)</f>
        <v>0</v>
      </c>
      <c r="E20" s="265">
        <f>SUM(E8:E18)</f>
        <v>0</v>
      </c>
    </row>
    <row r="21" spans="2:5" ht="15.75">
      <c r="B21" s="262" t="s">
        <v>448</v>
      </c>
      <c r="C21" s="264">
        <f>C6+C20</f>
        <v>0</v>
      </c>
      <c r="D21" s="264">
        <f>D6+D20</f>
        <v>0</v>
      </c>
      <c r="E21" s="265">
        <f>E6+E20</f>
        <v>0</v>
      </c>
    </row>
    <row r="22" spans="2:6" ht="15.75">
      <c r="B22" s="150" t="s">
        <v>450</v>
      </c>
      <c r="C22" s="272"/>
      <c r="D22" s="272"/>
      <c r="E22" s="65"/>
      <c r="F22" s="288"/>
    </row>
    <row r="23" spans="2:5" ht="15.75">
      <c r="B23" s="289"/>
      <c r="C23" s="255"/>
      <c r="D23" s="255"/>
      <c r="E23" s="103"/>
    </row>
    <row r="24" spans="2:10" ht="15.75">
      <c r="B24" s="289"/>
      <c r="C24" s="255"/>
      <c r="D24" s="255"/>
      <c r="E24" s="103"/>
      <c r="G24" s="831" t="str">
        <f>CONCATENATE("Desired Carryover Into ",E1+1,"")</f>
        <v>Desired Carryover Into 2014</v>
      </c>
      <c r="H24" s="827"/>
      <c r="I24" s="827"/>
      <c r="J24" s="828"/>
    </row>
    <row r="25" spans="2:10" ht="15.75">
      <c r="B25" s="289"/>
      <c r="C25" s="255"/>
      <c r="D25" s="255"/>
      <c r="E25" s="103"/>
      <c r="G25" s="642"/>
      <c r="H25" s="76"/>
      <c r="I25" s="643"/>
      <c r="J25" s="644"/>
    </row>
    <row r="26" spans="2:10" ht="15.75">
      <c r="B26" s="271"/>
      <c r="C26" s="255"/>
      <c r="D26" s="255"/>
      <c r="E26" s="67"/>
      <c r="G26" s="645" t="s">
        <v>1140</v>
      </c>
      <c r="H26" s="643"/>
      <c r="I26" s="643"/>
      <c r="J26" s="646">
        <v>0</v>
      </c>
    </row>
    <row r="27" spans="2:10" ht="15.75">
      <c r="B27" s="271"/>
      <c r="C27" s="255"/>
      <c r="D27" s="255"/>
      <c r="E27" s="67"/>
      <c r="G27" s="642" t="s">
        <v>1141</v>
      </c>
      <c r="H27" s="76"/>
      <c r="I27" s="76"/>
      <c r="J27" s="647">
        <f>IF(J26=0,"",ROUND((J26+E40-G39)/inputOth!E7*1000,3)-G44)</f>
      </c>
    </row>
    <row r="28" spans="2:10" ht="15.75">
      <c r="B28" s="271"/>
      <c r="C28" s="255"/>
      <c r="D28" s="255"/>
      <c r="E28" s="67"/>
      <c r="G28" s="648" t="str">
        <f>CONCATENATE("",E1," Tot Exp/Non-Appr Must Be:")</f>
        <v>2013 Tot Exp/Non-Appr Must Be:</v>
      </c>
      <c r="H28" s="649"/>
      <c r="I28" s="650"/>
      <c r="J28" s="651">
        <f>IF(J26&gt;0,IF(E37&lt;E21,IF(J26=G39,E37,((J26-G39)*(1-D39))+E21),E37+(J26-G39)),0)</f>
        <v>0</v>
      </c>
    </row>
    <row r="29" spans="2:10" ht="15.75">
      <c r="B29" s="271"/>
      <c r="C29" s="255"/>
      <c r="D29" s="255"/>
      <c r="E29" s="67"/>
      <c r="G29" s="652" t="s">
        <v>289</v>
      </c>
      <c r="H29" s="653"/>
      <c r="I29" s="653"/>
      <c r="J29" s="654">
        <f>IF(J26&gt;0,J28-E37,0)</f>
        <v>0</v>
      </c>
    </row>
    <row r="30" spans="2:10" ht="15.75">
      <c r="B30" s="272" t="s">
        <v>1202</v>
      </c>
      <c r="C30" s="255"/>
      <c r="D30" s="255"/>
      <c r="E30" s="82">
        <f>nhood!E11</f>
      </c>
      <c r="J30" s="2"/>
    </row>
    <row r="31" spans="2:10" ht="15.75">
      <c r="B31" s="272" t="s">
        <v>1203</v>
      </c>
      <c r="C31" s="255"/>
      <c r="D31" s="255"/>
      <c r="E31" s="67"/>
      <c r="G31" s="831" t="str">
        <f>CONCATENATE("Projected Carryover Into ",E1+1,"")</f>
        <v>Projected Carryover Into 2014</v>
      </c>
      <c r="H31" s="835"/>
      <c r="I31" s="835"/>
      <c r="J31" s="833"/>
    </row>
    <row r="32" spans="2:10" ht="15.75">
      <c r="B32" s="272" t="s">
        <v>1153</v>
      </c>
      <c r="C32" s="260">
        <f>IF(C33*0.1&lt;C31,"Exceed 10% Rule","")</f>
      </c>
      <c r="D32" s="260">
        <f>IF(D33*0.1&lt;D31,"Exceed 10% Rule","")</f>
      </c>
      <c r="E32" s="297">
        <f>IF(E33*0.1&lt;E31,"Exceed 10% Rule","")</f>
      </c>
      <c r="G32" s="642"/>
      <c r="H32" s="643"/>
      <c r="I32" s="643"/>
      <c r="J32" s="656"/>
    </row>
    <row r="33" spans="2:10" ht="15.75">
      <c r="B33" s="262" t="s">
        <v>454</v>
      </c>
      <c r="C33" s="264">
        <f>SUM(C23:C31)</f>
        <v>0</v>
      </c>
      <c r="D33" s="264">
        <f>SUM(D23:D31)</f>
        <v>0</v>
      </c>
      <c r="E33" s="265">
        <f>SUM(E23:E31)</f>
        <v>0</v>
      </c>
      <c r="G33" s="657">
        <f>D34</f>
        <v>0</v>
      </c>
      <c r="H33" s="625" t="str">
        <f>CONCATENATE("",E1-1," Ending Cash Balance (est.)")</f>
        <v>2012 Ending Cash Balance (est.)</v>
      </c>
      <c r="I33" s="658"/>
      <c r="J33" s="656"/>
    </row>
    <row r="34" spans="2:10" ht="15.75">
      <c r="B34" s="150" t="s">
        <v>565</v>
      </c>
      <c r="C34" s="268">
        <f>C21-C33</f>
        <v>0</v>
      </c>
      <c r="D34" s="268">
        <f>D21-D33</f>
        <v>0</v>
      </c>
      <c r="E34" s="284" t="s">
        <v>425</v>
      </c>
      <c r="G34" s="657">
        <f>E20</f>
        <v>0</v>
      </c>
      <c r="H34" s="643" t="str">
        <f>CONCATENATE("",E1," Non-AV Receipts (est.)")</f>
        <v>2013 Non-AV Receipts (est.)</v>
      </c>
      <c r="I34" s="658"/>
      <c r="J34" s="656"/>
    </row>
    <row r="35" spans="2:11" ht="15.75">
      <c r="B35" s="136" t="str">
        <f>CONCATENATE("",E1-2,"/",E1-1," Budget Authority Amount:")</f>
        <v>2011/2012 Budget Authority Amount:</v>
      </c>
      <c r="C35" s="239">
        <f>inputOth!B65</f>
        <v>0</v>
      </c>
      <c r="D35" s="239">
        <f>inputPrYr!D23</f>
        <v>0</v>
      </c>
      <c r="E35" s="284" t="s">
        <v>425</v>
      </c>
      <c r="F35" s="274"/>
      <c r="G35" s="659">
        <f>IF(E39&gt;0,E38,E40)</f>
        <v>0</v>
      </c>
      <c r="H35" s="643" t="str">
        <f>CONCATENATE("",E1," Ad Valorem Tax (est.)")</f>
        <v>2013 Ad Valorem Tax (est.)</v>
      </c>
      <c r="I35" s="658"/>
      <c r="J35" s="638"/>
      <c r="K35" s="634">
        <f>IF(G35=E40,"","Note: Does not include Delinquent Taxes")</f>
      </c>
    </row>
    <row r="36" spans="2:10" ht="15.75">
      <c r="B36" s="136"/>
      <c r="C36" s="821" t="s">
        <v>1091</v>
      </c>
      <c r="D36" s="822"/>
      <c r="E36" s="67"/>
      <c r="F36" s="726">
        <f>IF(E33/0.95-E33&lt;E36,"Exceeds 5%","")</f>
      </c>
      <c r="G36" s="657">
        <f>SUM(G33:G35)</f>
        <v>0</v>
      </c>
      <c r="H36" s="643" t="str">
        <f>CONCATENATE("Total ",E1," Resources Available")</f>
        <v>Total 2013 Resources Available</v>
      </c>
      <c r="I36" s="658"/>
      <c r="J36" s="656"/>
    </row>
    <row r="37" spans="2:10" ht="15.75">
      <c r="B37" s="525" t="str">
        <f>CONCATENATE(C94,"     ",D94)</f>
        <v>     </v>
      </c>
      <c r="C37" s="823" t="s">
        <v>158</v>
      </c>
      <c r="D37" s="824"/>
      <c r="E37" s="226">
        <f>E33+E36</f>
        <v>0</v>
      </c>
      <c r="G37" s="694"/>
      <c r="H37" s="643"/>
      <c r="I37" s="643"/>
      <c r="J37" s="656"/>
    </row>
    <row r="38" spans="2:10" ht="15.75">
      <c r="B38" s="525" t="str">
        <f>CONCATENATE(C95,"     ",D95)</f>
        <v>     </v>
      </c>
      <c r="C38" s="275"/>
      <c r="D38" s="169" t="s">
        <v>455</v>
      </c>
      <c r="E38" s="82">
        <f>IF(E37-E21&gt;0,E37-E21,0)</f>
        <v>0</v>
      </c>
      <c r="G38" s="659">
        <f>ROUND(C33*0.05+C33,0)</f>
        <v>0</v>
      </c>
      <c r="H38" s="643" t="str">
        <f>CONCATENATE("Less ",E1-2," Expenditures + 5%")</f>
        <v>Less 2011 Expenditures + 5%</v>
      </c>
      <c r="I38" s="658"/>
      <c r="J38" s="656"/>
    </row>
    <row r="39" spans="2:10" ht="15.75">
      <c r="B39" s="169"/>
      <c r="C39" s="381" t="s">
        <v>1090</v>
      </c>
      <c r="D39" s="716">
        <f>inputOth!$E$47</f>
        <v>0.06</v>
      </c>
      <c r="E39" s="226">
        <f>ROUND(IF(D39&gt;0,(E38*D39),0),0)</f>
        <v>0</v>
      </c>
      <c r="G39" s="695">
        <f>G36-G38</f>
        <v>0</v>
      </c>
      <c r="H39" s="696" t="str">
        <f>CONCATENATE("Projected ",E1+1," carryover (est.)")</f>
        <v>Projected 2014 carryover (est.)</v>
      </c>
      <c r="I39" s="697"/>
      <c r="J39" s="669"/>
    </row>
    <row r="40" spans="2:10" ht="16.5" thickBot="1">
      <c r="B40" s="169"/>
      <c r="C40" s="825" t="str">
        <f>CONCATENATE("Amount of  ",$E$1-1," Ad Valorem Tax")</f>
        <v>Amount of  2012 Ad Valorem Tax</v>
      </c>
      <c r="D40" s="826"/>
      <c r="E40" s="641">
        <f>E38+E39</f>
        <v>0</v>
      </c>
      <c r="G40" s="2"/>
      <c r="H40" s="2"/>
      <c r="I40" s="2"/>
      <c r="J40" s="2"/>
    </row>
    <row r="41" spans="2:10" ht="16.5" thickTop="1">
      <c r="B41" s="47"/>
      <c r="C41" s="825"/>
      <c r="D41" s="836"/>
      <c r="E41" s="76"/>
      <c r="G41" s="815" t="s">
        <v>288</v>
      </c>
      <c r="H41" s="816"/>
      <c r="I41" s="816"/>
      <c r="J41" s="817"/>
    </row>
    <row r="42" spans="2:10" ht="15.75">
      <c r="B42" s="52"/>
      <c r="C42" s="287"/>
      <c r="D42" s="287"/>
      <c r="E42" s="287"/>
      <c r="G42" s="624"/>
      <c r="H42" s="625"/>
      <c r="I42" s="626"/>
      <c r="J42" s="627"/>
    </row>
    <row r="43" spans="2:10" ht="15.75">
      <c r="B43" s="52" t="s">
        <v>435</v>
      </c>
      <c r="C43" s="704" t="s">
        <v>388</v>
      </c>
      <c r="D43" s="705" t="s">
        <v>389</v>
      </c>
      <c r="E43" s="144" t="s">
        <v>390</v>
      </c>
      <c r="G43" s="628" t="e">
        <f>summ!#REF!</f>
        <v>#REF!</v>
      </c>
      <c r="H43" s="625" t="str">
        <f>CONCATENATE("",E1," Fund Mill Rate")</f>
        <v>2013 Fund Mill Rate</v>
      </c>
      <c r="I43" s="626"/>
      <c r="J43" s="627"/>
    </row>
    <row r="44" spans="2:10" ht="15.75">
      <c r="B44" s="529">
        <f>inputPrYr!B24</f>
        <v>0</v>
      </c>
      <c r="C44" s="223" t="str">
        <f>CONCATENATE("Actual for ",E1-2,"")</f>
        <v>Actual for 2011</v>
      </c>
      <c r="D44" s="223" t="str">
        <f>CONCATENATE("Estimate for ",E1-1,"")</f>
        <v>Estimate for 2012</v>
      </c>
      <c r="E44" s="208" t="str">
        <f>CONCATENATE("Year for ",E1,"")</f>
        <v>Year for 2013</v>
      </c>
      <c r="G44" s="629" t="e">
        <f>summ!#REF!</f>
        <v>#REF!</v>
      </c>
      <c r="H44" s="625" t="str">
        <f>CONCATENATE("",E1-1," Fund Mill Rate")</f>
        <v>2012 Fund Mill Rate</v>
      </c>
      <c r="I44" s="626"/>
      <c r="J44" s="627"/>
    </row>
    <row r="45" spans="2:10" ht="15.75">
      <c r="B45" s="250" t="s">
        <v>564</v>
      </c>
      <c r="C45" s="255"/>
      <c r="D45" s="253">
        <f>C74</f>
        <v>0</v>
      </c>
      <c r="E45" s="226">
        <f>D74</f>
        <v>0</v>
      </c>
      <c r="G45" s="630">
        <f>summ!H34</f>
        <v>41.808</v>
      </c>
      <c r="H45" s="625" t="str">
        <f>CONCATENATE("Total ",E1," Mill Rate")</f>
        <v>Total 2013 Mill Rate</v>
      </c>
      <c r="I45" s="626"/>
      <c r="J45" s="627"/>
    </row>
    <row r="46" spans="2:10" ht="15.75">
      <c r="B46" s="254" t="s">
        <v>566</v>
      </c>
      <c r="C46" s="159"/>
      <c r="D46" s="159"/>
      <c r="E46" s="87"/>
      <c r="G46" s="629">
        <f>summ!E34</f>
        <v>41.309</v>
      </c>
      <c r="H46" s="631" t="str">
        <f>CONCATENATE("Total ",E1-1," Mill Rate")</f>
        <v>Total 2012 Mill Rate</v>
      </c>
      <c r="I46" s="632"/>
      <c r="J46" s="633"/>
    </row>
    <row r="47" spans="2:5" ht="15.75">
      <c r="B47" s="150" t="s">
        <v>436</v>
      </c>
      <c r="C47" s="255"/>
      <c r="D47" s="253">
        <f>IF(inputPrYr!H16&gt;0,inputPrYr!G24,inputPrYr!E24)</f>
        <v>0</v>
      </c>
      <c r="E47" s="284" t="s">
        <v>425</v>
      </c>
    </row>
    <row r="48" spans="2:5" ht="15.75">
      <c r="B48" s="150" t="s">
        <v>437</v>
      </c>
      <c r="C48" s="255"/>
      <c r="D48" s="255"/>
      <c r="E48" s="67"/>
    </row>
    <row r="49" spans="2:5" ht="15.75">
      <c r="B49" s="150" t="s">
        <v>438</v>
      </c>
      <c r="C49" s="255"/>
      <c r="D49" s="255"/>
      <c r="E49" s="226" t="str">
        <f>mvalloc!D13</f>
        <v>  </v>
      </c>
    </row>
    <row r="50" spans="2:5" ht="15.75">
      <c r="B50" s="150" t="s">
        <v>439</v>
      </c>
      <c r="C50" s="255"/>
      <c r="D50" s="255"/>
      <c r="E50" s="226" t="str">
        <f>mvalloc!E13</f>
        <v> </v>
      </c>
    </row>
    <row r="51" spans="2:5" ht="15.75">
      <c r="B51" s="159" t="s">
        <v>537</v>
      </c>
      <c r="C51" s="255"/>
      <c r="D51" s="255"/>
      <c r="E51" s="226" t="str">
        <f>mvalloc!F13</f>
        <v> </v>
      </c>
    </row>
    <row r="52" spans="2:5" ht="15.75">
      <c r="B52" s="67"/>
      <c r="C52" s="255"/>
      <c r="D52" s="255"/>
      <c r="E52" s="67"/>
    </row>
    <row r="53" spans="2:5" ht="15.75">
      <c r="B53" s="67"/>
      <c r="C53" s="255"/>
      <c r="D53" s="255"/>
      <c r="E53" s="67"/>
    </row>
    <row r="54" spans="2:5" ht="15.75">
      <c r="B54" s="67"/>
      <c r="C54" s="255"/>
      <c r="D54" s="255"/>
      <c r="E54" s="67"/>
    </row>
    <row r="55" spans="2:5" ht="15.75">
      <c r="B55" s="271"/>
      <c r="C55" s="255"/>
      <c r="D55" s="255"/>
      <c r="E55" s="67"/>
    </row>
    <row r="56" spans="2:5" ht="15.75">
      <c r="B56" s="271"/>
      <c r="C56" s="255"/>
      <c r="D56" s="255"/>
      <c r="E56" s="67"/>
    </row>
    <row r="57" spans="2:5" ht="15.75">
      <c r="B57" s="259" t="s">
        <v>442</v>
      </c>
      <c r="C57" s="255"/>
      <c r="D57" s="255"/>
      <c r="E57" s="67"/>
    </row>
    <row r="58" spans="2:5" ht="15.75">
      <c r="B58" s="159" t="s">
        <v>1203</v>
      </c>
      <c r="C58" s="255"/>
      <c r="D58" s="255"/>
      <c r="E58" s="67"/>
    </row>
    <row r="59" spans="2:5" ht="15.75">
      <c r="B59" s="250" t="s">
        <v>1152</v>
      </c>
      <c r="C59" s="260">
        <f>IF(C60*0.1&lt;C58,"Exceed 10% Rule","")</f>
      </c>
      <c r="D59" s="260">
        <f>IF(D60*0.1&lt;D58,"Exceed 10% Rule","")</f>
      </c>
      <c r="E59" s="297">
        <f>IF(E60*0.1+E80&lt;E58,"Exceed 10% Rule","")</f>
      </c>
    </row>
    <row r="60" spans="2:5" ht="15.75">
      <c r="B60" s="262" t="s">
        <v>443</v>
      </c>
      <c r="C60" s="264">
        <f>SUM(C47:C58)</f>
        <v>0</v>
      </c>
      <c r="D60" s="264">
        <f>SUM(D47:D58)</f>
        <v>0</v>
      </c>
      <c r="E60" s="265">
        <f>SUM(E48:E58)</f>
        <v>0</v>
      </c>
    </row>
    <row r="61" spans="2:5" ht="15.75">
      <c r="B61" s="262" t="s">
        <v>448</v>
      </c>
      <c r="C61" s="264">
        <f>C45+C60</f>
        <v>0</v>
      </c>
      <c r="D61" s="264">
        <f>D45+D60</f>
        <v>0</v>
      </c>
      <c r="E61" s="265">
        <f>E45+E60</f>
        <v>0</v>
      </c>
    </row>
    <row r="62" spans="2:5" ht="15.75">
      <c r="B62" s="150" t="s">
        <v>450</v>
      </c>
      <c r="C62" s="272"/>
      <c r="D62" s="272"/>
      <c r="E62" s="65"/>
    </row>
    <row r="63" spans="2:5" ht="15.75">
      <c r="B63" s="271"/>
      <c r="C63" s="255"/>
      <c r="D63" s="255"/>
      <c r="E63" s="67"/>
    </row>
    <row r="64" spans="2:10" ht="15.75">
      <c r="B64" s="271"/>
      <c r="C64" s="255"/>
      <c r="D64" s="255"/>
      <c r="E64" s="67"/>
      <c r="G64" s="831" t="str">
        <f>CONCATENATE("Desired Carryover Into ",E1+1,"")</f>
        <v>Desired Carryover Into 2014</v>
      </c>
      <c r="H64" s="827"/>
      <c r="I64" s="827"/>
      <c r="J64" s="828"/>
    </row>
    <row r="65" spans="2:10" ht="15.75">
      <c r="B65" s="271"/>
      <c r="C65" s="255"/>
      <c r="D65" s="255"/>
      <c r="E65" s="67"/>
      <c r="G65" s="642"/>
      <c r="H65" s="76"/>
      <c r="I65" s="643"/>
      <c r="J65" s="644"/>
    </row>
    <row r="66" spans="2:10" ht="15.75">
      <c r="B66" s="271"/>
      <c r="C66" s="255"/>
      <c r="D66" s="255"/>
      <c r="E66" s="67"/>
      <c r="G66" s="645" t="s">
        <v>1140</v>
      </c>
      <c r="H66" s="643"/>
      <c r="I66" s="643"/>
      <c r="J66" s="646">
        <v>0</v>
      </c>
    </row>
    <row r="67" spans="2:10" ht="15.75">
      <c r="B67" s="271"/>
      <c r="C67" s="255"/>
      <c r="D67" s="255"/>
      <c r="E67" s="67"/>
      <c r="G67" s="642" t="s">
        <v>1141</v>
      </c>
      <c r="H67" s="76"/>
      <c r="I67" s="76"/>
      <c r="J67" s="647">
        <f>IF(J66=0,"",ROUND((J66+E80-G79)/inputOth!E7*1000,3)-G84)</f>
      </c>
    </row>
    <row r="68" spans="2:10" ht="15.75">
      <c r="B68" s="271"/>
      <c r="C68" s="255"/>
      <c r="D68" s="255"/>
      <c r="E68" s="67"/>
      <c r="G68" s="648" t="str">
        <f>CONCATENATE("",E1," Tot Exp/Non-Appr Must Be:")</f>
        <v>2013 Tot Exp/Non-Appr Must Be:</v>
      </c>
      <c r="H68" s="649"/>
      <c r="I68" s="650"/>
      <c r="J68" s="651">
        <f>IF(J66&gt;0,IF(E77&lt;E61,IF(J66=G79,E77,((J66-G79)*(1-D79))+E61),E77+(J66-G79)),0)</f>
        <v>0</v>
      </c>
    </row>
    <row r="69" spans="2:10" ht="15.75">
      <c r="B69" s="271"/>
      <c r="C69" s="255"/>
      <c r="D69" s="255"/>
      <c r="E69" s="67"/>
      <c r="G69" s="652" t="s">
        <v>289</v>
      </c>
      <c r="H69" s="653"/>
      <c r="I69" s="653"/>
      <c r="J69" s="654">
        <f>IF(J66&gt;0,J68-E77,0)</f>
        <v>0</v>
      </c>
    </row>
    <row r="70" spans="2:10" ht="15.75">
      <c r="B70" s="272" t="s">
        <v>1202</v>
      </c>
      <c r="C70" s="255"/>
      <c r="D70" s="255"/>
      <c r="E70" s="82">
        <f>nhood!E12</f>
      </c>
      <c r="J70" s="2"/>
    </row>
    <row r="71" spans="2:10" ht="15.75">
      <c r="B71" s="272" t="s">
        <v>1203</v>
      </c>
      <c r="C71" s="255"/>
      <c r="D71" s="255"/>
      <c r="E71" s="67"/>
      <c r="G71" s="831" t="str">
        <f>CONCATENATE("Projected Carryover Into ",E1+1,"")</f>
        <v>Projected Carryover Into 2014</v>
      </c>
      <c r="H71" s="832"/>
      <c r="I71" s="832"/>
      <c r="J71" s="833"/>
    </row>
    <row r="72" spans="2:10" ht="15.75">
      <c r="B72" s="272" t="s">
        <v>1153</v>
      </c>
      <c r="C72" s="260">
        <f>IF(C73*0.1&lt;C71,"Exceed 10% Rule","")</f>
      </c>
      <c r="D72" s="260">
        <f>IF(D73*0.1&lt;D71,"Exceed 10% Rule","")</f>
      </c>
      <c r="E72" s="297">
        <f>IF(E73*0.1&lt;E71,"Exceed 10% Rule","")</f>
      </c>
      <c r="G72" s="655"/>
      <c r="H72" s="76"/>
      <c r="I72" s="76"/>
      <c r="J72" s="662"/>
    </row>
    <row r="73" spans="2:10" ht="15.75">
      <c r="B73" s="262" t="s">
        <v>454</v>
      </c>
      <c r="C73" s="264">
        <f>SUM(C63:C71)</f>
        <v>0</v>
      </c>
      <c r="D73" s="264">
        <f>SUM(D63:D71)</f>
        <v>0</v>
      </c>
      <c r="E73" s="265">
        <f>SUM(E63:E71)</f>
        <v>0</v>
      </c>
      <c r="G73" s="657">
        <f>D74</f>
        <v>0</v>
      </c>
      <c r="H73" s="625" t="str">
        <f>CONCATENATE("",E1-1," Ending Cash Balance (est.)")</f>
        <v>2012 Ending Cash Balance (est.)</v>
      </c>
      <c r="I73" s="658"/>
      <c r="J73" s="662"/>
    </row>
    <row r="74" spans="2:10" ht="15.75">
      <c r="B74" s="150" t="s">
        <v>565</v>
      </c>
      <c r="C74" s="268">
        <f>C61-C73</f>
        <v>0</v>
      </c>
      <c r="D74" s="268">
        <f>D61-D73</f>
        <v>0</v>
      </c>
      <c r="E74" s="284" t="s">
        <v>425</v>
      </c>
      <c r="G74" s="657">
        <f>E60</f>
        <v>0</v>
      </c>
      <c r="H74" s="643" t="str">
        <f>CONCATENATE("",E1," Non-AV Receipts (est.)")</f>
        <v>2013 Non-AV Receipts (est.)</v>
      </c>
      <c r="I74" s="658"/>
      <c r="J74" s="662"/>
    </row>
    <row r="75" spans="2:11" ht="15.75">
      <c r="B75" s="136" t="str">
        <f>CONCATENATE("",E1-2,"/",E1-1," Budget Authority Amount:")</f>
        <v>2011/2012 Budget Authority Amount:</v>
      </c>
      <c r="C75" s="239">
        <f>inputOth!B66</f>
        <v>0</v>
      </c>
      <c r="D75" s="239">
        <f>inputPrYr!D24</f>
        <v>0</v>
      </c>
      <c r="E75" s="284" t="s">
        <v>425</v>
      </c>
      <c r="F75" s="274"/>
      <c r="G75" s="659">
        <f>IF(D79&gt;0,E78,E80)</f>
        <v>0</v>
      </c>
      <c r="H75" s="643" t="str">
        <f>CONCATENATE("",E1," Ad Valorem Tax (est.)")</f>
        <v>2013 Ad Valorem Tax (est.)</v>
      </c>
      <c r="I75" s="658"/>
      <c r="J75" s="662"/>
      <c r="K75" s="634">
        <f>IF(G75=E80,"","Note: Does not include Delinquent Taxes")</f>
      </c>
    </row>
    <row r="76" spans="2:10" ht="15.75">
      <c r="B76" s="136"/>
      <c r="C76" s="821" t="s">
        <v>1091</v>
      </c>
      <c r="D76" s="822"/>
      <c r="E76" s="67"/>
      <c r="F76" s="726">
        <f>IF(E73/0.95-E73&lt;E76,"Exceeds 5%","")</f>
      </c>
      <c r="G76" s="661">
        <f>SUM(G73:G75)</f>
        <v>0</v>
      </c>
      <c r="H76" s="643" t="str">
        <f>CONCATENATE("Total ",E1," Resources Available")</f>
        <v>Total 2013 Resources Available</v>
      </c>
      <c r="I76" s="662"/>
      <c r="J76" s="662"/>
    </row>
    <row r="77" spans="2:10" ht="15.75">
      <c r="B77" s="525" t="str">
        <f>CONCATENATE(C96,"     ",D96)</f>
        <v>     </v>
      </c>
      <c r="C77" s="823" t="s">
        <v>158</v>
      </c>
      <c r="D77" s="824"/>
      <c r="E77" s="226">
        <f>E73+E76</f>
        <v>0</v>
      </c>
      <c r="G77" s="663"/>
      <c r="H77" s="664"/>
      <c r="I77" s="76"/>
      <c r="J77" s="662"/>
    </row>
    <row r="78" spans="2:10" ht="15.75">
      <c r="B78" s="525" t="str">
        <f>CONCATENATE(C97,"     ",D97)</f>
        <v>     </v>
      </c>
      <c r="C78" s="275"/>
      <c r="D78" s="169" t="s">
        <v>455</v>
      </c>
      <c r="E78" s="82">
        <f>IF(E77-E61&gt;0,E77-E61,0)</f>
        <v>0</v>
      </c>
      <c r="G78" s="665">
        <f>ROUND(C73*0.05+C73,0)</f>
        <v>0</v>
      </c>
      <c r="H78" s="664" t="str">
        <f>CONCATENATE("Less ",E1-2," Expenditures + 5%")</f>
        <v>Less 2011 Expenditures + 5%</v>
      </c>
      <c r="I78" s="662"/>
      <c r="J78" s="662"/>
    </row>
    <row r="79" spans="2:10" ht="15.75">
      <c r="B79" s="169"/>
      <c r="C79" s="381" t="s">
        <v>1090</v>
      </c>
      <c r="D79" s="716">
        <f>inputOth!$E$47</f>
        <v>0.06</v>
      </c>
      <c r="E79" s="226">
        <f>ROUND(IF(D79&gt;0,(E78*D79),0),0)</f>
        <v>0</v>
      </c>
      <c r="G79" s="666">
        <f>G76-G78</f>
        <v>0</v>
      </c>
      <c r="H79" s="667" t="str">
        <f>CONCATENATE("Projected ",E1+1," carryover (est.)")</f>
        <v>Projected 2014 carryover (est.)</v>
      </c>
      <c r="I79" s="668"/>
      <c r="J79" s="669"/>
    </row>
    <row r="80" spans="2:9" ht="16.5" thickBot="1">
      <c r="B80" s="47"/>
      <c r="C80" s="825" t="str">
        <f>CONCATENATE("Amount of  ",$E$1-1," Ad Valorem Tax")</f>
        <v>Amount of  2012 Ad Valorem Tax</v>
      </c>
      <c r="D80" s="826"/>
      <c r="E80" s="641">
        <f>E78+E79</f>
        <v>0</v>
      </c>
      <c r="G80" s="2"/>
      <c r="H80" s="2"/>
      <c r="I80" s="2"/>
    </row>
    <row r="81" spans="2:10" ht="16.5" thickTop="1">
      <c r="B81" s="47"/>
      <c r="C81" s="47"/>
      <c r="D81" s="47"/>
      <c r="E81" s="47"/>
      <c r="G81" s="815" t="s">
        <v>288</v>
      </c>
      <c r="H81" s="816"/>
      <c r="I81" s="816"/>
      <c r="J81" s="817"/>
    </row>
    <row r="82" spans="2:10" ht="15.75">
      <c r="B82" s="399" t="s">
        <v>457</v>
      </c>
      <c r="C82" s="280"/>
      <c r="D82" s="47"/>
      <c r="E82" s="47"/>
      <c r="G82" s="624"/>
      <c r="H82" s="625"/>
      <c r="I82" s="626"/>
      <c r="J82" s="627"/>
    </row>
    <row r="83" spans="7:10" ht="15.75">
      <c r="G83" s="628" t="e">
        <f>summ!#REF!</f>
        <v>#REF!</v>
      </c>
      <c r="H83" s="625" t="str">
        <f>CONCATENATE("",E1," Fund Mill Rate")</f>
        <v>2013 Fund Mill Rate</v>
      </c>
      <c r="I83" s="626"/>
      <c r="J83" s="627"/>
    </row>
    <row r="84" spans="7:10" ht="15.75">
      <c r="G84" s="629" t="e">
        <f>summ!#REF!</f>
        <v>#REF!</v>
      </c>
      <c r="H84" s="625" t="str">
        <f>CONCATENATE("",E1-1," Fund Mill Rate")</f>
        <v>2012 Fund Mill Rate</v>
      </c>
      <c r="I84" s="626"/>
      <c r="J84" s="627"/>
    </row>
    <row r="85" spans="7:10" ht="15.75">
      <c r="G85" s="630">
        <f>summ!H34</f>
        <v>41.808</v>
      </c>
      <c r="H85" s="625" t="str">
        <f>CONCATENATE("Total ",E1," Mill Rate")</f>
        <v>Total 2013 Mill Rate</v>
      </c>
      <c r="I85" s="626"/>
      <c r="J85" s="627"/>
    </row>
    <row r="86" spans="7:10" ht="15.75">
      <c r="G86" s="629">
        <f>summ!E34</f>
        <v>41.309</v>
      </c>
      <c r="H86" s="631" t="str">
        <f>CONCATENATE("Total ",E1-1," Mill Rate")</f>
        <v>Total 2012 Mill Rate</v>
      </c>
      <c r="I86" s="632"/>
      <c r="J86" s="633"/>
    </row>
    <row r="94" spans="3:4" ht="15.75" hidden="1">
      <c r="C94" s="524">
        <f>IF(C33&gt;C35,"See Tab A","")</f>
      </c>
      <c r="D94" s="524">
        <f>IF(D31&gt;D35,"See Tab C","")</f>
      </c>
    </row>
    <row r="95" spans="3:4" ht="15.75" hidden="1">
      <c r="C95" s="524">
        <f>IF(C34&lt;0,"See Tab B","")</f>
      </c>
      <c r="D95" s="524">
        <f>IF(D34&lt;0,"See Tab D","")</f>
      </c>
    </row>
    <row r="96" spans="3:4" ht="15.75" hidden="1">
      <c r="C96" s="524">
        <f>IF(C71&gt;C75,"See Tab A","")</f>
      </c>
      <c r="D96" s="524">
        <f>IF(D71&gt;D75,"See Tab C","")</f>
      </c>
    </row>
    <row r="97" spans="3:4" ht="15.75" hidden="1">
      <c r="C97" s="524">
        <f>IF(C74&lt;0,"See Tab B","")</f>
      </c>
      <c r="D97" s="524">
        <f>IF(D74&lt;0,"See Tab D","")</f>
      </c>
    </row>
  </sheetData>
  <sheetProtection sheet="1"/>
  <mergeCells count="13">
    <mergeCell ref="C80:D80"/>
    <mergeCell ref="C76:D76"/>
    <mergeCell ref="C77:D77"/>
    <mergeCell ref="C36:D36"/>
    <mergeCell ref="C37:D37"/>
    <mergeCell ref="C41:D41"/>
    <mergeCell ref="C40:D40"/>
    <mergeCell ref="G71:J71"/>
    <mergeCell ref="G81:J81"/>
    <mergeCell ref="G24:J24"/>
    <mergeCell ref="G31:J31"/>
    <mergeCell ref="G41:J41"/>
    <mergeCell ref="G64:J64"/>
  </mergeCells>
  <conditionalFormatting sqref="E71">
    <cfRule type="cellIs" priority="3" dxfId="305" operator="greaterThan" stopIfTrue="1">
      <formula>$E$73*0.1</formula>
    </cfRule>
  </conditionalFormatting>
  <conditionalFormatting sqref="E76">
    <cfRule type="cellIs" priority="4" dxfId="305" operator="greaterThan" stopIfTrue="1">
      <formula>$E$73/0.95-$E$73</formula>
    </cfRule>
  </conditionalFormatting>
  <conditionalFormatting sqref="E31">
    <cfRule type="cellIs" priority="5" dxfId="305" operator="greaterThan" stopIfTrue="1">
      <formula>$E$33*0.1</formula>
    </cfRule>
  </conditionalFormatting>
  <conditionalFormatting sqref="E36">
    <cfRule type="cellIs" priority="6" dxfId="305"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05" operator="greaterThan" stopIfTrue="1">
      <formula>$E$60*0.1+E80</formula>
    </cfRule>
  </conditionalFormatting>
  <conditionalFormatting sqref="E18">
    <cfRule type="cellIs" priority="21" dxfId="305"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505</v>
      </c>
      <c r="C3" s="201"/>
      <c r="D3" s="201"/>
      <c r="E3" s="286"/>
    </row>
    <row r="4" spans="2:5" ht="15.75">
      <c r="B4" s="52" t="s">
        <v>435</v>
      </c>
      <c r="C4" s="704" t="s">
        <v>388</v>
      </c>
      <c r="D4" s="705" t="s">
        <v>389</v>
      </c>
      <c r="E4" s="144" t="s">
        <v>390</v>
      </c>
    </row>
    <row r="5" spans="2:5" ht="15.75">
      <c r="B5" s="529">
        <f>inputPrYr!B25</f>
        <v>0</v>
      </c>
      <c r="C5" s="223" t="str">
        <f>CONCATENATE("Actual for ",E1-2,"")</f>
        <v>Actual for 2011</v>
      </c>
      <c r="D5" s="223" t="str">
        <f>CONCATENATE("Estimate for ",E1-1,"")</f>
        <v>Estimate for 2012</v>
      </c>
      <c r="E5" s="208" t="str">
        <f>CONCATENATE("Year for ",E1,"")</f>
        <v>Year for 2013</v>
      </c>
    </row>
    <row r="6" spans="2:5" ht="15.75">
      <c r="B6" s="250" t="s">
        <v>564</v>
      </c>
      <c r="C6" s="255"/>
      <c r="D6" s="253">
        <f>C34</f>
        <v>0</v>
      </c>
      <c r="E6" s="226">
        <f>D34</f>
        <v>0</v>
      </c>
    </row>
    <row r="7" spans="2:5" ht="15.75">
      <c r="B7" s="254" t="s">
        <v>566</v>
      </c>
      <c r="C7" s="159"/>
      <c r="D7" s="159"/>
      <c r="E7" s="87"/>
    </row>
    <row r="8" spans="2:5" ht="15.75">
      <c r="B8" s="150" t="s">
        <v>436</v>
      </c>
      <c r="C8" s="255"/>
      <c r="D8" s="253">
        <f>IF(inputPrYr!H16&gt;0,inputPrYr!G25,inputPrYr!E25)</f>
        <v>0</v>
      </c>
      <c r="E8" s="284" t="s">
        <v>425</v>
      </c>
    </row>
    <row r="9" spans="2:5" ht="15.75">
      <c r="B9" s="150" t="s">
        <v>437</v>
      </c>
      <c r="C9" s="255"/>
      <c r="D9" s="255"/>
      <c r="E9" s="67"/>
    </row>
    <row r="10" spans="2:5" ht="15.75">
      <c r="B10" s="150" t="s">
        <v>438</v>
      </c>
      <c r="C10" s="255"/>
      <c r="D10" s="255"/>
      <c r="E10" s="226" t="str">
        <f>mvalloc!D14</f>
        <v>  </v>
      </c>
    </row>
    <row r="11" spans="2:5" ht="15.75">
      <c r="B11" s="150" t="s">
        <v>439</v>
      </c>
      <c r="C11" s="255"/>
      <c r="D11" s="255"/>
      <c r="E11" s="226" t="str">
        <f>mvalloc!E14</f>
        <v> </v>
      </c>
    </row>
    <row r="12" spans="2:5" ht="15.75">
      <c r="B12" s="159" t="s">
        <v>537</v>
      </c>
      <c r="C12" s="255"/>
      <c r="D12" s="255"/>
      <c r="E12" s="226" t="str">
        <f>mvalloc!F14</f>
        <v> </v>
      </c>
    </row>
    <row r="13" spans="2:5" ht="15.75">
      <c r="B13" s="271"/>
      <c r="C13" s="255"/>
      <c r="D13" s="255"/>
      <c r="E13" s="67"/>
    </row>
    <row r="14" spans="2:5" ht="15.75">
      <c r="B14" s="271"/>
      <c r="C14" s="255"/>
      <c r="D14" s="255"/>
      <c r="E14" s="67"/>
    </row>
    <row r="15" spans="2:5" ht="15.75">
      <c r="B15" s="271"/>
      <c r="C15" s="255"/>
      <c r="D15" s="255"/>
      <c r="E15" s="67"/>
    </row>
    <row r="16" spans="2:5" ht="15.75">
      <c r="B16" s="271"/>
      <c r="C16" s="255"/>
      <c r="D16" s="255"/>
      <c r="E16" s="67"/>
    </row>
    <row r="17" spans="2:5" ht="15.75">
      <c r="B17" s="259" t="s">
        <v>442</v>
      </c>
      <c r="C17" s="255"/>
      <c r="D17" s="255"/>
      <c r="E17" s="67"/>
    </row>
    <row r="18" spans="2:5" ht="15.75">
      <c r="B18" s="159" t="s">
        <v>1203</v>
      </c>
      <c r="C18" s="255"/>
      <c r="D18" s="255"/>
      <c r="E18" s="67"/>
    </row>
    <row r="19" spans="2:5" ht="15.75">
      <c r="B19" s="250" t="s">
        <v>1152</v>
      </c>
      <c r="C19" s="260">
        <f>IF(C20*0.1&lt;C18,"Exceed 10% Rule","")</f>
      </c>
      <c r="D19" s="260">
        <f>IF(D20*0.1&lt;D18,"Exceed 10% Rule","")</f>
      </c>
      <c r="E19" s="297">
        <f>IF(E20*0.1+E40&lt;E18,"Exceed 10% Rule","")</f>
      </c>
    </row>
    <row r="20" spans="2:5" ht="15.75">
      <c r="B20" s="262" t="s">
        <v>443</v>
      </c>
      <c r="C20" s="264">
        <f>SUM(C8:C18)</f>
        <v>0</v>
      </c>
      <c r="D20" s="264">
        <f>SUM(D8:D18)</f>
        <v>0</v>
      </c>
      <c r="E20" s="265">
        <f>SUM(E8:E18)</f>
        <v>0</v>
      </c>
    </row>
    <row r="21" spans="2:5" ht="15.75">
      <c r="B21" s="262" t="s">
        <v>448</v>
      </c>
      <c r="C21" s="264">
        <f>C6+C20</f>
        <v>0</v>
      </c>
      <c r="D21" s="264">
        <f>D6+D20</f>
        <v>0</v>
      </c>
      <c r="E21" s="265">
        <f>E6+E20</f>
        <v>0</v>
      </c>
    </row>
    <row r="22" spans="2:5" ht="15.75">
      <c r="B22" s="150" t="s">
        <v>450</v>
      </c>
      <c r="C22" s="272"/>
      <c r="D22" s="272"/>
      <c r="E22" s="65"/>
    </row>
    <row r="23" spans="2:5" ht="15.75">
      <c r="B23" s="271"/>
      <c r="C23" s="255"/>
      <c r="D23" s="255"/>
      <c r="E23" s="67"/>
    </row>
    <row r="24" spans="2:10" ht="15.75">
      <c r="B24" s="271"/>
      <c r="C24" s="255"/>
      <c r="D24" s="255"/>
      <c r="E24" s="67"/>
      <c r="G24" s="831" t="str">
        <f>CONCATENATE("Desired Carryover Into ",E1+1,"")</f>
        <v>Desired Carryover Into 2014</v>
      </c>
      <c r="H24" s="827"/>
      <c r="I24" s="827"/>
      <c r="J24" s="828"/>
    </row>
    <row r="25" spans="2:10" ht="15.75">
      <c r="B25" s="271"/>
      <c r="C25" s="255"/>
      <c r="D25" s="255"/>
      <c r="E25" s="67"/>
      <c r="G25" s="642"/>
      <c r="H25" s="76"/>
      <c r="I25" s="643"/>
      <c r="J25" s="644"/>
    </row>
    <row r="26" spans="2:10" ht="15.75">
      <c r="B26" s="271"/>
      <c r="C26" s="255"/>
      <c r="D26" s="255"/>
      <c r="E26" s="67"/>
      <c r="G26" s="645" t="s">
        <v>1140</v>
      </c>
      <c r="H26" s="643"/>
      <c r="I26" s="643"/>
      <c r="J26" s="646">
        <v>0</v>
      </c>
    </row>
    <row r="27" spans="2:10" ht="15.75">
      <c r="B27" s="271"/>
      <c r="C27" s="255"/>
      <c r="D27" s="255"/>
      <c r="E27" s="67"/>
      <c r="G27" s="642" t="s">
        <v>1141</v>
      </c>
      <c r="H27" s="76"/>
      <c r="I27" s="76"/>
      <c r="J27" s="647">
        <f>IF(J26=0,"",ROUND((J26+E40-G39)/inputOth!E7*1000,3)-G44)</f>
      </c>
    </row>
    <row r="28" spans="2:10" ht="15.75">
      <c r="B28" s="271"/>
      <c r="C28" s="255"/>
      <c r="D28" s="255"/>
      <c r="E28" s="67"/>
      <c r="G28" s="648" t="str">
        <f>CONCATENATE("",E1," Tot Exp/Non-Appr Must Be:")</f>
        <v>2013 Tot Exp/Non-Appr Must Be:</v>
      </c>
      <c r="H28" s="649"/>
      <c r="I28" s="650"/>
      <c r="J28" s="651">
        <f>IF(J26&gt;0,IF(E37&lt;E21,IF(J26=G39,E37,((J26-G39)*(1-D39))+E21),E37+(J26-G39)),0)</f>
        <v>0</v>
      </c>
    </row>
    <row r="29" spans="2:10" ht="15.75">
      <c r="B29" s="271"/>
      <c r="C29" s="255"/>
      <c r="D29" s="255"/>
      <c r="E29" s="67"/>
      <c r="G29" s="652" t="s">
        <v>289</v>
      </c>
      <c r="H29" s="653"/>
      <c r="I29" s="653"/>
      <c r="J29" s="654">
        <f>IF(J26&gt;0,J28-E38,0)</f>
        <v>0</v>
      </c>
    </row>
    <row r="30" spans="2:10" ht="15.75">
      <c r="B30" s="272" t="s">
        <v>1202</v>
      </c>
      <c r="C30" s="255"/>
      <c r="D30" s="255"/>
      <c r="E30" s="82">
        <f>nhood!E13</f>
      </c>
      <c r="J30" s="2"/>
    </row>
    <row r="31" spans="2:10" ht="15.75">
      <c r="B31" s="272" t="s">
        <v>1203</v>
      </c>
      <c r="C31" s="255"/>
      <c r="D31" s="255"/>
      <c r="E31" s="67"/>
      <c r="G31" s="831" t="str">
        <f>CONCATENATE("Projected Carryover Into ",E1+1,"")</f>
        <v>Projected Carryover Into 2014</v>
      </c>
      <c r="H31" s="835"/>
      <c r="I31" s="835"/>
      <c r="J31" s="833"/>
    </row>
    <row r="32" spans="2:10" ht="15.75">
      <c r="B32" s="272" t="s">
        <v>1153</v>
      </c>
      <c r="C32" s="260">
        <f>IF(C33*0.1&lt;C31,"Exceed 10% Rule","")</f>
      </c>
      <c r="D32" s="260">
        <f>IF(D33*0.1&lt;D31,"Exceed 10% Rule","")</f>
      </c>
      <c r="E32" s="297">
        <f>IF(E33*0.1&lt;E31,"Exceed 10% Rule","")</f>
      </c>
      <c r="G32" s="642"/>
      <c r="H32" s="643"/>
      <c r="I32" s="643"/>
      <c r="J32" s="656"/>
    </row>
    <row r="33" spans="2:10" ht="15.75">
      <c r="B33" s="262" t="s">
        <v>454</v>
      </c>
      <c r="C33" s="264">
        <f>SUM(C23:C31)</f>
        <v>0</v>
      </c>
      <c r="D33" s="264">
        <f>SUM(D23:D31)</f>
        <v>0</v>
      </c>
      <c r="E33" s="265">
        <f>SUM(E23:E31)</f>
        <v>0</v>
      </c>
      <c r="G33" s="657">
        <f>D34</f>
        <v>0</v>
      </c>
      <c r="H33" s="625" t="str">
        <f>CONCATENATE("",E1-1," Ending Cash Balance (est.)")</f>
        <v>2012 Ending Cash Balance (est.)</v>
      </c>
      <c r="I33" s="658"/>
      <c r="J33" s="656"/>
    </row>
    <row r="34" spans="2:10" ht="15.75">
      <c r="B34" s="150" t="s">
        <v>565</v>
      </c>
      <c r="C34" s="268">
        <f>C21-C33</f>
        <v>0</v>
      </c>
      <c r="D34" s="268">
        <f>D21-D33</f>
        <v>0</v>
      </c>
      <c r="E34" s="284" t="s">
        <v>425</v>
      </c>
      <c r="G34" s="657">
        <f>E20</f>
        <v>0</v>
      </c>
      <c r="H34" s="643" t="str">
        <f>CONCATENATE("",E1," Non-AV Receipts (est.)")</f>
        <v>2013 Non-AV Receipts (est.)</v>
      </c>
      <c r="I34" s="658"/>
      <c r="J34" s="656"/>
    </row>
    <row r="35" spans="2:11" ht="15.75">
      <c r="B35" s="136" t="str">
        <f>CONCATENATE("",E1-2,"/",E1-1," Budget Authority Amount:")</f>
        <v>2011/2012 Budget Authority Amount:</v>
      </c>
      <c r="C35" s="239">
        <f>inputOth!B67</f>
        <v>0</v>
      </c>
      <c r="D35" s="239">
        <f>inputPrYr!D25</f>
        <v>0</v>
      </c>
      <c r="E35" s="284" t="s">
        <v>425</v>
      </c>
      <c r="F35" s="274"/>
      <c r="G35" s="659">
        <f>IF(E39&gt;0,E38,E40)</f>
        <v>0</v>
      </c>
      <c r="H35" s="643" t="str">
        <f>CONCATENATE("",E1," Ad Valorem Tax (est.)")</f>
        <v>2013 Ad Valorem Tax (est.)</v>
      </c>
      <c r="I35" s="658"/>
      <c r="J35" s="638"/>
      <c r="K35" s="634">
        <f>IF(G35=E40,"","Note: Does not include Delinquent Taxes")</f>
      </c>
    </row>
    <row r="36" spans="2:10" ht="15.75">
      <c r="B36" s="136"/>
      <c r="C36" s="821" t="s">
        <v>1091</v>
      </c>
      <c r="D36" s="822"/>
      <c r="E36" s="67"/>
      <c r="F36" s="726">
        <f>IF(E33/0.95-E33&lt;E36,"Exceeds 5%","")</f>
      </c>
      <c r="G36" s="657">
        <f>SUM(G33:G35)</f>
        <v>0</v>
      </c>
      <c r="H36" s="643" t="str">
        <f>CONCATENATE("Total ",E1," Resources Available")</f>
        <v>Total 2013 Resources Available</v>
      </c>
      <c r="I36" s="658"/>
      <c r="J36" s="656"/>
    </row>
    <row r="37" spans="2:10" ht="15.75">
      <c r="B37" s="525" t="str">
        <f>CONCATENATE(C94,"     ",D94)</f>
        <v>     </v>
      </c>
      <c r="C37" s="823" t="s">
        <v>158</v>
      </c>
      <c r="D37" s="824"/>
      <c r="E37" s="226">
        <f>E33+E36</f>
        <v>0</v>
      </c>
      <c r="G37" s="694"/>
      <c r="H37" s="643"/>
      <c r="I37" s="643"/>
      <c r="J37" s="656"/>
    </row>
    <row r="38" spans="2:10" ht="15.75">
      <c r="B38" s="525" t="str">
        <f>CONCATENATE(C95,"     ",D95)</f>
        <v>     </v>
      </c>
      <c r="C38" s="275"/>
      <c r="D38" s="169" t="s">
        <v>455</v>
      </c>
      <c r="E38" s="82">
        <f>IF(E37-E21&gt;0,E37-E21,0)</f>
        <v>0</v>
      </c>
      <c r="G38" s="659">
        <f>ROUND(C33*0.05+C33,0)</f>
        <v>0</v>
      </c>
      <c r="H38" s="643" t="str">
        <f>CONCATENATE("Less ",E1-2," Expenditures + 5%")</f>
        <v>Less 2011 Expenditures + 5%</v>
      </c>
      <c r="I38" s="658"/>
      <c r="J38" s="656"/>
    </row>
    <row r="39" spans="2:10" ht="15.75">
      <c r="B39" s="169"/>
      <c r="C39" s="381" t="s">
        <v>1090</v>
      </c>
      <c r="D39" s="716">
        <f>inputOth!$E$47</f>
        <v>0.06</v>
      </c>
      <c r="E39" s="226">
        <f>ROUND(IF(D39&gt;0,(E38*D39),0),0)</f>
        <v>0</v>
      </c>
      <c r="G39" s="695">
        <f>G36-G38</f>
        <v>0</v>
      </c>
      <c r="H39" s="696" t="str">
        <f>CONCATENATE("Projected ",E1+1," carryover (est.)")</f>
        <v>Projected 2014 carryover (est.)</v>
      </c>
      <c r="I39" s="697"/>
      <c r="J39" s="669"/>
    </row>
    <row r="40" spans="2:10" ht="16.5" thickBot="1">
      <c r="B40" s="98"/>
      <c r="C40" s="825" t="str">
        <f>CONCATENATE("Amount of  ",$E$1-1," Ad Valorem Tax")</f>
        <v>Amount of  2012 Ad Valorem Tax</v>
      </c>
      <c r="D40" s="826"/>
      <c r="E40" s="641">
        <f>E38+E39</f>
        <v>0</v>
      </c>
      <c r="G40" s="2"/>
      <c r="H40" s="2"/>
      <c r="I40" s="2"/>
      <c r="J40" s="2"/>
    </row>
    <row r="41" spans="2:10" ht="16.5" thickTop="1">
      <c r="B41" s="47"/>
      <c r="C41" s="98"/>
      <c r="D41" s="98"/>
      <c r="E41" s="47"/>
      <c r="G41" s="815" t="s">
        <v>288</v>
      </c>
      <c r="H41" s="816"/>
      <c r="I41" s="816"/>
      <c r="J41" s="817"/>
    </row>
    <row r="42" spans="2:10" ht="15.75">
      <c r="B42" s="52"/>
      <c r="C42" s="287"/>
      <c r="D42" s="287"/>
      <c r="E42" s="287"/>
      <c r="G42" s="624"/>
      <c r="H42" s="625"/>
      <c r="I42" s="626"/>
      <c r="J42" s="627"/>
    </row>
    <row r="43" spans="2:10" ht="15.75">
      <c r="B43" s="52" t="s">
        <v>435</v>
      </c>
      <c r="C43" s="704" t="s">
        <v>388</v>
      </c>
      <c r="D43" s="705" t="s">
        <v>389</v>
      </c>
      <c r="E43" s="144" t="s">
        <v>390</v>
      </c>
      <c r="G43" s="628" t="e">
        <f>summ!#REF!</f>
        <v>#REF!</v>
      </c>
      <c r="H43" s="625" t="str">
        <f>CONCATENATE("",E1," Fund Mill Rate")</f>
        <v>2013 Fund Mill Rate</v>
      </c>
      <c r="I43" s="626"/>
      <c r="J43" s="627"/>
    </row>
    <row r="44" spans="2:10" ht="15.75">
      <c r="B44" s="529">
        <f>inputPrYr!B26</f>
        <v>0</v>
      </c>
      <c r="C44" s="223" t="str">
        <f>CONCATENATE("Actual for ",E1-2,"")</f>
        <v>Actual for 2011</v>
      </c>
      <c r="D44" s="223" t="str">
        <f>CONCATENATE("Estimate for ",E1-1,"")</f>
        <v>Estimate for 2012</v>
      </c>
      <c r="E44" s="208" t="str">
        <f>CONCATENATE("Year for ",E1,"")</f>
        <v>Year for 2013</v>
      </c>
      <c r="G44" s="629" t="e">
        <f>summ!#REF!</f>
        <v>#REF!</v>
      </c>
      <c r="H44" s="625" t="str">
        <f>CONCATENATE("",E1-1," Fund Mill Rate")</f>
        <v>2012 Fund Mill Rate</v>
      </c>
      <c r="I44" s="626"/>
      <c r="J44" s="627"/>
    </row>
    <row r="45" spans="2:10" ht="15.75">
      <c r="B45" s="250" t="s">
        <v>564</v>
      </c>
      <c r="C45" s="255"/>
      <c r="D45" s="253">
        <f>C74</f>
        <v>0</v>
      </c>
      <c r="E45" s="226">
        <f>D74</f>
        <v>0</v>
      </c>
      <c r="G45" s="630">
        <f>summ!H34</f>
        <v>41.808</v>
      </c>
      <c r="H45" s="625" t="str">
        <f>CONCATENATE("Total ",E1," Mill Rate")</f>
        <v>Total 2013 Mill Rate</v>
      </c>
      <c r="I45" s="626"/>
      <c r="J45" s="627"/>
    </row>
    <row r="46" spans="2:10" ht="15.75">
      <c r="B46" s="254" t="s">
        <v>566</v>
      </c>
      <c r="C46" s="159"/>
      <c r="D46" s="159"/>
      <c r="E46" s="87"/>
      <c r="G46" s="629">
        <f>summ!E34</f>
        <v>41.309</v>
      </c>
      <c r="H46" s="631" t="str">
        <f>CONCATENATE("Total ",E1-1," Mill Rate")</f>
        <v>Total 2012 Mill Rate</v>
      </c>
      <c r="I46" s="632"/>
      <c r="J46" s="633"/>
    </row>
    <row r="47" spans="2:5" ht="15.75">
      <c r="B47" s="150" t="s">
        <v>436</v>
      </c>
      <c r="C47" s="255"/>
      <c r="D47" s="253">
        <f>IF(inputPrYr!H16&gt;0,inputPrYr!G26,inputPrYr!E26)</f>
        <v>0</v>
      </c>
      <c r="E47" s="284" t="s">
        <v>425</v>
      </c>
    </row>
    <row r="48" spans="2:5" ht="15.75">
      <c r="B48" s="150" t="s">
        <v>437</v>
      </c>
      <c r="C48" s="255"/>
      <c r="D48" s="255"/>
      <c r="E48" s="67"/>
    </row>
    <row r="49" spans="2:5" ht="15.75">
      <c r="B49" s="150" t="s">
        <v>438</v>
      </c>
      <c r="C49" s="255"/>
      <c r="D49" s="255"/>
      <c r="E49" s="226" t="str">
        <f>mvalloc!D15</f>
        <v>  </v>
      </c>
    </row>
    <row r="50" spans="2:5" ht="15.75">
      <c r="B50" s="150" t="s">
        <v>439</v>
      </c>
      <c r="C50" s="255"/>
      <c r="D50" s="255"/>
      <c r="E50" s="226" t="str">
        <f>mvalloc!E15</f>
        <v> </v>
      </c>
    </row>
    <row r="51" spans="2:5" ht="15.75">
      <c r="B51" s="159" t="s">
        <v>537</v>
      </c>
      <c r="C51" s="255"/>
      <c r="D51" s="255"/>
      <c r="E51" s="226" t="str">
        <f>mvalloc!F15</f>
        <v> </v>
      </c>
    </row>
    <row r="52" spans="2:5" ht="15.75">
      <c r="B52" s="271"/>
      <c r="C52" s="255"/>
      <c r="D52" s="255"/>
      <c r="E52" s="67"/>
    </row>
    <row r="53" spans="2:5" ht="15.75">
      <c r="B53" s="271"/>
      <c r="C53" s="255"/>
      <c r="D53" s="255"/>
      <c r="E53" s="67"/>
    </row>
    <row r="54" spans="2:5" ht="15.75">
      <c r="B54" s="271"/>
      <c r="C54" s="255"/>
      <c r="D54" s="255"/>
      <c r="E54" s="67"/>
    </row>
    <row r="55" spans="2:5" ht="15.75">
      <c r="B55" s="271"/>
      <c r="C55" s="255"/>
      <c r="D55" s="255"/>
      <c r="E55" s="67"/>
    </row>
    <row r="56" spans="2:5" ht="15.75">
      <c r="B56" s="271"/>
      <c r="C56" s="255"/>
      <c r="D56" s="255"/>
      <c r="E56" s="67"/>
    </row>
    <row r="57" spans="2:5" ht="15.75">
      <c r="B57" s="259" t="s">
        <v>442</v>
      </c>
      <c r="C57" s="255"/>
      <c r="D57" s="255"/>
      <c r="E57" s="67"/>
    </row>
    <row r="58" spans="2:5" ht="15.75">
      <c r="B58" s="159" t="s">
        <v>1203</v>
      </c>
      <c r="C58" s="255"/>
      <c r="D58" s="255"/>
      <c r="E58" s="67"/>
    </row>
    <row r="59" spans="2:5" ht="15.75">
      <c r="B59" s="250" t="s">
        <v>1152</v>
      </c>
      <c r="C59" s="260">
        <f>IF(C60*0.1&lt;C58,"Exceed 10% Rule","")</f>
      </c>
      <c r="D59" s="260">
        <f>IF(D60*0.1&lt;D58,"Exceed 10% Rule","")</f>
      </c>
      <c r="E59" s="297">
        <f>IF(E60*0.1+E80&lt;E58,"Exceed 10% Rule","")</f>
      </c>
    </row>
    <row r="60" spans="2:5" ht="15.75">
      <c r="B60" s="262" t="s">
        <v>443</v>
      </c>
      <c r="C60" s="264">
        <f>SUM(C47:C58)</f>
        <v>0</v>
      </c>
      <c r="D60" s="264">
        <f>SUM(D47:D58)</f>
        <v>0</v>
      </c>
      <c r="E60" s="265">
        <f>SUM(E47:E58)</f>
        <v>0</v>
      </c>
    </row>
    <row r="61" spans="2:5" ht="15.75">
      <c r="B61" s="262" t="s">
        <v>448</v>
      </c>
      <c r="C61" s="264">
        <f>C45+C60</f>
        <v>0</v>
      </c>
      <c r="D61" s="264">
        <f>D45+D60</f>
        <v>0</v>
      </c>
      <c r="E61" s="265">
        <f>E45+E60</f>
        <v>0</v>
      </c>
    </row>
    <row r="62" spans="2:5" ht="15.75">
      <c r="B62" s="150" t="s">
        <v>450</v>
      </c>
      <c r="C62" s="272"/>
      <c r="D62" s="272"/>
      <c r="E62" s="65"/>
    </row>
    <row r="63" spans="2:5" ht="15.75">
      <c r="B63" s="271"/>
      <c r="C63" s="255"/>
      <c r="D63" s="255"/>
      <c r="E63" s="67"/>
    </row>
    <row r="64" spans="2:10" ht="15.75">
      <c r="B64" s="271"/>
      <c r="C64" s="255"/>
      <c r="D64" s="255"/>
      <c r="E64" s="67"/>
      <c r="G64" s="831" t="str">
        <f>CONCATENATE("Desired Carryover Into ",E1+1,"")</f>
        <v>Desired Carryover Into 2014</v>
      </c>
      <c r="H64" s="827"/>
      <c r="I64" s="827"/>
      <c r="J64" s="828"/>
    </row>
    <row r="65" spans="2:10" ht="15.75">
      <c r="B65" s="271"/>
      <c r="C65" s="255"/>
      <c r="D65" s="255"/>
      <c r="E65" s="67"/>
      <c r="G65" s="642"/>
      <c r="H65" s="76"/>
      <c r="I65" s="643"/>
      <c r="J65" s="644"/>
    </row>
    <row r="66" spans="2:10" ht="15.75">
      <c r="B66" s="271"/>
      <c r="C66" s="255"/>
      <c r="D66" s="255"/>
      <c r="E66" s="67"/>
      <c r="G66" s="645" t="s">
        <v>1140</v>
      </c>
      <c r="H66" s="643"/>
      <c r="I66" s="643"/>
      <c r="J66" s="646">
        <v>0</v>
      </c>
    </row>
    <row r="67" spans="2:10" ht="15.75">
      <c r="B67" s="271"/>
      <c r="C67" s="255"/>
      <c r="D67" s="255"/>
      <c r="E67" s="67"/>
      <c r="G67" s="642" t="s">
        <v>1141</v>
      </c>
      <c r="H67" s="76"/>
      <c r="I67" s="76"/>
      <c r="J67" s="647">
        <f>IF(J66=0,"",ROUND((J66+E80-G79)/inputOth!E7*1000,3)-G84)</f>
      </c>
    </row>
    <row r="68" spans="2:10" ht="15.75">
      <c r="B68" s="271"/>
      <c r="C68" s="255"/>
      <c r="D68" s="255"/>
      <c r="E68" s="67"/>
      <c r="G68" s="648" t="str">
        <f>CONCATENATE("",E1," Tot Exp/Non-Appr Must Be:")</f>
        <v>2013 Tot Exp/Non-Appr Must Be:</v>
      </c>
      <c r="H68" s="649"/>
      <c r="I68" s="650"/>
      <c r="J68" s="651">
        <f>IF(J66&gt;0,IF(E77&lt;E61,IF(J66=G79,E77,((J66-G79)*(1-D79))+E61),E77+(J66-G79)),0)</f>
        <v>0</v>
      </c>
    </row>
    <row r="69" spans="2:10" ht="15.75">
      <c r="B69" s="271"/>
      <c r="C69" s="255"/>
      <c r="D69" s="255"/>
      <c r="E69" s="379"/>
      <c r="G69" s="652" t="s">
        <v>289</v>
      </c>
      <c r="H69" s="653"/>
      <c r="I69" s="653"/>
      <c r="J69" s="654">
        <f>IF(J66&gt;0,J68-E77,0)</f>
        <v>0</v>
      </c>
    </row>
    <row r="70" spans="2:10" ht="15.75">
      <c r="B70" s="272" t="s">
        <v>1202</v>
      </c>
      <c r="C70" s="255"/>
      <c r="D70" s="255"/>
      <c r="E70" s="82">
        <f>nhood!E14</f>
      </c>
      <c r="J70" s="2"/>
    </row>
    <row r="71" spans="2:10" ht="15.75">
      <c r="B71" s="272" t="s">
        <v>1203</v>
      </c>
      <c r="C71" s="255"/>
      <c r="D71" s="255"/>
      <c r="E71" s="67"/>
      <c r="G71" s="831" t="str">
        <f>CONCATENATE("Projected Carryover Into ",E1+1,"")</f>
        <v>Projected Carryover Into 2014</v>
      </c>
      <c r="H71" s="832"/>
      <c r="I71" s="832"/>
      <c r="J71" s="833"/>
    </row>
    <row r="72" spans="2:10" ht="15.75">
      <c r="B72" s="272" t="s">
        <v>1153</v>
      </c>
      <c r="C72" s="260">
        <f>IF(C73*0.1&lt;C71,"Exceed 10% Rule","")</f>
      </c>
      <c r="D72" s="260">
        <f>IF(D73*0.1&lt;D71,"Exceed 10% Rule","")</f>
      </c>
      <c r="E72" s="297">
        <f>IF(E73*0.1&lt;E71,"Exceed 10% Rule","")</f>
      </c>
      <c r="G72" s="655"/>
      <c r="H72" s="76"/>
      <c r="I72" s="76"/>
      <c r="J72" s="662"/>
    </row>
    <row r="73" spans="2:10" ht="15.75">
      <c r="B73" s="262" t="s">
        <v>454</v>
      </c>
      <c r="C73" s="264">
        <f>SUM(C63:C71)</f>
        <v>0</v>
      </c>
      <c r="D73" s="264">
        <f>SUM(D63:D71)</f>
        <v>0</v>
      </c>
      <c r="E73" s="265">
        <f>SUM(E63:E71)</f>
        <v>0</v>
      </c>
      <c r="G73" s="657">
        <f>D74</f>
        <v>0</v>
      </c>
      <c r="H73" s="625" t="str">
        <f>CONCATENATE("",E1-1," Ending Cash Balance (est.)")</f>
        <v>2012 Ending Cash Balance (est.)</v>
      </c>
      <c r="I73" s="658"/>
      <c r="J73" s="662"/>
    </row>
    <row r="74" spans="2:10" ht="15.75">
      <c r="B74" s="150" t="s">
        <v>565</v>
      </c>
      <c r="C74" s="268">
        <f>C61-C73</f>
        <v>0</v>
      </c>
      <c r="D74" s="268">
        <f>D61-D73</f>
        <v>0</v>
      </c>
      <c r="E74" s="284" t="s">
        <v>425</v>
      </c>
      <c r="G74" s="657">
        <f>E60</f>
        <v>0</v>
      </c>
      <c r="H74" s="643" t="str">
        <f>CONCATENATE("",E1," Non-AV Receipts (est.)")</f>
        <v>2013 Non-AV Receipts (est.)</v>
      </c>
      <c r="I74" s="658"/>
      <c r="J74" s="662"/>
    </row>
    <row r="75" spans="2:11" ht="15.75">
      <c r="B75" s="136" t="str">
        <f>CONCATENATE("",E1-2,"/",E1-1," Budget Authority Amount:")</f>
        <v>2011/2012 Budget Authority Amount:</v>
      </c>
      <c r="C75" s="239">
        <f>inputOth!B68</f>
        <v>0</v>
      </c>
      <c r="D75" s="239">
        <f>inputPrYr!D26</f>
        <v>0</v>
      </c>
      <c r="E75" s="284" t="s">
        <v>425</v>
      </c>
      <c r="F75" s="274"/>
      <c r="G75" s="659">
        <f>IF(D79&gt;0,E78,E80)</f>
        <v>0</v>
      </c>
      <c r="H75" s="643" t="str">
        <f>CONCATENATE("",E1," Ad Valorem Tax (est.)")</f>
        <v>2013 Ad Valorem Tax (est.)</v>
      </c>
      <c r="I75" s="658"/>
      <c r="J75" s="662"/>
      <c r="K75" s="634">
        <f>IF(G75=E80,"","Note: Does not include Delinquent Taxes")</f>
      </c>
    </row>
    <row r="76" spans="2:10" ht="15.75">
      <c r="B76" s="136"/>
      <c r="C76" s="821" t="s">
        <v>1091</v>
      </c>
      <c r="D76" s="822"/>
      <c r="E76" s="67"/>
      <c r="F76" s="726">
        <f>IF(E73/0.95-E73&lt;E76,"Exceeds 5%","")</f>
      </c>
      <c r="G76" s="661">
        <f>SUM(G73:G75)</f>
        <v>0</v>
      </c>
      <c r="H76" s="643" t="str">
        <f>CONCATENATE("Total ",E1," Resources Available")</f>
        <v>Total 2013 Resources Available</v>
      </c>
      <c r="I76" s="662"/>
      <c r="J76" s="662"/>
    </row>
    <row r="77" spans="2:10" ht="15.75">
      <c r="B77" s="525" t="str">
        <f>CONCATENATE(C96,"     ",D96)</f>
        <v>     </v>
      </c>
      <c r="C77" s="823" t="s">
        <v>158</v>
      </c>
      <c r="D77" s="824"/>
      <c r="E77" s="226">
        <f>E73+E76</f>
        <v>0</v>
      </c>
      <c r="G77" s="663"/>
      <c r="H77" s="664"/>
      <c r="I77" s="76"/>
      <c r="J77" s="662"/>
    </row>
    <row r="78" spans="2:10" ht="15.75">
      <c r="B78" s="525" t="str">
        <f>CONCATENATE(C97,"     ",D97)</f>
        <v>     </v>
      </c>
      <c r="C78" s="275"/>
      <c r="D78" s="169" t="s">
        <v>455</v>
      </c>
      <c r="E78" s="82">
        <f>IF(E77-E61&gt;0,E77-E61,0)</f>
        <v>0</v>
      </c>
      <c r="G78" s="665">
        <f>ROUND(C73*0.05+C73,0)</f>
        <v>0</v>
      </c>
      <c r="H78" s="664" t="str">
        <f>CONCATENATE("Less ",E1-2," Expenditures + 5%")</f>
        <v>Less 2011 Expenditures + 5%</v>
      </c>
      <c r="I78" s="662"/>
      <c r="J78" s="662"/>
    </row>
    <row r="79" spans="2:10" ht="15.75">
      <c r="B79" s="136"/>
      <c r="C79" s="381" t="s">
        <v>1090</v>
      </c>
      <c r="D79" s="716">
        <f>inputOth!$E$47</f>
        <v>0.06</v>
      </c>
      <c r="E79" s="226">
        <f>ROUND(IF(D79&gt;0,(E78*D79),0),0)</f>
        <v>0</v>
      </c>
      <c r="G79" s="666">
        <f>G76-G78</f>
        <v>0</v>
      </c>
      <c r="H79" s="667" t="str">
        <f>CONCATENATE("Projected ",E1+1," carryover (est.)")</f>
        <v>Projected 2014 carryover (est.)</v>
      </c>
      <c r="I79" s="668"/>
      <c r="J79" s="669"/>
    </row>
    <row r="80" spans="2:9" ht="16.5" thickBot="1">
      <c r="B80" s="169"/>
      <c r="C80" s="825" t="str">
        <f>CONCATENATE("Amount of  ",$E$1-1," Ad Valorem Tax")</f>
        <v>Amount of  2012 Ad Valorem Tax</v>
      </c>
      <c r="D80" s="826"/>
      <c r="E80" s="641">
        <f>E78+E79</f>
        <v>0</v>
      </c>
      <c r="G80" s="2"/>
      <c r="H80" s="2"/>
      <c r="I80" s="2"/>
    </row>
    <row r="81" spans="2:10" ht="16.5" thickTop="1">
      <c r="B81" s="47"/>
      <c r="C81" s="47"/>
      <c r="D81" s="47"/>
      <c r="E81" s="47"/>
      <c r="G81" s="815" t="s">
        <v>288</v>
      </c>
      <c r="H81" s="816"/>
      <c r="I81" s="816"/>
      <c r="J81" s="817"/>
    </row>
    <row r="82" spans="2:10" ht="15.75">
      <c r="B82" s="399" t="s">
        <v>457</v>
      </c>
      <c r="C82" s="280"/>
      <c r="D82" s="47"/>
      <c r="E82" s="47"/>
      <c r="G82" s="624"/>
      <c r="H82" s="625"/>
      <c r="I82" s="626"/>
      <c r="J82" s="627"/>
    </row>
    <row r="83" spans="2:10" ht="15.75">
      <c r="B83" s="169"/>
      <c r="G83" s="628" t="e">
        <f>summ!#REF!</f>
        <v>#REF!</v>
      </c>
      <c r="H83" s="625" t="str">
        <f>CONCATENATE("",E1," Fund Mill Rate")</f>
        <v>2013 Fund Mill Rate</v>
      </c>
      <c r="I83" s="626"/>
      <c r="J83" s="627"/>
    </row>
    <row r="84" spans="7:10" ht="15.75">
      <c r="G84" s="629" t="e">
        <f>summ!#REF!</f>
        <v>#REF!</v>
      </c>
      <c r="H84" s="625" t="str">
        <f>CONCATENATE("",E1-1," Fund Mill Rate")</f>
        <v>2012 Fund Mill Rate</v>
      </c>
      <c r="I84" s="626"/>
      <c r="J84" s="627"/>
    </row>
    <row r="85" spans="7:10" ht="15.75">
      <c r="G85" s="630">
        <f>summ!H34</f>
        <v>41.808</v>
      </c>
      <c r="H85" s="625" t="str">
        <f>CONCATENATE("Total ",E1," Mill Rate")</f>
        <v>Total 2013 Mill Rate</v>
      </c>
      <c r="I85" s="626"/>
      <c r="J85" s="627"/>
    </row>
    <row r="86" spans="7:10" ht="15.75">
      <c r="G86" s="629">
        <f>summ!E34</f>
        <v>41.309</v>
      </c>
      <c r="H86" s="631" t="str">
        <f>CONCATENATE("Total ",E1-1," Mill Rate")</f>
        <v>Total 2012 Mill Rate</v>
      </c>
      <c r="I86" s="632"/>
      <c r="J86" s="633"/>
    </row>
    <row r="94" spans="3:4" ht="15.75" hidden="1">
      <c r="C94" s="524">
        <f>IF(C33&gt;C35,"See Tab A","")</f>
      </c>
      <c r="D94" s="524">
        <f>IF(D31&gt;D35,"See Tab C","")</f>
      </c>
    </row>
    <row r="95" spans="3:4" ht="15.75" hidden="1">
      <c r="C95" s="524">
        <f>IF(C34&lt;0,"See Tab B","")</f>
      </c>
      <c r="D95" s="524">
        <f>IF(D34&lt;0,"See Tab D","")</f>
      </c>
    </row>
    <row r="96" spans="3:4" ht="15.75" hidden="1">
      <c r="C96" s="524">
        <f>IF(C71&gt;C75,"See Tab A","")</f>
      </c>
      <c r="D96" s="524">
        <f>IF(D71&gt;D75,"See Tab C","")</f>
      </c>
    </row>
    <row r="97" spans="3:4" ht="15.75" hidden="1">
      <c r="C97" s="524">
        <f>IF(C74&lt;0,"See Tab B","")</f>
      </c>
      <c r="D97" s="524">
        <f>IF(D74&lt;0,"See Tab D","")</f>
      </c>
    </row>
  </sheetData>
  <sheetProtection sheet="1"/>
  <mergeCells count="12">
    <mergeCell ref="C37:D37"/>
    <mergeCell ref="C40:D40"/>
    <mergeCell ref="C77:D77"/>
    <mergeCell ref="G81:J81"/>
    <mergeCell ref="C80:D80"/>
    <mergeCell ref="G24:J24"/>
    <mergeCell ref="G31:J31"/>
    <mergeCell ref="G41:J41"/>
    <mergeCell ref="C76:D76"/>
    <mergeCell ref="G64:J64"/>
    <mergeCell ref="G71:J71"/>
    <mergeCell ref="C36:D36"/>
  </mergeCells>
  <conditionalFormatting sqref="E31">
    <cfRule type="cellIs" priority="4" dxfId="305" operator="greaterThan" stopIfTrue="1">
      <formula>$E$33*0.1</formula>
    </cfRule>
  </conditionalFormatting>
  <conditionalFormatting sqref="E36">
    <cfRule type="cellIs" priority="5" dxfId="305" operator="greaterThan" stopIfTrue="1">
      <formula>$E$33/0.95-$E$33</formula>
    </cfRule>
  </conditionalFormatting>
  <conditionalFormatting sqref="E71">
    <cfRule type="cellIs" priority="6" dxfId="305" operator="greaterThan" stopIfTrue="1">
      <formula>$E$73*0.1</formula>
    </cfRule>
  </conditionalFormatting>
  <conditionalFormatting sqref="E76">
    <cfRule type="cellIs" priority="7" dxfId="305"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05"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505</v>
      </c>
      <c r="C3" s="201"/>
      <c r="D3" s="201"/>
      <c r="E3" s="286"/>
    </row>
    <row r="4" spans="2:5" ht="15.75">
      <c r="B4" s="52" t="s">
        <v>435</v>
      </c>
      <c r="C4" s="704" t="s">
        <v>388</v>
      </c>
      <c r="D4" s="705" t="s">
        <v>389</v>
      </c>
      <c r="E4" s="144" t="s">
        <v>390</v>
      </c>
    </row>
    <row r="5" spans="2:5" ht="15.75">
      <c r="B5" s="529">
        <f>inputPrYr!B27</f>
        <v>0</v>
      </c>
      <c r="C5" s="223" t="str">
        <f>CONCATENATE("Actual for ",E1-2,"")</f>
        <v>Actual for 2011</v>
      </c>
      <c r="D5" s="223" t="str">
        <f>CONCATENATE("Estimate for ",E1-1,"")</f>
        <v>Estimate for 2012</v>
      </c>
      <c r="E5" s="208" t="str">
        <f>CONCATENATE("Year for ",E1,"")</f>
        <v>Year for 2013</v>
      </c>
    </row>
    <row r="6" spans="2:5" ht="15.75">
      <c r="B6" s="250" t="s">
        <v>564</v>
      </c>
      <c r="C6" s="255"/>
      <c r="D6" s="253">
        <f>C34</f>
        <v>0</v>
      </c>
      <c r="E6" s="226">
        <f>D34</f>
        <v>0</v>
      </c>
    </row>
    <row r="7" spans="2:5" ht="15.75">
      <c r="B7" s="254" t="s">
        <v>566</v>
      </c>
      <c r="C7" s="159"/>
      <c r="D7" s="159"/>
      <c r="E7" s="87"/>
    </row>
    <row r="8" spans="2:5" ht="15.75">
      <c r="B8" s="150" t="s">
        <v>436</v>
      </c>
      <c r="C8" s="255"/>
      <c r="D8" s="253">
        <f>IF(inputPrYr!H16&gt;0,inputPrYr!G27,inputPrYr!E27)</f>
        <v>0</v>
      </c>
      <c r="E8" s="284" t="s">
        <v>425</v>
      </c>
    </row>
    <row r="9" spans="2:5" ht="15.75">
      <c r="B9" s="150" t="s">
        <v>437</v>
      </c>
      <c r="C9" s="255"/>
      <c r="D9" s="255"/>
      <c r="E9" s="67"/>
    </row>
    <row r="10" spans="2:5" ht="15.75">
      <c r="B10" s="150" t="s">
        <v>438</v>
      </c>
      <c r="C10" s="255"/>
      <c r="D10" s="255"/>
      <c r="E10" s="226" t="str">
        <f>mvalloc!D16</f>
        <v>  </v>
      </c>
    </row>
    <row r="11" spans="2:5" ht="15.75">
      <c r="B11" s="150" t="s">
        <v>439</v>
      </c>
      <c r="C11" s="255"/>
      <c r="D11" s="255"/>
      <c r="E11" s="226" t="str">
        <f>mvalloc!E16</f>
        <v> </v>
      </c>
    </row>
    <row r="12" spans="2:5" ht="15.75">
      <c r="B12" s="159" t="s">
        <v>537</v>
      </c>
      <c r="C12" s="255"/>
      <c r="D12" s="255"/>
      <c r="E12" s="226" t="str">
        <f>mvalloc!F16</f>
        <v> </v>
      </c>
    </row>
    <row r="13" spans="2:5" ht="15.75">
      <c r="B13" s="271"/>
      <c r="C13" s="255"/>
      <c r="D13" s="255"/>
      <c r="E13" s="67"/>
    </row>
    <row r="14" spans="2:5" ht="15.75">
      <c r="B14" s="271"/>
      <c r="C14" s="255"/>
      <c r="D14" s="255"/>
      <c r="E14" s="67"/>
    </row>
    <row r="15" spans="2:5" ht="15.75">
      <c r="B15" s="271"/>
      <c r="C15" s="255"/>
      <c r="D15" s="255"/>
      <c r="E15" s="67"/>
    </row>
    <row r="16" spans="2:5" ht="15.75">
      <c r="B16" s="271"/>
      <c r="C16" s="255"/>
      <c r="D16" s="255"/>
      <c r="E16" s="67"/>
    </row>
    <row r="17" spans="2:5" ht="15.75">
      <c r="B17" s="259" t="s">
        <v>442</v>
      </c>
      <c r="C17" s="255"/>
      <c r="D17" s="255"/>
      <c r="E17" s="67"/>
    </row>
    <row r="18" spans="2:5" ht="15.75">
      <c r="B18" s="159" t="s">
        <v>1203</v>
      </c>
      <c r="C18" s="255"/>
      <c r="D18" s="255"/>
      <c r="E18" s="67"/>
    </row>
    <row r="19" spans="2:5" ht="15.75">
      <c r="B19" s="250" t="s">
        <v>1152</v>
      </c>
      <c r="C19" s="260">
        <f>IF(C20*0.1&lt;C18,"Exceed 10% Rule","")</f>
      </c>
      <c r="D19" s="260">
        <f>IF(D20*0.1&lt;D18,"Exceed 10% Rule","")</f>
      </c>
      <c r="E19" s="297">
        <f>IF(E20*0.1+E40&lt;E18,"Exceed 10% Rule","")</f>
      </c>
    </row>
    <row r="20" spans="2:5" ht="15.75">
      <c r="B20" s="262" t="s">
        <v>443</v>
      </c>
      <c r="C20" s="264">
        <f>SUM(C8:C18)</f>
        <v>0</v>
      </c>
      <c r="D20" s="264">
        <f>SUM(D8:D18)</f>
        <v>0</v>
      </c>
      <c r="E20" s="265">
        <f>SUM(E8:E18)</f>
        <v>0</v>
      </c>
    </row>
    <row r="21" spans="2:5" ht="15.75">
      <c r="B21" s="262" t="s">
        <v>448</v>
      </c>
      <c r="C21" s="264">
        <f>C6+C20</f>
        <v>0</v>
      </c>
      <c r="D21" s="264">
        <f>D6+D20</f>
        <v>0</v>
      </c>
      <c r="E21" s="265">
        <f>E6+E20</f>
        <v>0</v>
      </c>
    </row>
    <row r="22" spans="2:5" ht="15.75">
      <c r="B22" s="150" t="s">
        <v>450</v>
      </c>
      <c r="C22" s="272"/>
      <c r="D22" s="272"/>
      <c r="E22" s="65"/>
    </row>
    <row r="23" spans="2:5" ht="15.75">
      <c r="B23" s="271"/>
      <c r="C23" s="255"/>
      <c r="D23" s="255"/>
      <c r="E23" s="67"/>
    </row>
    <row r="24" spans="2:10" ht="15.75">
      <c r="B24" s="271"/>
      <c r="C24" s="255"/>
      <c r="D24" s="255"/>
      <c r="E24" s="67"/>
      <c r="G24" s="831" t="str">
        <f>CONCATENATE("Desired Carryover Into ",E1+1,"")</f>
        <v>Desired Carryover Into 2014</v>
      </c>
      <c r="H24" s="827"/>
      <c r="I24" s="827"/>
      <c r="J24" s="828"/>
    </row>
    <row r="25" spans="2:10" ht="15.75">
      <c r="B25" s="271"/>
      <c r="C25" s="255"/>
      <c r="D25" s="255"/>
      <c r="E25" s="67"/>
      <c r="G25" s="642"/>
      <c r="H25" s="76"/>
      <c r="I25" s="643"/>
      <c r="J25" s="644"/>
    </row>
    <row r="26" spans="2:10" ht="15.75">
      <c r="B26" s="271"/>
      <c r="C26" s="255"/>
      <c r="D26" s="255"/>
      <c r="E26" s="67"/>
      <c r="G26" s="645" t="s">
        <v>1140</v>
      </c>
      <c r="H26" s="643"/>
      <c r="I26" s="643"/>
      <c r="J26" s="646">
        <v>0</v>
      </c>
    </row>
    <row r="27" spans="2:10" ht="15.75">
      <c r="B27" s="271"/>
      <c r="C27" s="255"/>
      <c r="D27" s="255"/>
      <c r="E27" s="67"/>
      <c r="G27" s="642" t="s">
        <v>1141</v>
      </c>
      <c r="H27" s="76"/>
      <c r="I27" s="76"/>
      <c r="J27" s="647">
        <f>IF(J26=0,"",ROUND((J26+E40-G39)/inputOth!E7*1000,3)-G44)</f>
      </c>
    </row>
    <row r="28" spans="2:10" ht="15.75">
      <c r="B28" s="271"/>
      <c r="C28" s="255"/>
      <c r="D28" s="255"/>
      <c r="E28" s="67"/>
      <c r="G28" s="648" t="str">
        <f>CONCATENATE("",E1," Tot Exp/Non-Appr Must Be:")</f>
        <v>2013 Tot Exp/Non-Appr Must Be:</v>
      </c>
      <c r="H28" s="649"/>
      <c r="I28" s="650"/>
      <c r="J28" s="651">
        <f>IF(J26&gt;0,IF(E37&lt;E21,IF(J26=G39,E37,((J26-G39)*(1-D39))+E21),E37+(J26-G39)),0)</f>
        <v>0</v>
      </c>
    </row>
    <row r="29" spans="2:10" ht="15.75">
      <c r="B29" s="271"/>
      <c r="C29" s="255"/>
      <c r="D29" s="255"/>
      <c r="E29" s="67"/>
      <c r="G29" s="652" t="s">
        <v>289</v>
      </c>
      <c r="H29" s="653"/>
      <c r="I29" s="653"/>
      <c r="J29" s="654">
        <f>IF(J26&gt;0,J28-E37,0)</f>
        <v>0</v>
      </c>
    </row>
    <row r="30" spans="2:10" ht="15.75">
      <c r="B30" s="272" t="s">
        <v>1202</v>
      </c>
      <c r="C30" s="255"/>
      <c r="D30" s="255"/>
      <c r="E30" s="82">
        <f>nhood!E15</f>
      </c>
      <c r="J30" s="2"/>
    </row>
    <row r="31" spans="2:10" ht="15.75">
      <c r="B31" s="272" t="s">
        <v>1203</v>
      </c>
      <c r="C31" s="255"/>
      <c r="D31" s="255"/>
      <c r="E31" s="67"/>
      <c r="G31" s="831" t="str">
        <f>CONCATENATE("Projected Carryover Into ",E1+1,"")</f>
        <v>Projected Carryover Into 2014</v>
      </c>
      <c r="H31" s="835"/>
      <c r="I31" s="835"/>
      <c r="J31" s="833"/>
    </row>
    <row r="32" spans="2:10" ht="15.75">
      <c r="B32" s="272" t="s">
        <v>1153</v>
      </c>
      <c r="C32" s="260">
        <f>IF(C33*0.1&lt;C31,"Exceed 10% Rule","")</f>
      </c>
      <c r="D32" s="260">
        <f>IF(D33*0.1&lt;D31,"Exceed 10% Rule","")</f>
      </c>
      <c r="E32" s="297">
        <f>IF(E33*0.1&lt;E31,"Exceed 10% Rule","")</f>
      </c>
      <c r="G32" s="642"/>
      <c r="H32" s="643"/>
      <c r="I32" s="643"/>
      <c r="J32" s="656"/>
    </row>
    <row r="33" spans="2:10" ht="15.75">
      <c r="B33" s="262" t="s">
        <v>454</v>
      </c>
      <c r="C33" s="264">
        <f>SUM(C23:C31)</f>
        <v>0</v>
      </c>
      <c r="D33" s="264">
        <f>SUM(D23:D31)</f>
        <v>0</v>
      </c>
      <c r="E33" s="265">
        <f>SUM(E23:E31)</f>
        <v>0</v>
      </c>
      <c r="G33" s="657">
        <f>D34</f>
        <v>0</v>
      </c>
      <c r="H33" s="625" t="str">
        <f>CONCATENATE("",E1-1," Ending Cash Balance (est.)")</f>
        <v>2012 Ending Cash Balance (est.)</v>
      </c>
      <c r="I33" s="658"/>
      <c r="J33" s="656"/>
    </row>
    <row r="34" spans="2:10" ht="15.75">
      <c r="B34" s="150" t="s">
        <v>565</v>
      </c>
      <c r="C34" s="268">
        <f>C21-C33</f>
        <v>0</v>
      </c>
      <c r="D34" s="268">
        <f>D21-D33</f>
        <v>0</v>
      </c>
      <c r="E34" s="284" t="s">
        <v>425</v>
      </c>
      <c r="G34" s="657">
        <f>E20</f>
        <v>0</v>
      </c>
      <c r="H34" s="643" t="str">
        <f>CONCATENATE("",E1," Non-AV Receipts (est.)")</f>
        <v>2013 Non-AV Receipts (est.)</v>
      </c>
      <c r="I34" s="658"/>
      <c r="J34" s="656"/>
    </row>
    <row r="35" spans="2:11" ht="15.75">
      <c r="B35" s="136" t="str">
        <f>CONCATENATE("",E1-2,"/",E1-1," Budget Authority Amount:")</f>
        <v>2011/2012 Budget Authority Amount:</v>
      </c>
      <c r="C35" s="239">
        <f>inputOth!B69</f>
        <v>0</v>
      </c>
      <c r="D35" s="239">
        <f>inputPrYr!D27</f>
        <v>0</v>
      </c>
      <c r="E35" s="284" t="s">
        <v>425</v>
      </c>
      <c r="F35" s="274"/>
      <c r="G35" s="659">
        <f>IF(E39&gt;0,E38,E40)</f>
        <v>0</v>
      </c>
      <c r="H35" s="643" t="str">
        <f>CONCATENATE("",E1," Ad Valorem Tax (est.)")</f>
        <v>2013 Ad Valorem Tax (est.)</v>
      </c>
      <c r="I35" s="658"/>
      <c r="J35" s="638"/>
      <c r="K35" s="634">
        <f>IF(G35=E40,"","Note: Does not include Delinquent Taxes")</f>
      </c>
    </row>
    <row r="36" spans="2:10" ht="15.75">
      <c r="B36" s="136"/>
      <c r="C36" s="821" t="s">
        <v>1091</v>
      </c>
      <c r="D36" s="822"/>
      <c r="E36" s="67"/>
      <c r="F36" s="726">
        <f>IF(E33/0.95-E33&lt;E36,"Exceeds 5%","")</f>
      </c>
      <c r="G36" s="657">
        <f>SUM(G33:G35)</f>
        <v>0</v>
      </c>
      <c r="H36" s="643" t="str">
        <f>CONCATENATE("Total ",E1," Resources Available")</f>
        <v>Total 2013 Resources Available</v>
      </c>
      <c r="I36" s="658"/>
      <c r="J36" s="656"/>
    </row>
    <row r="37" spans="2:10" ht="15.75">
      <c r="B37" s="525" t="str">
        <f>CONCATENATE(C94,"     ",D94)</f>
        <v>     </v>
      </c>
      <c r="C37" s="823" t="s">
        <v>158</v>
      </c>
      <c r="D37" s="824"/>
      <c r="E37" s="226">
        <f>E33+E36</f>
        <v>0</v>
      </c>
      <c r="G37" s="694"/>
      <c r="H37" s="643"/>
      <c r="I37" s="643"/>
      <c r="J37" s="656"/>
    </row>
    <row r="38" spans="2:10" ht="15.75">
      <c r="B38" s="525" t="str">
        <f>CONCATENATE(C95,"     ",D95)</f>
        <v>     </v>
      </c>
      <c r="C38" s="275"/>
      <c r="D38" s="169" t="s">
        <v>455</v>
      </c>
      <c r="E38" s="82">
        <f>IF(E37-E21&gt;0,E37-E21,0)</f>
        <v>0</v>
      </c>
      <c r="G38" s="659">
        <f>ROUND(C33*0.05+C33,0)</f>
        <v>0</v>
      </c>
      <c r="H38" s="643" t="str">
        <f>CONCATENATE("Less ",E1-2," Expenditures + 5%")</f>
        <v>Less 2011 Expenditures + 5%</v>
      </c>
      <c r="I38" s="658"/>
      <c r="J38" s="656"/>
    </row>
    <row r="39" spans="2:10" ht="15.75">
      <c r="B39" s="169"/>
      <c r="C39" s="381" t="s">
        <v>1090</v>
      </c>
      <c r="D39" s="716">
        <f>inputOth!$E$47</f>
        <v>0.06</v>
      </c>
      <c r="E39" s="226">
        <f>ROUND(IF(D39&gt;0,(E38*D39),0),0)</f>
        <v>0</v>
      </c>
      <c r="G39" s="695">
        <f>G36-G38</f>
        <v>0</v>
      </c>
      <c r="H39" s="696" t="str">
        <f>CONCATENATE("Projected ",E1+1," carryover (est.)")</f>
        <v>Projected 2014 carryover (est.)</v>
      </c>
      <c r="I39" s="697"/>
      <c r="J39" s="669"/>
    </row>
    <row r="40" spans="2:10" ht="16.5" thickBot="1">
      <c r="B40" s="47"/>
      <c r="C40" s="825" t="str">
        <f>CONCATENATE("Amount of  ",$E$1-1," Ad Valorem Tax")</f>
        <v>Amount of  2012 Ad Valorem Tax</v>
      </c>
      <c r="D40" s="826"/>
      <c r="E40" s="641">
        <f>E38+E39</f>
        <v>0</v>
      </c>
      <c r="G40" s="2"/>
      <c r="H40" s="2"/>
      <c r="I40" s="2"/>
      <c r="J40" s="2"/>
    </row>
    <row r="41" spans="2:10" ht="16.5" thickTop="1">
      <c r="B41" s="47"/>
      <c r="C41" s="47"/>
      <c r="D41" s="47"/>
      <c r="E41" s="47"/>
      <c r="G41" s="815" t="s">
        <v>288</v>
      </c>
      <c r="H41" s="816"/>
      <c r="I41" s="816"/>
      <c r="J41" s="817"/>
    </row>
    <row r="42" spans="2:10" ht="15.75">
      <c r="B42" s="52"/>
      <c r="C42" s="142"/>
      <c r="D42" s="142"/>
      <c r="E42" s="142"/>
      <c r="G42" s="624"/>
      <c r="H42" s="625"/>
      <c r="I42" s="626"/>
      <c r="J42" s="627"/>
    </row>
    <row r="43" spans="2:10" ht="15.75">
      <c r="B43" s="52" t="s">
        <v>435</v>
      </c>
      <c r="C43" s="704" t="s">
        <v>388</v>
      </c>
      <c r="D43" s="705" t="s">
        <v>389</v>
      </c>
      <c r="E43" s="144" t="s">
        <v>390</v>
      </c>
      <c r="G43" s="628" t="e">
        <f>summ!#REF!</f>
        <v>#REF!</v>
      </c>
      <c r="H43" s="625" t="str">
        <f>CONCATENATE("",E1," Fund Mill Rate")</f>
        <v>2013 Fund Mill Rate</v>
      </c>
      <c r="I43" s="626"/>
      <c r="J43" s="627"/>
    </row>
    <row r="44" spans="2:10" ht="15.75">
      <c r="B44" s="529">
        <f>inputPrYr!B28</f>
        <v>0</v>
      </c>
      <c r="C44" s="223" t="str">
        <f>CONCATENATE("Actual for ",E1-2,"")</f>
        <v>Actual for 2011</v>
      </c>
      <c r="D44" s="223" t="str">
        <f>CONCATENATE("Estimate for ",E1-1,"")</f>
        <v>Estimate for 2012</v>
      </c>
      <c r="E44" s="208" t="str">
        <f>CONCATENATE("Year for ",E1,"")</f>
        <v>Year for 2013</v>
      </c>
      <c r="G44" s="629" t="e">
        <f>summ!#REF!</f>
        <v>#REF!</v>
      </c>
      <c r="H44" s="625" t="str">
        <f>CONCATENATE("",E1-1," Fund Mill Rate")</f>
        <v>2012 Fund Mill Rate</v>
      </c>
      <c r="I44" s="626"/>
      <c r="J44" s="627"/>
    </row>
    <row r="45" spans="2:10" ht="15.75">
      <c r="B45" s="250" t="s">
        <v>564</v>
      </c>
      <c r="C45" s="255"/>
      <c r="D45" s="253">
        <f>C74</f>
        <v>0</v>
      </c>
      <c r="E45" s="226">
        <f>D74</f>
        <v>0</v>
      </c>
      <c r="G45" s="630">
        <f>summ!H34</f>
        <v>41.808</v>
      </c>
      <c r="H45" s="625" t="str">
        <f>CONCATENATE("Total ",E1," Mill Rate")</f>
        <v>Total 2013 Mill Rate</v>
      </c>
      <c r="I45" s="626"/>
      <c r="J45" s="627"/>
    </row>
    <row r="46" spans="2:10" ht="15.75">
      <c r="B46" s="254" t="s">
        <v>566</v>
      </c>
      <c r="C46" s="159"/>
      <c r="D46" s="159"/>
      <c r="E46" s="87"/>
      <c r="G46" s="629">
        <f>summ!E34</f>
        <v>41.309</v>
      </c>
      <c r="H46" s="631" t="str">
        <f>CONCATENATE("Total ",E1-1," Mill Rate")</f>
        <v>Total 2012 Mill Rate</v>
      </c>
      <c r="I46" s="632"/>
      <c r="J46" s="633"/>
    </row>
    <row r="47" spans="2:5" ht="15.75">
      <c r="B47" s="150" t="s">
        <v>436</v>
      </c>
      <c r="C47" s="255"/>
      <c r="D47" s="253">
        <f>IF(inputPrYr!H16&gt;0,inputPrYr!G28,inputPrYr!E28)</f>
        <v>0</v>
      </c>
      <c r="E47" s="284" t="s">
        <v>425</v>
      </c>
    </row>
    <row r="48" spans="2:5" ht="15.75">
      <c r="B48" s="150" t="s">
        <v>437</v>
      </c>
      <c r="C48" s="255"/>
      <c r="D48" s="255"/>
      <c r="E48" s="67"/>
    </row>
    <row r="49" spans="2:5" ht="15.75">
      <c r="B49" s="150" t="s">
        <v>438</v>
      </c>
      <c r="C49" s="255"/>
      <c r="D49" s="255"/>
      <c r="E49" s="226" t="str">
        <f>mvalloc!D17</f>
        <v>  </v>
      </c>
    </row>
    <row r="50" spans="2:5" ht="15.75">
      <c r="B50" s="150" t="s">
        <v>439</v>
      </c>
      <c r="C50" s="255"/>
      <c r="D50" s="255"/>
      <c r="E50" s="226" t="str">
        <f>mvalloc!E17</f>
        <v> </v>
      </c>
    </row>
    <row r="51" spans="2:5" ht="15.75">
      <c r="B51" s="159" t="s">
        <v>537</v>
      </c>
      <c r="C51" s="255"/>
      <c r="D51" s="255"/>
      <c r="E51" s="226" t="str">
        <f>mvalloc!F17</f>
        <v> </v>
      </c>
    </row>
    <row r="52" spans="2:5" ht="15.75">
      <c r="B52" s="271"/>
      <c r="C52" s="255"/>
      <c r="D52" s="255"/>
      <c r="E52" s="69"/>
    </row>
    <row r="53" spans="2:5" ht="15.75">
      <c r="B53" s="271"/>
      <c r="C53" s="255"/>
      <c r="D53" s="255"/>
      <c r="E53" s="69"/>
    </row>
    <row r="54" spans="2:5" ht="15.75">
      <c r="B54" s="271"/>
      <c r="C54" s="255"/>
      <c r="D54" s="255"/>
      <c r="E54" s="67"/>
    </row>
    <row r="55" spans="2:5" ht="15.75">
      <c r="B55" s="271"/>
      <c r="C55" s="255"/>
      <c r="D55" s="255"/>
      <c r="E55" s="67"/>
    </row>
    <row r="56" spans="2:5" ht="15.75">
      <c r="B56" s="271"/>
      <c r="C56" s="255"/>
      <c r="D56" s="255"/>
      <c r="E56" s="67"/>
    </row>
    <row r="57" spans="2:5" ht="15.75">
      <c r="B57" s="259" t="s">
        <v>442</v>
      </c>
      <c r="C57" s="255"/>
      <c r="D57" s="255"/>
      <c r="E57" s="67"/>
    </row>
    <row r="58" spans="2:5" ht="15.75">
      <c r="B58" s="159" t="s">
        <v>1203</v>
      </c>
      <c r="C58" s="255"/>
      <c r="D58" s="255"/>
      <c r="E58" s="67"/>
    </row>
    <row r="59" spans="2:5" ht="15.75">
      <c r="B59" s="250" t="s">
        <v>1152</v>
      </c>
      <c r="C59" s="260">
        <f>IF(C60*0.1&lt;C58,"Exceed 10% Rule","")</f>
      </c>
      <c r="D59" s="260">
        <f>IF(D60*0.1&lt;D58,"Exceed 10% Rule","")</f>
      </c>
      <c r="E59" s="297">
        <f>IF(E60*0.1+E80&lt;E58,"Exceed 10% Rule","")</f>
      </c>
    </row>
    <row r="60" spans="2:5" ht="15.75">
      <c r="B60" s="262" t="s">
        <v>443</v>
      </c>
      <c r="C60" s="264">
        <f>SUM(C47:C58)</f>
        <v>0</v>
      </c>
      <c r="D60" s="264">
        <f>SUM(D47:D58)</f>
        <v>0</v>
      </c>
      <c r="E60" s="265">
        <f>SUM(E47:E58)</f>
        <v>0</v>
      </c>
    </row>
    <row r="61" spans="2:5" ht="15.75">
      <c r="B61" s="262" t="s">
        <v>448</v>
      </c>
      <c r="C61" s="264">
        <f>C45+C60</f>
        <v>0</v>
      </c>
      <c r="D61" s="264">
        <f>D45+D60</f>
        <v>0</v>
      </c>
      <c r="E61" s="265">
        <f>E45+E60</f>
        <v>0</v>
      </c>
    </row>
    <row r="62" spans="2:5" ht="15.75">
      <c r="B62" s="150" t="s">
        <v>450</v>
      </c>
      <c r="C62" s="272"/>
      <c r="D62" s="272"/>
      <c r="E62" s="65"/>
    </row>
    <row r="63" spans="2:5" ht="15.75">
      <c r="B63" s="271"/>
      <c r="C63" s="255"/>
      <c r="D63" s="255"/>
      <c r="E63" s="67"/>
    </row>
    <row r="64" spans="2:10" ht="15.75">
      <c r="B64" s="271"/>
      <c r="C64" s="255"/>
      <c r="D64" s="255"/>
      <c r="E64" s="67"/>
      <c r="G64" s="831" t="str">
        <f>CONCATENATE("Desired Carryover Into ",E1+1,"")</f>
        <v>Desired Carryover Into 2014</v>
      </c>
      <c r="H64" s="827"/>
      <c r="I64" s="827"/>
      <c r="J64" s="828"/>
    </row>
    <row r="65" spans="2:10" ht="15.75">
      <c r="B65" s="271"/>
      <c r="C65" s="255"/>
      <c r="D65" s="255"/>
      <c r="E65" s="67"/>
      <c r="G65" s="642"/>
      <c r="H65" s="76"/>
      <c r="I65" s="643"/>
      <c r="J65" s="644"/>
    </row>
    <row r="66" spans="2:10" ht="15.75">
      <c r="B66" s="271"/>
      <c r="C66" s="255"/>
      <c r="D66" s="255"/>
      <c r="E66" s="67"/>
      <c r="G66" s="645" t="s">
        <v>1140</v>
      </c>
      <c r="H66" s="643"/>
      <c r="I66" s="643"/>
      <c r="J66" s="646">
        <v>0</v>
      </c>
    </row>
    <row r="67" spans="2:10" ht="15.75">
      <c r="B67" s="271"/>
      <c r="C67" s="255"/>
      <c r="D67" s="255"/>
      <c r="E67" s="67"/>
      <c r="G67" s="642" t="s">
        <v>1141</v>
      </c>
      <c r="H67" s="76"/>
      <c r="I67" s="76"/>
      <c r="J67" s="647">
        <f>IF(J66=0,"",ROUND((J66+E80-G79)/inputOth!E7*1000,3)-G84)</f>
      </c>
    </row>
    <row r="68" spans="2:10" ht="15.75">
      <c r="B68" s="271"/>
      <c r="C68" s="255"/>
      <c r="D68" s="255"/>
      <c r="E68" s="67"/>
      <c r="G68" s="648" t="str">
        <f>CONCATENATE("",E1," Tot Exp/Non-Appr Must Be:")</f>
        <v>2013 Tot Exp/Non-Appr Must Be:</v>
      </c>
      <c r="H68" s="649"/>
      <c r="I68" s="650"/>
      <c r="J68" s="651">
        <f>IF(J66&gt;0,IF(E77&lt;E61,IF(J66=G79,E77,((J66-G79)*(1-D79))+E61),E77+(J66-G79)),0)</f>
        <v>0</v>
      </c>
    </row>
    <row r="69" spans="2:10" ht="15.75">
      <c r="B69" s="271"/>
      <c r="C69" s="255"/>
      <c r="D69" s="255"/>
      <c r="E69" s="67"/>
      <c r="G69" s="652" t="s">
        <v>289</v>
      </c>
      <c r="H69" s="653"/>
      <c r="I69" s="653"/>
      <c r="J69" s="654">
        <f>IF(J66&gt;0,J68-E77,0)</f>
        <v>0</v>
      </c>
    </row>
    <row r="70" spans="2:10" ht="15.75">
      <c r="B70" s="272" t="s">
        <v>1202</v>
      </c>
      <c r="C70" s="255"/>
      <c r="D70" s="255"/>
      <c r="E70" s="82">
        <f>nhood!E16</f>
      </c>
      <c r="J70" s="2"/>
    </row>
    <row r="71" spans="2:10" ht="15.75">
      <c r="B71" s="272" t="s">
        <v>1203</v>
      </c>
      <c r="C71" s="255"/>
      <c r="D71" s="255"/>
      <c r="E71" s="67"/>
      <c r="G71" s="831" t="str">
        <f>CONCATENATE("Projected Carryover Into ",E1+1,"")</f>
        <v>Projected Carryover Into 2014</v>
      </c>
      <c r="H71" s="832"/>
      <c r="I71" s="832"/>
      <c r="J71" s="833"/>
    </row>
    <row r="72" spans="2:10" ht="15.75">
      <c r="B72" s="272" t="s">
        <v>1153</v>
      </c>
      <c r="C72" s="260">
        <f>IF(C73*0.1&lt;C71,"Exceed 10% Rule","")</f>
      </c>
      <c r="D72" s="260">
        <f>IF(D73*0.1&lt;D71,"Exceed 10% Rule","")</f>
      </c>
      <c r="E72" s="297">
        <f>IF(E73*0.1&lt;E71,"Exceed 10% Rule","")</f>
      </c>
      <c r="G72" s="655"/>
      <c r="H72" s="76"/>
      <c r="I72" s="76"/>
      <c r="J72" s="662"/>
    </row>
    <row r="73" spans="2:10" ht="15.75">
      <c r="B73" s="262" t="s">
        <v>454</v>
      </c>
      <c r="C73" s="264">
        <f>SUM(C63:C71)</f>
        <v>0</v>
      </c>
      <c r="D73" s="264">
        <f>SUM(D63:D71)</f>
        <v>0</v>
      </c>
      <c r="E73" s="265">
        <f>SUM(E63:E71)</f>
        <v>0</v>
      </c>
      <c r="G73" s="657">
        <f>D74</f>
        <v>0</v>
      </c>
      <c r="H73" s="625" t="str">
        <f>CONCATENATE("",E1-1," Ending Cash Balance (est.)")</f>
        <v>2012 Ending Cash Balance (est.)</v>
      </c>
      <c r="I73" s="658"/>
      <c r="J73" s="662"/>
    </row>
    <row r="74" spans="2:10" ht="15.75">
      <c r="B74" s="150" t="s">
        <v>565</v>
      </c>
      <c r="C74" s="268">
        <f>C61-C73</f>
        <v>0</v>
      </c>
      <c r="D74" s="268">
        <f>D61-D73</f>
        <v>0</v>
      </c>
      <c r="E74" s="284" t="s">
        <v>425</v>
      </c>
      <c r="G74" s="657">
        <f>E60</f>
        <v>0</v>
      </c>
      <c r="H74" s="643" t="str">
        <f>CONCATENATE("",E1," Non-AV Receipts (est.)")</f>
        <v>2013 Non-AV Receipts (est.)</v>
      </c>
      <c r="I74" s="658"/>
      <c r="J74" s="662"/>
    </row>
    <row r="75" spans="2:11" ht="15.75">
      <c r="B75" s="136" t="str">
        <f>CONCATENATE("",E1-2,"/",E1-1," Budget Authority Amount:")</f>
        <v>2011/2012 Budget Authority Amount:</v>
      </c>
      <c r="C75" s="239">
        <f>inputOth!B70</f>
        <v>0</v>
      </c>
      <c r="D75" s="239">
        <f>inputPrYr!D28</f>
        <v>0</v>
      </c>
      <c r="E75" s="284" t="s">
        <v>425</v>
      </c>
      <c r="F75" s="274"/>
      <c r="G75" s="659">
        <f>IF(D79&gt;0,E78,E80)</f>
        <v>0</v>
      </c>
      <c r="H75" s="643" t="str">
        <f>CONCATENATE("",E1," Ad Valorem Tax (est.)")</f>
        <v>2013 Ad Valorem Tax (est.)</v>
      </c>
      <c r="I75" s="658"/>
      <c r="J75" s="662"/>
      <c r="K75" s="634">
        <f>IF(G75=E80,"","Note: Does not include Delinquent Taxes")</f>
      </c>
    </row>
    <row r="76" spans="2:10" ht="15.75">
      <c r="B76" s="136"/>
      <c r="C76" s="821" t="s">
        <v>1091</v>
      </c>
      <c r="D76" s="822"/>
      <c r="E76" s="103"/>
      <c r="F76" s="726">
        <f>IF(E73/0.95-E73&lt;E76,"Exceeds 5%","")</f>
      </c>
      <c r="G76" s="661">
        <f>SUM(G73:G75)</f>
        <v>0</v>
      </c>
      <c r="H76" s="643" t="str">
        <f>CONCATENATE("Total ",E1," Resources Available")</f>
        <v>Total 2013 Resources Available</v>
      </c>
      <c r="I76" s="662"/>
      <c r="J76" s="662"/>
    </row>
    <row r="77" spans="2:10" ht="15.75">
      <c r="B77" s="525" t="str">
        <f>CONCATENATE(C96,"     ",D96)</f>
        <v>     </v>
      </c>
      <c r="C77" s="823" t="s">
        <v>158</v>
      </c>
      <c r="D77" s="824"/>
      <c r="E77" s="226">
        <f>E73+E76</f>
        <v>0</v>
      </c>
      <c r="G77" s="663"/>
      <c r="H77" s="664"/>
      <c r="I77" s="76"/>
      <c r="J77" s="662"/>
    </row>
    <row r="78" spans="2:10" ht="15.75">
      <c r="B78" s="525" t="str">
        <f>CONCATENATE(C97,"     ",D97)</f>
        <v>     </v>
      </c>
      <c r="C78" s="275"/>
      <c r="D78" s="169" t="s">
        <v>455</v>
      </c>
      <c r="E78" s="82">
        <f>IF(E77-E61&gt;0,E77-E61,0)</f>
        <v>0</v>
      </c>
      <c r="G78" s="665">
        <f>ROUND(C73*0.05+C73,0)</f>
        <v>0</v>
      </c>
      <c r="H78" s="664" t="str">
        <f>CONCATENATE("Less ",E1-2," Expenditures + 5%")</f>
        <v>Less 2011 Expenditures + 5%</v>
      </c>
      <c r="I78" s="662"/>
      <c r="J78" s="662"/>
    </row>
    <row r="79" spans="2:10" ht="15.75">
      <c r="B79" s="136"/>
      <c r="C79" s="381" t="s">
        <v>1090</v>
      </c>
      <c r="D79" s="716">
        <f>inputOth!$E$47</f>
        <v>0.06</v>
      </c>
      <c r="E79" s="226">
        <f>ROUND(IF(D79&gt;0,(E78*D79),0),0)</f>
        <v>0</v>
      </c>
      <c r="G79" s="666">
        <f>G76-G78</f>
        <v>0</v>
      </c>
      <c r="H79" s="667" t="str">
        <f>CONCATENATE("Projected ",E1+1," carryover (est.)")</f>
        <v>Projected 2014 carryover (est.)</v>
      </c>
      <c r="I79" s="668"/>
      <c r="J79" s="669"/>
    </row>
    <row r="80" spans="2:9" ht="16.5" thickBot="1">
      <c r="B80" s="169"/>
      <c r="C80" s="825" t="str">
        <f>CONCATENATE("Amount of  ",$E$1-1," Ad Valorem Tax")</f>
        <v>Amount of  2012 Ad Valorem Tax</v>
      </c>
      <c r="D80" s="826"/>
      <c r="E80" s="641">
        <f>E78+E79</f>
        <v>0</v>
      </c>
      <c r="G80" s="2"/>
      <c r="H80" s="2"/>
      <c r="I80" s="2"/>
    </row>
    <row r="81" spans="2:10" ht="16.5" thickTop="1">
      <c r="B81" s="47"/>
      <c r="C81" s="47"/>
      <c r="D81" s="47"/>
      <c r="E81" s="47"/>
      <c r="G81" s="815" t="s">
        <v>288</v>
      </c>
      <c r="H81" s="816"/>
      <c r="I81" s="816"/>
      <c r="J81" s="817"/>
    </row>
    <row r="82" spans="2:10" ht="15.75">
      <c r="B82" s="399" t="s">
        <v>457</v>
      </c>
      <c r="C82" s="280"/>
      <c r="D82" s="47"/>
      <c r="E82" s="47"/>
      <c r="G82" s="624"/>
      <c r="H82" s="625"/>
      <c r="I82" s="626"/>
      <c r="J82" s="627"/>
    </row>
    <row r="83" spans="2:10" ht="15.75">
      <c r="B83" s="169"/>
      <c r="G83" s="628" t="e">
        <f>summ!#REF!</f>
        <v>#REF!</v>
      </c>
      <c r="H83" s="625" t="str">
        <f>CONCATENATE("",E1," Fund Mill Rate")</f>
        <v>2013 Fund Mill Rate</v>
      </c>
      <c r="I83" s="626"/>
      <c r="J83" s="627"/>
    </row>
    <row r="84" spans="7:10" ht="15.75">
      <c r="G84" s="629" t="e">
        <f>summ!#REF!</f>
        <v>#REF!</v>
      </c>
      <c r="H84" s="625" t="str">
        <f>CONCATENATE("",E1-1," Fund Mill Rate")</f>
        <v>2012 Fund Mill Rate</v>
      </c>
      <c r="I84" s="626"/>
      <c r="J84" s="627"/>
    </row>
    <row r="85" spans="7:10" ht="15.75">
      <c r="G85" s="630">
        <f>summ!H34</f>
        <v>41.808</v>
      </c>
      <c r="H85" s="625" t="str">
        <f>CONCATENATE("Total ",E1," Mill Rate")</f>
        <v>Total 2013 Mill Rate</v>
      </c>
      <c r="I85" s="626"/>
      <c r="J85" s="627"/>
    </row>
    <row r="86" spans="7:10" ht="15.75">
      <c r="G86" s="629">
        <f>summ!E34</f>
        <v>41.309</v>
      </c>
      <c r="H86" s="631" t="str">
        <f>CONCATENATE("Total ",E1-1," Mill Rate")</f>
        <v>Total 2012 Mill Rate</v>
      </c>
      <c r="I86" s="632"/>
      <c r="J86" s="633"/>
    </row>
    <row r="94" spans="3:4" ht="15.75" hidden="1">
      <c r="C94" s="524">
        <f>IF(C33&gt;C35,"See Tab A","")</f>
      </c>
      <c r="D94" s="524">
        <f>IF(D31&gt;D35,"See Tab C","")</f>
      </c>
    </row>
    <row r="95" spans="3:4" ht="15.75" hidden="1">
      <c r="C95" s="524">
        <f>IF(C34&lt;0,"See Tab B","")</f>
      </c>
      <c r="D95" s="524">
        <f>IF(D34&lt;0,"See Tab D","")</f>
      </c>
    </row>
    <row r="96" spans="3:4" ht="15.75" hidden="1">
      <c r="C96" s="524">
        <f>IF(C71&gt;C75,"See Tab A","")</f>
      </c>
      <c r="D96" s="524">
        <f>IF(D71&gt;D75,"See Tab C","")</f>
      </c>
    </row>
    <row r="97" spans="3:4" ht="15.75" hidden="1">
      <c r="C97" s="524">
        <f>IF(C74&lt;0,"See Tab B","")</f>
      </c>
      <c r="D97" s="524">
        <f>IF(D74&lt;0,"See Tab D","")</f>
      </c>
    </row>
  </sheetData>
  <sheetProtection sheet="1"/>
  <mergeCells count="12">
    <mergeCell ref="G81:J81"/>
    <mergeCell ref="C80:D80"/>
    <mergeCell ref="C40:D40"/>
    <mergeCell ref="G71:J71"/>
    <mergeCell ref="C76:D76"/>
    <mergeCell ref="C77:D77"/>
    <mergeCell ref="G24:J24"/>
    <mergeCell ref="G31:J31"/>
    <mergeCell ref="G41:J41"/>
    <mergeCell ref="G64:J64"/>
    <mergeCell ref="C36:D36"/>
    <mergeCell ref="C37:D37"/>
  </mergeCells>
  <conditionalFormatting sqref="E31">
    <cfRule type="cellIs" priority="3" dxfId="305" operator="greaterThan" stopIfTrue="1">
      <formula>$E$33*0.1</formula>
    </cfRule>
  </conditionalFormatting>
  <conditionalFormatting sqref="E36">
    <cfRule type="cellIs" priority="4" dxfId="305" operator="greaterThan" stopIfTrue="1">
      <formula>$E$33/0.95-$E$33</formula>
    </cfRule>
  </conditionalFormatting>
  <conditionalFormatting sqref="E71">
    <cfRule type="cellIs" priority="5" dxfId="305" operator="greaterThan" stopIfTrue="1">
      <formula>$E$73*0.1</formula>
    </cfRule>
  </conditionalFormatting>
  <conditionalFormatting sqref="E76">
    <cfRule type="cellIs" priority="6" dxfId="305"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05" operator="greaterThan" stopIfTrue="1">
      <formula>$E$60*0.1+E80</formula>
    </cfRule>
  </conditionalFormatting>
  <conditionalFormatting sqref="E18">
    <cfRule type="cellIs" priority="21" dxfId="305"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76">
      <selection activeCell="B35" sqref="B35"/>
    </sheetView>
  </sheetViews>
  <sheetFormatPr defaultColWidth="8.796875" defaultRowHeight="15"/>
  <cols>
    <col min="1" max="1" width="15.796875" style="45" customWidth="1"/>
    <col min="2" max="2" width="24.0976562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75" t="s">
        <v>403</v>
      </c>
      <c r="B1" s="776"/>
      <c r="C1" s="776"/>
      <c r="D1" s="776"/>
      <c r="E1" s="776"/>
    </row>
    <row r="2" spans="1:5" ht="15.75">
      <c r="A2" s="46" t="s">
        <v>1208</v>
      </c>
      <c r="B2" s="47"/>
      <c r="C2" s="47"/>
      <c r="D2" s="48" t="s">
        <v>729</v>
      </c>
      <c r="E2" s="49"/>
    </row>
    <row r="3" spans="1:5" ht="15.75">
      <c r="A3" s="46" t="s">
        <v>1209</v>
      </c>
      <c r="B3" s="47"/>
      <c r="C3" s="47"/>
      <c r="D3" s="50" t="s">
        <v>730</v>
      </c>
      <c r="E3" s="51"/>
    </row>
    <row r="4" spans="1:5" ht="15.75">
      <c r="A4" s="52"/>
      <c r="B4" s="47"/>
      <c r="C4" s="47"/>
      <c r="D4" s="53"/>
      <c r="E4" s="47"/>
    </row>
    <row r="5" spans="1:5" ht="15.75">
      <c r="A5" s="46" t="s">
        <v>605</v>
      </c>
      <c r="B5" s="47"/>
      <c r="C5" s="54">
        <v>2013</v>
      </c>
      <c r="D5" s="53"/>
      <c r="E5" s="47"/>
    </row>
    <row r="6" spans="1:5" ht="15.75">
      <c r="A6" s="47"/>
      <c r="B6" s="47"/>
      <c r="C6" s="47"/>
      <c r="D6" s="47"/>
      <c r="E6" s="47"/>
    </row>
    <row r="7" spans="1:5" ht="15.75">
      <c r="A7" s="55" t="s">
        <v>41</v>
      </c>
      <c r="B7" s="56"/>
      <c r="C7" s="56"/>
      <c r="D7" s="56"/>
      <c r="E7" s="56"/>
    </row>
    <row r="8" spans="1:8" ht="15.75">
      <c r="A8" s="55" t="s">
        <v>40</v>
      </c>
      <c r="B8" s="56"/>
      <c r="C8" s="56"/>
      <c r="D8" s="56"/>
      <c r="E8" s="56"/>
      <c r="F8" s="47"/>
      <c r="G8" s="777" t="s">
        <v>269</v>
      </c>
      <c r="H8" s="778"/>
    </row>
    <row r="9" spans="1:8" ht="15.75">
      <c r="A9" s="55"/>
      <c r="B9" s="56"/>
      <c r="C9" s="56"/>
      <c r="D9" s="56"/>
      <c r="E9" s="56"/>
      <c r="F9" s="47"/>
      <c r="G9" s="779"/>
      <c r="H9" s="778"/>
    </row>
    <row r="10" spans="1:8" ht="15.75">
      <c r="A10" s="773" t="s">
        <v>675</v>
      </c>
      <c r="B10" s="774"/>
      <c r="C10" s="774"/>
      <c r="D10" s="774"/>
      <c r="E10" s="774"/>
      <c r="F10" s="47"/>
      <c r="G10" s="779"/>
      <c r="H10" s="778"/>
    </row>
    <row r="11" spans="1:8" ht="15.75">
      <c r="A11" s="47"/>
      <c r="B11" s="47"/>
      <c r="C11" s="47"/>
      <c r="D11" s="47"/>
      <c r="E11" s="47"/>
      <c r="F11" s="47"/>
      <c r="G11" s="779"/>
      <c r="H11" s="778"/>
    </row>
    <row r="12" spans="1:8" ht="15.75">
      <c r="A12" s="57" t="s">
        <v>676</v>
      </c>
      <c r="B12" s="58"/>
      <c r="C12" s="47"/>
      <c r="D12" s="47"/>
      <c r="E12" s="47"/>
      <c r="F12" s="47"/>
      <c r="G12" s="779"/>
      <c r="H12" s="778"/>
    </row>
    <row r="13" spans="1:8" ht="15.75">
      <c r="A13" s="59" t="str">
        <f>CONCATENATE("the ",C5-1," Budget, Certificate Page:")</f>
        <v>the 2012 Budget, Certificate Page:</v>
      </c>
      <c r="B13" s="60"/>
      <c r="C13" s="47"/>
      <c r="D13" s="47"/>
      <c r="E13" s="47"/>
      <c r="F13" s="47"/>
      <c r="G13" s="779"/>
      <c r="H13" s="778"/>
    </row>
    <row r="14" spans="1:8" ht="15.75">
      <c r="A14" s="59" t="s">
        <v>43</v>
      </c>
      <c r="B14" s="60"/>
      <c r="C14" s="47"/>
      <c r="D14" s="47"/>
      <c r="E14" s="47"/>
      <c r="F14" s="47"/>
      <c r="G14" s="76"/>
      <c r="H14" s="98"/>
    </row>
    <row r="15" spans="1:8" ht="15.75">
      <c r="A15" s="47"/>
      <c r="B15" s="47"/>
      <c r="C15" s="47"/>
      <c r="D15" s="61">
        <f>C5-1</f>
        <v>2012</v>
      </c>
      <c r="E15" s="61">
        <f>C5-2</f>
        <v>2011</v>
      </c>
      <c r="G15" s="199" t="s">
        <v>270</v>
      </c>
      <c r="H15" s="156" t="s">
        <v>456</v>
      </c>
    </row>
    <row r="16" spans="1:8" ht="15.75">
      <c r="A16" s="52" t="s">
        <v>404</v>
      </c>
      <c r="B16" s="47"/>
      <c r="C16" s="62" t="s">
        <v>405</v>
      </c>
      <c r="D16" s="63" t="s">
        <v>42</v>
      </c>
      <c r="E16" s="63" t="s">
        <v>348</v>
      </c>
      <c r="G16" s="200" t="str">
        <f>CONCATENATE("",E15," Ad Valorem Tax")</f>
        <v>2011 Ad Valorem Tax</v>
      </c>
      <c r="H16" s="602">
        <v>0</v>
      </c>
    </row>
    <row r="17" spans="1:7" ht="15.75">
      <c r="A17" s="47"/>
      <c r="B17" s="64" t="s">
        <v>731</v>
      </c>
      <c r="C17" s="156" t="s">
        <v>568</v>
      </c>
      <c r="D17" s="66">
        <v>3964319</v>
      </c>
      <c r="E17" s="66">
        <v>1161648</v>
      </c>
      <c r="G17" s="226">
        <f>IF(H16&gt;0,ROUND(E17-(E17*H16),0),0)</f>
        <v>0</v>
      </c>
    </row>
    <row r="18" spans="1:7" ht="15.75">
      <c r="A18" s="47"/>
      <c r="B18" s="64" t="s">
        <v>732</v>
      </c>
      <c r="C18" s="156" t="s">
        <v>606</v>
      </c>
      <c r="D18" s="67">
        <v>2129781</v>
      </c>
      <c r="E18" s="67">
        <v>220586</v>
      </c>
      <c r="G18" s="226">
        <f>IF(H16&gt;0,ROUND(E18-(E18*H16),0),0)</f>
        <v>0</v>
      </c>
    </row>
    <row r="19" spans="1:7" ht="15.75">
      <c r="A19" s="47"/>
      <c r="B19" s="64" t="s">
        <v>733</v>
      </c>
      <c r="C19" s="156" t="s">
        <v>271</v>
      </c>
      <c r="D19" s="67">
        <v>287288</v>
      </c>
      <c r="E19" s="67">
        <v>219619</v>
      </c>
      <c r="G19" s="226">
        <f>IF(H16&gt;0,ROUND(E19-(E19*H16),0),0)</f>
        <v>0</v>
      </c>
    </row>
    <row r="20" spans="1:5" ht="15.75">
      <c r="A20" s="52" t="s">
        <v>407</v>
      </c>
      <c r="B20" s="47"/>
      <c r="C20" s="47"/>
      <c r="D20" s="47"/>
      <c r="E20" s="68"/>
    </row>
    <row r="21" spans="1:7" ht="15.75">
      <c r="A21" s="47"/>
      <c r="B21" s="69" t="s">
        <v>734</v>
      </c>
      <c r="C21" s="3" t="s">
        <v>756</v>
      </c>
      <c r="D21" s="67">
        <v>1403785</v>
      </c>
      <c r="E21" s="67">
        <v>316919</v>
      </c>
      <c r="G21" s="226">
        <f>IF(H16&gt;0,ROUND(E21-(E21*H16),0),0)</f>
        <v>0</v>
      </c>
    </row>
    <row r="22" spans="1:7" ht="15.75">
      <c r="A22" s="47"/>
      <c r="B22" s="69"/>
      <c r="C22" s="380"/>
      <c r="D22" s="67"/>
      <c r="E22" s="67"/>
      <c r="G22" s="226">
        <f>IF(H16&gt;0,ROUND(E22-(E22*H16),0),0)</f>
        <v>0</v>
      </c>
    </row>
    <row r="23" spans="1:7" ht="15.75">
      <c r="A23" s="47"/>
      <c r="B23" s="69"/>
      <c r="C23" s="380"/>
      <c r="D23" s="67"/>
      <c r="E23" s="67"/>
      <c r="G23" s="226">
        <f>IF(H16&gt;0,ROUND(E23-(E23*H16),0),0)</f>
        <v>0</v>
      </c>
    </row>
    <row r="24" spans="1:7" ht="15.75">
      <c r="A24" s="47"/>
      <c r="B24" s="69"/>
      <c r="C24" s="380"/>
      <c r="D24" s="67"/>
      <c r="E24" s="67"/>
      <c r="G24" s="226">
        <f>IF(H16&gt;0,ROUND(E24-(E24*H16),0),0)</f>
        <v>0</v>
      </c>
    </row>
    <row r="25" spans="1:7" ht="15.75">
      <c r="A25" s="47"/>
      <c r="B25" s="69"/>
      <c r="C25" s="380"/>
      <c r="D25" s="67"/>
      <c r="E25" s="67"/>
      <c r="G25" s="226">
        <f>IF(H16&gt;0,ROUND(E25-(E25*H16),0),0)</f>
        <v>0</v>
      </c>
    </row>
    <row r="26" spans="1:7" ht="15.75">
      <c r="A26" s="47"/>
      <c r="B26" s="69"/>
      <c r="C26" s="380"/>
      <c r="D26" s="67"/>
      <c r="E26" s="67"/>
      <c r="G26" s="226">
        <f>IF(H16&gt;0,ROUND(E26-(E26*H16),0),0)</f>
        <v>0</v>
      </c>
    </row>
    <row r="27" spans="1:7" ht="15.75">
      <c r="A27" s="47"/>
      <c r="B27" s="69"/>
      <c r="C27" s="380"/>
      <c r="D27" s="67"/>
      <c r="E27" s="67"/>
      <c r="G27" s="226">
        <f>IF(H16&gt;0,ROUND(E27-(E27*H16),0),0)</f>
        <v>0</v>
      </c>
    </row>
    <row r="28" spans="1:7" ht="15.75">
      <c r="A28" s="47"/>
      <c r="B28" s="69"/>
      <c r="C28" s="380"/>
      <c r="D28" s="67"/>
      <c r="E28" s="67"/>
      <c r="G28" s="226">
        <f>IF(H16&gt;0,ROUND(E28-(E28*H16),0),0)</f>
        <v>0</v>
      </c>
    </row>
    <row r="29" spans="1:7" ht="15.75">
      <c r="A29" s="47"/>
      <c r="B29" s="69"/>
      <c r="C29" s="380"/>
      <c r="D29" s="67"/>
      <c r="E29" s="67"/>
      <c r="G29" s="226">
        <f>IF(H16&gt;0,ROUND(E29-(E29*H16),0),0)</f>
        <v>0</v>
      </c>
    </row>
    <row r="30" spans="1:7" ht="15.75">
      <c r="A30" s="47"/>
      <c r="B30" s="69"/>
      <c r="C30" s="380"/>
      <c r="D30" s="67"/>
      <c r="E30" s="67"/>
      <c r="G30" s="226">
        <f>IF(H16&gt;0,ROUND(E30-(E30*H16),0),0)</f>
        <v>0</v>
      </c>
    </row>
    <row r="31" spans="1:5" ht="15.75">
      <c r="A31" s="70" t="str">
        <f>CONCATENATE("Total Tax Levy Funds for ",C5-1," Budgeted Year")</f>
        <v>Total Tax Levy Funds for 2012 Budgeted Year</v>
      </c>
      <c r="B31" s="71"/>
      <c r="C31" s="72"/>
      <c r="D31" s="73"/>
      <c r="E31" s="74">
        <f>SUM(E17:E30)</f>
        <v>1918772</v>
      </c>
    </row>
    <row r="32" spans="1:5" ht="15.75">
      <c r="A32" s="75"/>
      <c r="B32" s="76"/>
      <c r="C32" s="76"/>
      <c r="D32" s="77"/>
      <c r="E32" s="68"/>
    </row>
    <row r="33" spans="1:5" ht="15.75">
      <c r="A33" s="52" t="s">
        <v>611</v>
      </c>
      <c r="B33" s="47"/>
      <c r="C33" s="47"/>
      <c r="D33" s="47"/>
      <c r="E33" s="47"/>
    </row>
    <row r="34" spans="1:5" ht="15.75">
      <c r="A34" s="47"/>
      <c r="B34" s="65" t="s">
        <v>1071</v>
      </c>
      <c r="C34" s="47"/>
      <c r="D34" s="67">
        <v>191582</v>
      </c>
      <c r="E34" s="47"/>
    </row>
    <row r="35" spans="1:5" ht="15.75">
      <c r="A35" s="47"/>
      <c r="B35" s="731" t="s">
        <v>735</v>
      </c>
      <c r="C35" s="47"/>
      <c r="D35" s="67">
        <v>801217</v>
      </c>
      <c r="E35" s="47"/>
    </row>
    <row r="36" spans="1:5" ht="15.75">
      <c r="A36" s="47"/>
      <c r="B36" s="731" t="s">
        <v>736</v>
      </c>
      <c r="C36" s="47"/>
      <c r="D36" s="67">
        <v>384840</v>
      </c>
      <c r="E36" s="47"/>
    </row>
    <row r="37" spans="1:5" ht="15.75">
      <c r="A37" s="47"/>
      <c r="B37" s="731" t="s">
        <v>737</v>
      </c>
      <c r="C37" s="47"/>
      <c r="D37" s="67">
        <v>160071</v>
      </c>
      <c r="E37" s="47"/>
    </row>
    <row r="38" spans="1:5" ht="15.75">
      <c r="A38" s="47"/>
      <c r="B38" s="731" t="s">
        <v>738</v>
      </c>
      <c r="C38" s="47"/>
      <c r="D38" s="67">
        <v>2261886</v>
      </c>
      <c r="E38" s="47"/>
    </row>
    <row r="39" spans="1:5" ht="15.75">
      <c r="A39" s="47"/>
      <c r="B39" s="732" t="s">
        <v>739</v>
      </c>
      <c r="C39" s="47"/>
      <c r="D39" s="67">
        <v>152671</v>
      </c>
      <c r="E39" s="47"/>
    </row>
    <row r="40" spans="1:5" ht="15.75">
      <c r="A40" s="47"/>
      <c r="B40" s="731" t="s">
        <v>740</v>
      </c>
      <c r="C40" s="47"/>
      <c r="D40" s="67">
        <v>262778</v>
      </c>
      <c r="E40" s="47"/>
    </row>
    <row r="41" spans="1:5" ht="15.75">
      <c r="A41" s="47"/>
      <c r="B41" s="732" t="s">
        <v>741</v>
      </c>
      <c r="C41" s="47"/>
      <c r="D41" s="67">
        <v>343023</v>
      </c>
      <c r="E41" s="47"/>
    </row>
    <row r="42" spans="1:5" ht="15.75">
      <c r="A42" s="47"/>
      <c r="B42" s="732" t="s">
        <v>742</v>
      </c>
      <c r="C42" s="47"/>
      <c r="D42" s="67">
        <v>28581</v>
      </c>
      <c r="E42" s="47"/>
    </row>
    <row r="43" spans="1:5" ht="15.75">
      <c r="A43" s="47"/>
      <c r="B43" s="732" t="s">
        <v>743</v>
      </c>
      <c r="C43" s="47"/>
      <c r="D43" s="67">
        <v>267954</v>
      </c>
      <c r="E43" s="47"/>
    </row>
    <row r="44" spans="1:5" ht="15.75">
      <c r="A44" s="47"/>
      <c r="B44" s="732" t="s">
        <v>744</v>
      </c>
      <c r="C44" s="47"/>
      <c r="D44" s="67">
        <v>1035830</v>
      </c>
      <c r="E44" s="47"/>
    </row>
    <row r="45" spans="1:5" ht="15.75">
      <c r="A45" s="47"/>
      <c r="B45" s="732" t="s">
        <v>745</v>
      </c>
      <c r="C45" s="47"/>
      <c r="D45" s="67">
        <v>81686</v>
      </c>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641</v>
      </c>
      <c r="B50" s="79"/>
      <c r="C50" s="47"/>
      <c r="D50" s="47"/>
      <c r="E50" s="47"/>
    </row>
    <row r="51" spans="1:5" ht="15.75">
      <c r="A51" s="47">
        <v>1</v>
      </c>
      <c r="B51" s="78"/>
      <c r="C51" s="47"/>
      <c r="D51" s="67"/>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13757292</v>
      </c>
      <c r="E55" s="47"/>
    </row>
    <row r="56" spans="1:5" ht="15.75">
      <c r="A56" s="47" t="s">
        <v>642</v>
      </c>
      <c r="B56" s="83"/>
      <c r="C56" s="47"/>
      <c r="D56" s="47"/>
      <c r="E56" s="47"/>
    </row>
    <row r="57" spans="1:5" ht="15.75">
      <c r="A57" s="47">
        <v>1</v>
      </c>
      <c r="B57" s="732" t="s">
        <v>746</v>
      </c>
      <c r="C57" s="47"/>
      <c r="D57" s="47"/>
      <c r="E57" s="47"/>
    </row>
    <row r="58" spans="1:5" ht="15.75">
      <c r="A58" s="47">
        <v>2</v>
      </c>
      <c r="B58" s="732" t="s">
        <v>747</v>
      </c>
      <c r="C58" s="47"/>
      <c r="D58" s="47"/>
      <c r="E58" s="47"/>
    </row>
    <row r="59" spans="1:5" ht="15.75">
      <c r="A59" s="47">
        <v>3</v>
      </c>
      <c r="B59" s="732" t="s">
        <v>748</v>
      </c>
      <c r="C59" s="47"/>
      <c r="D59" s="47"/>
      <c r="E59" s="47"/>
    </row>
    <row r="60" spans="1:5" ht="15.75">
      <c r="A60" s="47">
        <v>4</v>
      </c>
      <c r="B60" s="732" t="s">
        <v>749</v>
      </c>
      <c r="C60" s="47"/>
      <c r="D60" s="47"/>
      <c r="E60" s="47"/>
    </row>
    <row r="61" spans="1:5" ht="15.75">
      <c r="A61" s="47">
        <v>5</v>
      </c>
      <c r="B61" s="732" t="s">
        <v>750</v>
      </c>
      <c r="C61" s="47"/>
      <c r="D61" s="47"/>
      <c r="E61" s="47"/>
    </row>
    <row r="62" spans="1:5" ht="15.75">
      <c r="A62" s="47" t="s">
        <v>643</v>
      </c>
      <c r="B62" s="733"/>
      <c r="C62" s="47"/>
      <c r="D62" s="47"/>
      <c r="E62" s="47"/>
    </row>
    <row r="63" spans="1:5" ht="15.75">
      <c r="A63" s="47">
        <v>1</v>
      </c>
      <c r="B63" s="732" t="s">
        <v>751</v>
      </c>
      <c r="C63" s="47"/>
      <c r="D63" s="47"/>
      <c r="E63" s="47"/>
    </row>
    <row r="64" spans="1:5" ht="15.75">
      <c r="A64" s="47">
        <v>2</v>
      </c>
      <c r="B64" s="732" t="s">
        <v>752</v>
      </c>
      <c r="C64" s="47"/>
      <c r="D64" s="47"/>
      <c r="E64" s="47"/>
    </row>
    <row r="65" spans="1:5" ht="15.75">
      <c r="A65" s="47">
        <v>3</v>
      </c>
      <c r="B65" s="732" t="s">
        <v>753</v>
      </c>
      <c r="C65" s="47"/>
      <c r="D65" s="47"/>
      <c r="E65" s="47"/>
    </row>
    <row r="66" spans="1:5" ht="15.75">
      <c r="A66" s="47">
        <v>4</v>
      </c>
      <c r="B66" s="732" t="s">
        <v>754</v>
      </c>
      <c r="C66" s="47"/>
      <c r="D66" s="47"/>
      <c r="E66" s="47"/>
    </row>
    <row r="67" spans="1:5" ht="15.75">
      <c r="A67" s="47">
        <v>5</v>
      </c>
      <c r="B67" s="732" t="s">
        <v>755</v>
      </c>
      <c r="C67" s="47"/>
      <c r="D67" s="47"/>
      <c r="E67" s="47"/>
    </row>
    <row r="68" spans="1:5" ht="15.75">
      <c r="A68" s="47" t="s">
        <v>644</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645</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 - Fund 01</v>
      </c>
      <c r="C84" s="47"/>
      <c r="D84" s="78">
        <v>24.401</v>
      </c>
      <c r="E84" s="47"/>
    </row>
    <row r="85" spans="1:5" ht="15.75">
      <c r="A85" s="47"/>
      <c r="B85" s="87" t="str">
        <f>B18</f>
        <v>Bond &amp; Interest - Fund 06</v>
      </c>
      <c r="C85" s="47"/>
      <c r="D85" s="78">
        <v>4.739</v>
      </c>
      <c r="E85" s="47"/>
    </row>
    <row r="86" spans="1:5" ht="15.75">
      <c r="A86" s="47"/>
      <c r="B86" s="87" t="str">
        <f>B19</f>
        <v>Library - Fund 02</v>
      </c>
      <c r="C86" s="47"/>
      <c r="D86" s="78">
        <v>4.613</v>
      </c>
      <c r="E86" s="47"/>
    </row>
    <row r="87" spans="1:5" ht="15.75">
      <c r="A87" s="47"/>
      <c r="B87" s="87" t="str">
        <f aca="true" t="shared" si="0" ref="B87:B96">B21</f>
        <v>Employee Benefits - Fund 05</v>
      </c>
      <c r="C87" s="47"/>
      <c r="D87" s="78">
        <v>6.657</v>
      </c>
      <c r="E87" s="47"/>
    </row>
    <row r="88" spans="1:5" ht="15.75">
      <c r="A88" s="47"/>
      <c r="B88" s="87">
        <f t="shared" si="0"/>
        <v>0</v>
      </c>
      <c r="C88" s="47"/>
      <c r="D88" s="78"/>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408</v>
      </c>
      <c r="B97" s="71"/>
      <c r="C97" s="81"/>
      <c r="D97" s="88">
        <f>SUM(D84:D96)</f>
        <v>40.41</v>
      </c>
      <c r="E97" s="47"/>
    </row>
    <row r="98" spans="1:5" ht="15.75">
      <c r="A98" s="47"/>
      <c r="B98" s="47"/>
      <c r="C98" s="47"/>
      <c r="D98" s="47"/>
      <c r="E98" s="47"/>
    </row>
    <row r="99" spans="1:5" ht="15.75">
      <c r="A99" s="89" t="str">
        <f>CONCATENATE("Total Tax Levied (",C5-2," budget column)")</f>
        <v>Total Tax Levied (2011 budget column)</v>
      </c>
      <c r="B99" s="90"/>
      <c r="C99" s="71"/>
      <c r="D99" s="81"/>
      <c r="E99" s="67">
        <v>1905568</v>
      </c>
    </row>
    <row r="100" spans="1:5" ht="15.75">
      <c r="A100" s="91" t="str">
        <f>CONCATENATE("Assessed Valuation  (",C5-2," budget column)")</f>
        <v>Assessed Valuation  (2011 budget column)</v>
      </c>
      <c r="B100" s="92"/>
      <c r="C100" s="72"/>
      <c r="D100" s="93"/>
      <c r="E100" s="67">
        <v>47157929</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1192</v>
      </c>
      <c r="B103" s="58"/>
      <c r="C103" s="98"/>
      <c r="D103" s="99">
        <f>C5-3</f>
        <v>2010</v>
      </c>
      <c r="E103" s="100">
        <f>C5-2</f>
        <v>2011</v>
      </c>
    </row>
    <row r="104" spans="1:5" ht="15.75">
      <c r="A104" s="101" t="s">
        <v>607</v>
      </c>
      <c r="B104" s="101"/>
      <c r="C104" s="102"/>
      <c r="D104" s="103">
        <v>5725000</v>
      </c>
      <c r="E104" s="103">
        <v>5200000</v>
      </c>
    </row>
    <row r="105" spans="1:5" ht="15.75">
      <c r="A105" s="104" t="s">
        <v>608</v>
      </c>
      <c r="B105" s="104"/>
      <c r="C105" s="105"/>
      <c r="D105" s="103">
        <v>6760000</v>
      </c>
      <c r="E105" s="103">
        <v>6290000</v>
      </c>
    </row>
    <row r="106" spans="1:5" ht="15.75">
      <c r="A106" s="104" t="s">
        <v>609</v>
      </c>
      <c r="B106" s="104"/>
      <c r="C106" s="105"/>
      <c r="D106" s="103">
        <v>6618901</v>
      </c>
      <c r="E106" s="103">
        <v>6500773</v>
      </c>
    </row>
    <row r="107" spans="1:5" ht="15.75">
      <c r="A107" s="104" t="s">
        <v>610</v>
      </c>
      <c r="B107" s="104"/>
      <c r="C107" s="105"/>
      <c r="D107" s="103">
        <v>299849</v>
      </c>
      <c r="E107" s="103">
        <v>345346</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mergeCells count="3">
    <mergeCell ref="A10:E10"/>
    <mergeCell ref="A1:E1"/>
    <mergeCell ref="G8:H13"/>
  </mergeCells>
  <printOptions horizontalCentered="1"/>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505</v>
      </c>
      <c r="C3" s="201"/>
      <c r="D3" s="201"/>
      <c r="E3" s="286"/>
    </row>
    <row r="4" spans="2:5" ht="15.75">
      <c r="B4" s="52" t="s">
        <v>435</v>
      </c>
      <c r="C4" s="704" t="s">
        <v>388</v>
      </c>
      <c r="D4" s="705" t="s">
        <v>389</v>
      </c>
      <c r="E4" s="144" t="s">
        <v>390</v>
      </c>
    </row>
    <row r="5" spans="2:5" ht="15.75">
      <c r="B5" s="529">
        <f>inputPrYr!B29</f>
        <v>0</v>
      </c>
      <c r="C5" s="223" t="str">
        <f>CONCATENATE("Actual for ",E1-2,"")</f>
        <v>Actual for 2011</v>
      </c>
      <c r="D5" s="223" t="str">
        <f>CONCATENATE("Estimate for ",E1-1,"")</f>
        <v>Estimate for 2012</v>
      </c>
      <c r="E5" s="208" t="str">
        <f>CONCATENATE("Year for ",E1,"")</f>
        <v>Year for 2013</v>
      </c>
    </row>
    <row r="6" spans="2:5" ht="15.75">
      <c r="B6" s="250" t="s">
        <v>564</v>
      </c>
      <c r="C6" s="255"/>
      <c r="D6" s="253">
        <f>C34</f>
        <v>0</v>
      </c>
      <c r="E6" s="226">
        <f>D34</f>
        <v>0</v>
      </c>
    </row>
    <row r="7" spans="2:5" ht="15.75">
      <c r="B7" s="254" t="s">
        <v>566</v>
      </c>
      <c r="C7" s="159"/>
      <c r="D7" s="159"/>
      <c r="E7" s="87"/>
    </row>
    <row r="8" spans="2:5" ht="15.75">
      <c r="B8" s="150" t="s">
        <v>436</v>
      </c>
      <c r="C8" s="255"/>
      <c r="D8" s="253">
        <f>IF(inputPrYr!H16&gt;0,inputPrYr!G29,inputPrYr!E29)</f>
        <v>0</v>
      </c>
      <c r="E8" s="284" t="s">
        <v>425</v>
      </c>
    </row>
    <row r="9" spans="2:5" ht="15.75">
      <c r="B9" s="150" t="s">
        <v>437</v>
      </c>
      <c r="C9" s="255"/>
      <c r="D9" s="255"/>
      <c r="E9" s="67"/>
    </row>
    <row r="10" spans="2:5" ht="15.75">
      <c r="B10" s="150" t="s">
        <v>438</v>
      </c>
      <c r="C10" s="255"/>
      <c r="D10" s="255"/>
      <c r="E10" s="226" t="str">
        <f>mvalloc!D18</f>
        <v>  </v>
      </c>
    </row>
    <row r="11" spans="2:5" ht="15.75">
      <c r="B11" s="150" t="s">
        <v>439</v>
      </c>
      <c r="C11" s="255"/>
      <c r="D11" s="255"/>
      <c r="E11" s="226" t="str">
        <f>mvalloc!E18</f>
        <v> </v>
      </c>
    </row>
    <row r="12" spans="2:5" ht="15.75">
      <c r="B12" s="159" t="s">
        <v>537</v>
      </c>
      <c r="C12" s="255"/>
      <c r="D12" s="255"/>
      <c r="E12" s="226" t="str">
        <f>mvalloc!F18</f>
        <v> </v>
      </c>
    </row>
    <row r="13" spans="2:5" ht="15.75">
      <c r="B13" s="271"/>
      <c r="C13" s="255"/>
      <c r="D13" s="255"/>
      <c r="E13" s="69"/>
    </row>
    <row r="14" spans="2:5" ht="15.75">
      <c r="B14" s="271"/>
      <c r="C14" s="255"/>
      <c r="D14" s="255"/>
      <c r="E14" s="69"/>
    </row>
    <row r="15" spans="2:5" ht="15.75">
      <c r="B15" s="271"/>
      <c r="C15" s="255"/>
      <c r="D15" s="255"/>
      <c r="E15" s="67"/>
    </row>
    <row r="16" spans="2:5" ht="15.75">
      <c r="B16" s="271"/>
      <c r="C16" s="255"/>
      <c r="D16" s="255"/>
      <c r="E16" s="67"/>
    </row>
    <row r="17" spans="2:5" ht="15.75">
      <c r="B17" s="259" t="s">
        <v>442</v>
      </c>
      <c r="C17" s="255"/>
      <c r="D17" s="255"/>
      <c r="E17" s="67"/>
    </row>
    <row r="18" spans="2:5" ht="15.75">
      <c r="B18" s="159" t="s">
        <v>1203</v>
      </c>
      <c r="C18" s="255"/>
      <c r="D18" s="255"/>
      <c r="E18" s="67"/>
    </row>
    <row r="19" spans="2:5" ht="15.75">
      <c r="B19" s="250" t="s">
        <v>1152</v>
      </c>
      <c r="C19" s="260">
        <f>IF(C20*0.1&lt;C18,"Exceed 10% Rule","")</f>
      </c>
      <c r="D19" s="260">
        <f>IF(D20*0.1&lt;D18,"Exceed 10% Rule","")</f>
      </c>
      <c r="E19" s="297">
        <f>IF(E20*0.1+E40&lt;E18,"Exceed 10% Rule","")</f>
      </c>
    </row>
    <row r="20" spans="2:5" ht="15.75">
      <c r="B20" s="262" t="s">
        <v>443</v>
      </c>
      <c r="C20" s="264">
        <f>SUM(C8:C18)</f>
        <v>0</v>
      </c>
      <c r="D20" s="264">
        <f>SUM(D8:D18)</f>
        <v>0</v>
      </c>
      <c r="E20" s="265">
        <f>SUM(E8:E18)</f>
        <v>0</v>
      </c>
    </row>
    <row r="21" spans="2:5" ht="15.75">
      <c r="B21" s="262" t="s">
        <v>448</v>
      </c>
      <c r="C21" s="264">
        <f>C6+C20</f>
        <v>0</v>
      </c>
      <c r="D21" s="264">
        <f>D6+D20</f>
        <v>0</v>
      </c>
      <c r="E21" s="265">
        <f>E6+E20</f>
        <v>0</v>
      </c>
    </row>
    <row r="22" spans="2:5" ht="15.75">
      <c r="B22" s="150" t="s">
        <v>450</v>
      </c>
      <c r="C22" s="272"/>
      <c r="D22" s="272"/>
      <c r="E22" s="65"/>
    </row>
    <row r="23" spans="2:5" ht="15.75">
      <c r="B23" s="271"/>
      <c r="C23" s="255"/>
      <c r="D23" s="255"/>
      <c r="E23" s="67"/>
    </row>
    <row r="24" spans="2:10" ht="15.75">
      <c r="B24" s="271"/>
      <c r="C24" s="255"/>
      <c r="D24" s="255"/>
      <c r="E24" s="67"/>
      <c r="G24" s="831" t="str">
        <f>CONCATENATE("Desired Carryover Into ",E1+1,"")</f>
        <v>Desired Carryover Into 2014</v>
      </c>
      <c r="H24" s="827"/>
      <c r="I24" s="827"/>
      <c r="J24" s="828"/>
    </row>
    <row r="25" spans="2:10" ht="15.75">
      <c r="B25" s="271"/>
      <c r="C25" s="255"/>
      <c r="D25" s="255"/>
      <c r="E25" s="67"/>
      <c r="G25" s="642"/>
      <c r="H25" s="76"/>
      <c r="I25" s="643"/>
      <c r="J25" s="644"/>
    </row>
    <row r="26" spans="2:10" ht="15.75">
      <c r="B26" s="271"/>
      <c r="C26" s="255"/>
      <c r="D26" s="255"/>
      <c r="E26" s="67"/>
      <c r="G26" s="645" t="s">
        <v>1140</v>
      </c>
      <c r="H26" s="643"/>
      <c r="I26" s="643"/>
      <c r="J26" s="646">
        <v>0</v>
      </c>
    </row>
    <row r="27" spans="2:10" ht="15.75">
      <c r="B27" s="271"/>
      <c r="C27" s="255"/>
      <c r="D27" s="255"/>
      <c r="E27" s="67"/>
      <c r="G27" s="642" t="s">
        <v>1141</v>
      </c>
      <c r="H27" s="76"/>
      <c r="I27" s="76"/>
      <c r="J27" s="647">
        <f>IF(J26=0,"",ROUND((J26+E40-G39)/inputOth!E7*1000,3)-G44)</f>
      </c>
    </row>
    <row r="28" spans="2:10" ht="15.75">
      <c r="B28" s="271"/>
      <c r="C28" s="255"/>
      <c r="D28" s="255"/>
      <c r="E28" s="67"/>
      <c r="G28" s="648" t="str">
        <f>CONCATENATE("",E1," Tot Exp/Non-Appr Must Be:")</f>
        <v>2013 Tot Exp/Non-Appr Must Be:</v>
      </c>
      <c r="H28" s="649"/>
      <c r="I28" s="650"/>
      <c r="J28" s="651">
        <f>IF(J26&gt;0,IF(E37&lt;E20,IF(J26=G39,E37,((J26-G39)*(1-D39))+E20),E37+(J26-G39)),0)</f>
        <v>0</v>
      </c>
    </row>
    <row r="29" spans="2:10" ht="15.75">
      <c r="B29" s="271"/>
      <c r="C29" s="255"/>
      <c r="D29" s="255"/>
      <c r="E29" s="67"/>
      <c r="G29" s="652" t="s">
        <v>289</v>
      </c>
      <c r="H29" s="653"/>
      <c r="I29" s="653"/>
      <c r="J29" s="654">
        <f>IF(J26&gt;0,J28-E37,0)</f>
        <v>0</v>
      </c>
    </row>
    <row r="30" spans="2:10" ht="15.75">
      <c r="B30" s="272" t="s">
        <v>1202</v>
      </c>
      <c r="C30" s="255"/>
      <c r="D30" s="255"/>
      <c r="E30" s="82">
        <f>nhood!E17</f>
      </c>
      <c r="J30" s="2"/>
    </row>
    <row r="31" spans="2:10" ht="15.75">
      <c r="B31" s="272" t="s">
        <v>1203</v>
      </c>
      <c r="C31" s="255"/>
      <c r="D31" s="255"/>
      <c r="E31" s="67"/>
      <c r="G31" s="831" t="str">
        <f>CONCATENATE("Projected Carryover Into ",E1+1,"")</f>
        <v>Projected Carryover Into 2014</v>
      </c>
      <c r="H31" s="835"/>
      <c r="I31" s="835"/>
      <c r="J31" s="833"/>
    </row>
    <row r="32" spans="2:10" ht="15.75">
      <c r="B32" s="272" t="s">
        <v>1153</v>
      </c>
      <c r="C32" s="260">
        <f>IF(C33*0.1&lt;C31,"Exceed 10% Rule","")</f>
      </c>
      <c r="D32" s="260">
        <f>IF(D33*0.1&lt;D31,"Exceed 10% Rule","")</f>
      </c>
      <c r="E32" s="297">
        <f>IF(E33*0.1&lt;E31,"Exceed 10% Rule","")</f>
      </c>
      <c r="G32" s="642"/>
      <c r="H32" s="643"/>
      <c r="I32" s="643"/>
      <c r="J32" s="656"/>
    </row>
    <row r="33" spans="2:10" ht="15.75">
      <c r="B33" s="262" t="s">
        <v>454</v>
      </c>
      <c r="C33" s="264">
        <f>SUM(C24:C31)</f>
        <v>0</v>
      </c>
      <c r="D33" s="264">
        <f>SUM(D24:D31)</f>
        <v>0</v>
      </c>
      <c r="E33" s="265">
        <f>SUM(E24:E31)</f>
        <v>0</v>
      </c>
      <c r="G33" s="657">
        <f>D34</f>
        <v>0</v>
      </c>
      <c r="H33" s="625" t="str">
        <f>CONCATENATE("",E1-1," Ending Cash Balance (est.)")</f>
        <v>2012 Ending Cash Balance (est.)</v>
      </c>
      <c r="I33" s="658"/>
      <c r="J33" s="656"/>
    </row>
    <row r="34" spans="2:10" ht="15.75">
      <c r="B34" s="150" t="s">
        <v>565</v>
      </c>
      <c r="C34" s="268">
        <f>C21-C33</f>
        <v>0</v>
      </c>
      <c r="D34" s="268">
        <f>D21-D33</f>
        <v>0</v>
      </c>
      <c r="E34" s="284" t="s">
        <v>425</v>
      </c>
      <c r="G34" s="657">
        <f>E19</f>
      </c>
      <c r="H34" s="643" t="str">
        <f>CONCATENATE("",E1," Non-AV Receipts (est.)")</f>
        <v>2013 Non-AV Receipts (est.)</v>
      </c>
      <c r="I34" s="658"/>
      <c r="J34" s="656"/>
    </row>
    <row r="35" spans="2:11" ht="15.75">
      <c r="B35" s="136" t="str">
        <f>CONCATENATE("",E1-2,"/",E1-1," Budget Authority Amount:")</f>
        <v>2011/2012 Budget Authority Amount:</v>
      </c>
      <c r="C35" s="239">
        <f>inputOth!B71</f>
        <v>0</v>
      </c>
      <c r="D35" s="239">
        <f>inputPrYr!D29</f>
        <v>0</v>
      </c>
      <c r="E35" s="284" t="s">
        <v>425</v>
      </c>
      <c r="F35" s="274"/>
      <c r="G35" s="659">
        <f>IF(E39&gt;0,E38,E40)</f>
        <v>0</v>
      </c>
      <c r="H35" s="643" t="str">
        <f>CONCATENATE("",E1," Ad Valorem Tax (est.)")</f>
        <v>2013 Ad Valorem Tax (est.)</v>
      </c>
      <c r="I35" s="658"/>
      <c r="J35" s="638"/>
      <c r="K35" s="634">
        <f>IF(G35=E40,"","Note: Does not include Delinquent Taxes")</f>
      </c>
    </row>
    <row r="36" spans="2:10" ht="15.75">
      <c r="B36" s="136"/>
      <c r="C36" s="821" t="s">
        <v>1091</v>
      </c>
      <c r="D36" s="822"/>
      <c r="E36" s="67"/>
      <c r="F36" s="726">
        <f>IF(E33/0.95-E33&lt;E36,"Exceeds 5%","")</f>
      </c>
      <c r="G36" s="657">
        <f>SUM(G33:G35)</f>
        <v>0</v>
      </c>
      <c r="H36" s="643" t="str">
        <f>CONCATENATE("Total ",E1," Resources Available")</f>
        <v>Total 2013 Resources Available</v>
      </c>
      <c r="I36" s="658"/>
      <c r="J36" s="656"/>
    </row>
    <row r="37" spans="2:10" ht="15.75">
      <c r="B37" s="525" t="str">
        <f>CONCATENATE(C94,"     ",D94)</f>
        <v>     </v>
      </c>
      <c r="C37" s="823" t="s">
        <v>158</v>
      </c>
      <c r="D37" s="824"/>
      <c r="E37" s="226">
        <f>E33+E36</f>
        <v>0</v>
      </c>
      <c r="G37" s="694"/>
      <c r="H37" s="643"/>
      <c r="I37" s="643"/>
      <c r="J37" s="656"/>
    </row>
    <row r="38" spans="2:10" ht="15.75">
      <c r="B38" s="525" t="str">
        <f>CONCATENATE(C95,"     ",D95)</f>
        <v>     </v>
      </c>
      <c r="C38" s="275"/>
      <c r="D38" s="169" t="s">
        <v>455</v>
      </c>
      <c r="E38" s="82">
        <f>IF(E37-E21&gt;0,E37-E21,0)</f>
        <v>0</v>
      </c>
      <c r="G38" s="659">
        <f>ROUND(C33*0.05+C33,0)</f>
        <v>0</v>
      </c>
      <c r="H38" s="643" t="str">
        <f>CONCATENATE("Less ",E1-2," Expenditures + 5%")</f>
        <v>Less 2011 Expenditures + 5%</v>
      </c>
      <c r="I38" s="658"/>
      <c r="J38" s="656"/>
    </row>
    <row r="39" spans="2:10" ht="15.75">
      <c r="B39" s="169"/>
      <c r="C39" s="381" t="s">
        <v>1090</v>
      </c>
      <c r="D39" s="716">
        <f>inputOth!$E$47</f>
        <v>0.06</v>
      </c>
      <c r="E39" s="226">
        <f>ROUND(IF(D39&gt;0,(E38*D39),0),0)</f>
        <v>0</v>
      </c>
      <c r="G39" s="695">
        <f>G36-G38</f>
        <v>0</v>
      </c>
      <c r="H39" s="696" t="str">
        <f>CONCATENATE("Projected ",E1+1," carryover (est.)")</f>
        <v>Projected 2014 carryover (est.)</v>
      </c>
      <c r="I39" s="697"/>
      <c r="J39" s="669"/>
    </row>
    <row r="40" spans="2:10" ht="16.5" thickBot="1">
      <c r="B40" s="47"/>
      <c r="C40" s="825" t="str">
        <f>CONCATENATE("Amount of  ",$E$1-1," Ad Valorem Tax")</f>
        <v>Amount of  2012 Ad Valorem Tax</v>
      </c>
      <c r="D40" s="826"/>
      <c r="E40" s="641">
        <f>E38+E39</f>
        <v>0</v>
      </c>
      <c r="G40" s="2"/>
      <c r="H40" s="2"/>
      <c r="I40" s="2"/>
      <c r="J40" s="2"/>
    </row>
    <row r="41" spans="2:10" ht="16.5" thickTop="1">
      <c r="B41" s="47"/>
      <c r="C41" s="47"/>
      <c r="D41" s="47"/>
      <c r="E41" s="47"/>
      <c r="G41" s="815" t="s">
        <v>288</v>
      </c>
      <c r="H41" s="816"/>
      <c r="I41" s="816"/>
      <c r="J41" s="817"/>
    </row>
    <row r="42" spans="2:10" ht="15.75">
      <c r="B42" s="52"/>
      <c r="C42" s="142"/>
      <c r="D42" s="142"/>
      <c r="E42" s="142"/>
      <c r="G42" s="624"/>
      <c r="H42" s="625"/>
      <c r="I42" s="626"/>
      <c r="J42" s="627"/>
    </row>
    <row r="43" spans="2:10" ht="15.75">
      <c r="B43" s="52" t="s">
        <v>435</v>
      </c>
      <c r="C43" s="704" t="s">
        <v>388</v>
      </c>
      <c r="D43" s="705" t="s">
        <v>389</v>
      </c>
      <c r="E43" s="144" t="s">
        <v>390</v>
      </c>
      <c r="G43" s="628" t="e">
        <f>summ!#REF!</f>
        <v>#REF!</v>
      </c>
      <c r="H43" s="625" t="str">
        <f>CONCATENATE("",E1," Fund Mill Rate")</f>
        <v>2013 Fund Mill Rate</v>
      </c>
      <c r="I43" s="626"/>
      <c r="J43" s="627"/>
    </row>
    <row r="44" spans="2:10" ht="15.75">
      <c r="B44" s="529">
        <f>inputPrYr!B30</f>
        <v>0</v>
      </c>
      <c r="C44" s="223" t="str">
        <f>CONCATENATE("Actual for ",E1-2,"")</f>
        <v>Actual for 2011</v>
      </c>
      <c r="D44" s="223" t="str">
        <f>CONCATENATE("Estimate for ",E1-1,"")</f>
        <v>Estimate for 2012</v>
      </c>
      <c r="E44" s="208" t="str">
        <f>CONCATENATE("Year for ",E1,"")</f>
        <v>Year for 2013</v>
      </c>
      <c r="G44" s="629" t="e">
        <f>summ!#REF!</f>
        <v>#REF!</v>
      </c>
      <c r="H44" s="625" t="str">
        <f>CONCATENATE("",E1-1," Fund Mill Rate")</f>
        <v>2012 Fund Mill Rate</v>
      </c>
      <c r="I44" s="626"/>
      <c r="J44" s="627"/>
    </row>
    <row r="45" spans="2:10" ht="15.75">
      <c r="B45" s="250" t="s">
        <v>564</v>
      </c>
      <c r="C45" s="255"/>
      <c r="D45" s="253">
        <f>C74</f>
        <v>0</v>
      </c>
      <c r="E45" s="226">
        <f>D74</f>
        <v>0</v>
      </c>
      <c r="G45" s="630">
        <f>summ!H34</f>
        <v>41.808</v>
      </c>
      <c r="H45" s="625" t="str">
        <f>CONCATENATE("Total ",E1," Mill Rate")</f>
        <v>Total 2013 Mill Rate</v>
      </c>
      <c r="I45" s="626"/>
      <c r="J45" s="627"/>
    </row>
    <row r="46" spans="2:10" ht="15.75">
      <c r="B46" s="254" t="s">
        <v>566</v>
      </c>
      <c r="C46" s="159"/>
      <c r="D46" s="159"/>
      <c r="E46" s="87"/>
      <c r="G46" s="629">
        <f>summ!E34</f>
        <v>41.309</v>
      </c>
      <c r="H46" s="631" t="str">
        <f>CONCATENATE("Total ",E1-1," Mill Rate")</f>
        <v>Total 2012 Mill Rate</v>
      </c>
      <c r="I46" s="632"/>
      <c r="J46" s="633"/>
    </row>
    <row r="47" spans="2:5" ht="15.75">
      <c r="B47" s="150" t="s">
        <v>436</v>
      </c>
      <c r="C47" s="255"/>
      <c r="D47" s="253">
        <f>IF(inputPrYr!H16&gt;0,inputPrYr!G30,inputPrYr!E30)</f>
        <v>0</v>
      </c>
      <c r="E47" s="284" t="s">
        <v>425</v>
      </c>
    </row>
    <row r="48" spans="2:5" ht="15.75">
      <c r="B48" s="150" t="s">
        <v>437</v>
      </c>
      <c r="C48" s="255"/>
      <c r="D48" s="255"/>
      <c r="E48" s="67"/>
    </row>
    <row r="49" spans="2:5" ht="15.75">
      <c r="B49" s="150" t="s">
        <v>438</v>
      </c>
      <c r="C49" s="255"/>
      <c r="D49" s="255"/>
      <c r="E49" s="226" t="str">
        <f>mvalloc!D19</f>
        <v>  </v>
      </c>
    </row>
    <row r="50" spans="2:5" ht="15.75">
      <c r="B50" s="150" t="s">
        <v>439</v>
      </c>
      <c r="C50" s="255"/>
      <c r="D50" s="255"/>
      <c r="E50" s="226" t="str">
        <f>mvalloc!E19</f>
        <v> </v>
      </c>
    </row>
    <row r="51" spans="2:5" ht="15.75">
      <c r="B51" s="159" t="s">
        <v>537</v>
      </c>
      <c r="C51" s="255"/>
      <c r="D51" s="255"/>
      <c r="E51" s="226" t="str">
        <f>mvalloc!F19</f>
        <v> </v>
      </c>
    </row>
    <row r="52" spans="2:5" ht="15.75">
      <c r="B52" s="271"/>
      <c r="C52" s="255"/>
      <c r="D52" s="255"/>
      <c r="E52" s="69"/>
    </row>
    <row r="53" spans="2:5" ht="15.75">
      <c r="B53" s="271"/>
      <c r="C53" s="255"/>
      <c r="D53" s="255"/>
      <c r="E53" s="69"/>
    </row>
    <row r="54" spans="2:5" ht="15.75">
      <c r="B54" s="271"/>
      <c r="C54" s="255"/>
      <c r="D54" s="255"/>
      <c r="E54" s="67"/>
    </row>
    <row r="55" spans="2:5" ht="15.75">
      <c r="B55" s="271"/>
      <c r="C55" s="255"/>
      <c r="D55" s="255"/>
      <c r="E55" s="67"/>
    </row>
    <row r="56" spans="2:5" ht="15.75">
      <c r="B56" s="271"/>
      <c r="C56" s="255"/>
      <c r="D56" s="255"/>
      <c r="E56" s="67"/>
    </row>
    <row r="57" spans="2:5" ht="15.75">
      <c r="B57" s="259" t="s">
        <v>442</v>
      </c>
      <c r="C57" s="255"/>
      <c r="D57" s="255"/>
      <c r="E57" s="67"/>
    </row>
    <row r="58" spans="2:5" ht="15.75">
      <c r="B58" s="159" t="s">
        <v>1203</v>
      </c>
      <c r="C58" s="255"/>
      <c r="D58" s="255"/>
      <c r="E58" s="67"/>
    </row>
    <row r="59" spans="2:5" ht="15.75">
      <c r="B59" s="250" t="s">
        <v>1152</v>
      </c>
      <c r="C59" s="260">
        <f>IF(C60*0.1&lt;C58,"Exceed 10% Rule","")</f>
      </c>
      <c r="D59" s="260">
        <f>IF(D60*0.1&lt;D58,"Exceed 10% Rule","")</f>
      </c>
      <c r="E59" s="297">
        <f>IF(E60*0.1+E80&lt;E58,"Exceed 10% Rule","")</f>
      </c>
    </row>
    <row r="60" spans="2:5" ht="15.75">
      <c r="B60" s="262" t="s">
        <v>443</v>
      </c>
      <c r="C60" s="264">
        <f>SUM(C47:C58)</f>
        <v>0</v>
      </c>
      <c r="D60" s="264">
        <f>SUM(D47:D58)</f>
        <v>0</v>
      </c>
      <c r="E60" s="265">
        <f>SUM(E47:E58)</f>
        <v>0</v>
      </c>
    </row>
    <row r="61" spans="2:5" ht="15.75">
      <c r="B61" s="262" t="s">
        <v>448</v>
      </c>
      <c r="C61" s="264">
        <f>C45+C60</f>
        <v>0</v>
      </c>
      <c r="D61" s="264">
        <f>D45+D60</f>
        <v>0</v>
      </c>
      <c r="E61" s="265">
        <f>E45+E60</f>
        <v>0</v>
      </c>
    </row>
    <row r="62" spans="2:5" ht="15.75">
      <c r="B62" s="150" t="s">
        <v>450</v>
      </c>
      <c r="C62" s="272"/>
      <c r="D62" s="272"/>
      <c r="E62" s="65"/>
    </row>
    <row r="63" spans="2:5" ht="15.75">
      <c r="B63" s="271"/>
      <c r="C63" s="255"/>
      <c r="D63" s="255"/>
      <c r="E63" s="67"/>
    </row>
    <row r="64" spans="2:10" ht="15.75">
      <c r="B64" s="271"/>
      <c r="C64" s="255"/>
      <c r="D64" s="255"/>
      <c r="E64" s="67"/>
      <c r="G64" s="831" t="str">
        <f>CONCATENATE("Desired Carryover Into ",E1+1,"")</f>
        <v>Desired Carryover Into 2014</v>
      </c>
      <c r="H64" s="827"/>
      <c r="I64" s="827"/>
      <c r="J64" s="828"/>
    </row>
    <row r="65" spans="2:10" ht="15.75">
      <c r="B65" s="271"/>
      <c r="C65" s="255"/>
      <c r="D65" s="255"/>
      <c r="E65" s="67"/>
      <c r="G65" s="642"/>
      <c r="H65" s="76"/>
      <c r="I65" s="643"/>
      <c r="J65" s="644"/>
    </row>
    <row r="66" spans="2:10" ht="15.75">
      <c r="B66" s="271"/>
      <c r="C66" s="255"/>
      <c r="D66" s="255"/>
      <c r="E66" s="67"/>
      <c r="G66" s="645" t="s">
        <v>1140</v>
      </c>
      <c r="H66" s="643"/>
      <c r="I66" s="643"/>
      <c r="J66" s="646">
        <v>0</v>
      </c>
    </row>
    <row r="67" spans="2:10" ht="15.75">
      <c r="B67" s="271"/>
      <c r="C67" s="255"/>
      <c r="D67" s="255"/>
      <c r="E67" s="67"/>
      <c r="G67" s="642" t="s">
        <v>1141</v>
      </c>
      <c r="H67" s="76"/>
      <c r="I67" s="76"/>
      <c r="J67" s="647">
        <f>IF(J66=0,"",ROUND((J66+E80-G79)/inputOth!E7*1000,3)-G84)</f>
      </c>
    </row>
    <row r="68" spans="2:10" ht="15.75">
      <c r="B68" s="271"/>
      <c r="C68" s="255"/>
      <c r="D68" s="255"/>
      <c r="E68" s="67"/>
      <c r="G68" s="648" t="str">
        <f>CONCATENATE("",E1," Tot Exp/Non-Appr Must Be:")</f>
        <v>2013 Tot Exp/Non-Appr Must Be:</v>
      </c>
      <c r="H68" s="649"/>
      <c r="I68" s="650"/>
      <c r="J68" s="651">
        <f>IF(J66&gt;0,IF(E77&lt;E61,IF(J66=G79,E77,((J66-G79)*(1-D79))+E61),E77+(J66-G79)),0)</f>
        <v>0</v>
      </c>
    </row>
    <row r="69" spans="2:10" ht="15.75">
      <c r="B69" s="271"/>
      <c r="C69" s="255"/>
      <c r="D69" s="255"/>
      <c r="E69" s="67"/>
      <c r="G69" s="652" t="s">
        <v>289</v>
      </c>
      <c r="H69" s="653"/>
      <c r="I69" s="653"/>
      <c r="J69" s="654">
        <f>IF(J66&gt;0,J68-E77,0)</f>
        <v>0</v>
      </c>
    </row>
    <row r="70" spans="2:10" ht="15.75">
      <c r="B70" s="272" t="s">
        <v>1202</v>
      </c>
      <c r="C70" s="255"/>
      <c r="D70" s="255"/>
      <c r="E70" s="82">
        <f>nhood!E18</f>
      </c>
      <c r="J70" s="2"/>
    </row>
    <row r="71" spans="2:10" ht="15.75">
      <c r="B71" s="272" t="s">
        <v>1203</v>
      </c>
      <c r="C71" s="255"/>
      <c r="D71" s="255"/>
      <c r="E71" s="67"/>
      <c r="G71" s="831" t="str">
        <f>CONCATENATE("Projected Carryover Into ",E1+1,"")</f>
        <v>Projected Carryover Into 2014</v>
      </c>
      <c r="H71" s="832"/>
      <c r="I71" s="832"/>
      <c r="J71" s="833"/>
    </row>
    <row r="72" spans="2:10" ht="15.75">
      <c r="B72" s="272" t="s">
        <v>1153</v>
      </c>
      <c r="C72" s="260">
        <f>IF(C73*0.1&lt;C71,"Exceed 10% Rule","")</f>
      </c>
      <c r="D72" s="260">
        <f>IF(D73*0.1&lt;D71,"Exceed 10% Rule","")</f>
      </c>
      <c r="E72" s="297">
        <f>IF(E73*0.1&lt;E71,"Exceed 10% Rule","")</f>
      </c>
      <c r="G72" s="655"/>
      <c r="H72" s="76"/>
      <c r="I72" s="76"/>
      <c r="J72" s="662"/>
    </row>
    <row r="73" spans="2:10" ht="15.75">
      <c r="B73" s="262" t="s">
        <v>454</v>
      </c>
      <c r="C73" s="264">
        <f>SUM(C63:C71)</f>
        <v>0</v>
      </c>
      <c r="D73" s="264">
        <f>SUM(D63:D71)</f>
        <v>0</v>
      </c>
      <c r="E73" s="265">
        <f>SUM(E63:E71)</f>
        <v>0</v>
      </c>
      <c r="G73" s="657">
        <f>D74</f>
        <v>0</v>
      </c>
      <c r="H73" s="625" t="str">
        <f>CONCATENATE("",E1-1," Ending Cash Balance (est.)")</f>
        <v>2012 Ending Cash Balance (est.)</v>
      </c>
      <c r="I73" s="658"/>
      <c r="J73" s="662"/>
    </row>
    <row r="74" spans="2:10" ht="15.75">
      <c r="B74" s="150" t="s">
        <v>565</v>
      </c>
      <c r="C74" s="268">
        <f>C61-C73</f>
        <v>0</v>
      </c>
      <c r="D74" s="268">
        <f>D61-D73</f>
        <v>0</v>
      </c>
      <c r="E74" s="284" t="s">
        <v>425</v>
      </c>
      <c r="G74" s="657">
        <f>E60</f>
        <v>0</v>
      </c>
      <c r="H74" s="643" t="str">
        <f>CONCATENATE("",E1," Non-AV Receipts (est.)")</f>
        <v>2013 Non-AV Receipts (est.)</v>
      </c>
      <c r="I74" s="658"/>
      <c r="J74" s="662"/>
    </row>
    <row r="75" spans="2:11" ht="15.75">
      <c r="B75" s="136" t="str">
        <f>CONCATENATE("",E1-2,"/",E1-1," Budget Authority Amount:")</f>
        <v>2011/2012 Budget Authority Amount:</v>
      </c>
      <c r="C75" s="239">
        <f>inputOth!B72</f>
        <v>0</v>
      </c>
      <c r="D75" s="239">
        <f>inputPrYr!D30</f>
        <v>0</v>
      </c>
      <c r="E75" s="284" t="s">
        <v>425</v>
      </c>
      <c r="F75" s="274"/>
      <c r="G75" s="659">
        <f>IF(D79&gt;0,E78,E80)</f>
        <v>0</v>
      </c>
      <c r="H75" s="643" t="str">
        <f>CONCATENATE("",E1," Ad Valorem Tax (est.)")</f>
        <v>2013 Ad Valorem Tax (est.)</v>
      </c>
      <c r="I75" s="658"/>
      <c r="J75" s="662"/>
      <c r="K75" s="634">
        <f>IF(G75=E80,"","Note: Does not include Delinquent Taxes")</f>
      </c>
    </row>
    <row r="76" spans="2:10" ht="15.75">
      <c r="B76" s="136"/>
      <c r="C76" s="821" t="s">
        <v>1091</v>
      </c>
      <c r="D76" s="822"/>
      <c r="E76" s="67"/>
      <c r="F76" s="726">
        <f>IF(E73/0.95-E73&lt;E76,"Exceeds 5%","")</f>
      </c>
      <c r="G76" s="661">
        <f>SUM(G73:G75)</f>
        <v>0</v>
      </c>
      <c r="H76" s="643" t="str">
        <f>CONCATENATE("Total ",E1," Resources Available")</f>
        <v>Total 2013 Resources Available</v>
      </c>
      <c r="I76" s="662"/>
      <c r="J76" s="662"/>
    </row>
    <row r="77" spans="2:10" ht="15.75">
      <c r="B77" s="525" t="str">
        <f>CONCATENATE(C96,"     ",D96)</f>
        <v>     </v>
      </c>
      <c r="C77" s="823" t="s">
        <v>158</v>
      </c>
      <c r="D77" s="824"/>
      <c r="E77" s="226">
        <f>E73+E76</f>
        <v>0</v>
      </c>
      <c r="G77" s="663"/>
      <c r="H77" s="664"/>
      <c r="I77" s="76"/>
      <c r="J77" s="662"/>
    </row>
    <row r="78" spans="2:10" ht="15.75">
      <c r="B78" s="525" t="str">
        <f>CONCATENATE(C97,"     ",D97)</f>
        <v>     </v>
      </c>
      <c r="C78" s="275"/>
      <c r="D78" s="169" t="s">
        <v>455</v>
      </c>
      <c r="E78" s="82">
        <f>IF(E77-E61&gt;0,E77-E61,0)</f>
        <v>0</v>
      </c>
      <c r="G78" s="665">
        <f>ROUND(C73*0.05+C73,0)</f>
        <v>0</v>
      </c>
      <c r="H78" s="664" t="str">
        <f>CONCATENATE("Less ",E1-2," Expenditures + 5%")</f>
        <v>Less 2011 Expenditures + 5%</v>
      </c>
      <c r="I78" s="662"/>
      <c r="J78" s="662"/>
    </row>
    <row r="79" spans="2:10" ht="15.75">
      <c r="B79" s="136"/>
      <c r="C79" s="381" t="s">
        <v>1090</v>
      </c>
      <c r="D79" s="716">
        <f>inputOth!$E$47</f>
        <v>0.06</v>
      </c>
      <c r="E79" s="226">
        <f>ROUND(IF(D79&gt;0,(E78*D79),0),0)</f>
        <v>0</v>
      </c>
      <c r="G79" s="666">
        <f>G76-G78</f>
        <v>0</v>
      </c>
      <c r="H79" s="667" t="str">
        <f>CONCATENATE("Projected ",E1+1," carryover (est.)")</f>
        <v>Projected 2014 carryover (est.)</v>
      </c>
      <c r="I79" s="668"/>
      <c r="J79" s="669"/>
    </row>
    <row r="80" spans="2:9" ht="16.5" thickBot="1">
      <c r="B80" s="169"/>
      <c r="C80" s="825" t="str">
        <f>CONCATENATE("Amount of  ",$E$1-1," Ad Valorem Tax")</f>
        <v>Amount of  2012 Ad Valorem Tax</v>
      </c>
      <c r="D80" s="826"/>
      <c r="E80" s="641">
        <f>E78+E79</f>
        <v>0</v>
      </c>
      <c r="G80" s="2"/>
      <c r="H80" s="2"/>
      <c r="I80" s="2"/>
    </row>
    <row r="81" spans="2:10" ht="16.5" thickTop="1">
      <c r="B81" s="47"/>
      <c r="C81" s="47"/>
      <c r="D81" s="47"/>
      <c r="E81" s="47"/>
      <c r="G81" s="815" t="s">
        <v>288</v>
      </c>
      <c r="H81" s="816"/>
      <c r="I81" s="816"/>
      <c r="J81" s="817"/>
    </row>
    <row r="82" spans="2:10" ht="15.75">
      <c r="B82" s="399" t="s">
        <v>457</v>
      </c>
      <c r="C82" s="280"/>
      <c r="D82" s="47"/>
      <c r="E82" s="47"/>
      <c r="G82" s="624"/>
      <c r="H82" s="625"/>
      <c r="I82" s="626"/>
      <c r="J82" s="627"/>
    </row>
    <row r="83" spans="2:10" ht="15.75">
      <c r="B83" s="98"/>
      <c r="G83" s="628" t="e">
        <f>summ!#REF!</f>
        <v>#REF!</v>
      </c>
      <c r="H83" s="625" t="str">
        <f>CONCATENATE("",E1," Fund Mill Rate")</f>
        <v>2013 Fund Mill Rate</v>
      </c>
      <c r="I83" s="626"/>
      <c r="J83" s="627"/>
    </row>
    <row r="84" spans="7:10" ht="15.75">
      <c r="G84" s="629" t="e">
        <f>summ!#REF!</f>
        <v>#REF!</v>
      </c>
      <c r="H84" s="625" t="str">
        <f>CONCATENATE("",E1-1," Fund Mill Rate")</f>
        <v>2012 Fund Mill Rate</v>
      </c>
      <c r="I84" s="626"/>
      <c r="J84" s="627"/>
    </row>
    <row r="85" spans="7:10" ht="15.75">
      <c r="G85" s="630">
        <f>summ!H34</f>
        <v>41.808</v>
      </c>
      <c r="H85" s="625" t="str">
        <f>CONCATENATE("Total ",E1," Mill Rate")</f>
        <v>Total 2013 Mill Rate</v>
      </c>
      <c r="I85" s="626"/>
      <c r="J85" s="627"/>
    </row>
    <row r="86" spans="7:10" ht="15.75">
      <c r="G86" s="629">
        <f>summ!E34</f>
        <v>41.309</v>
      </c>
      <c r="H86" s="631" t="str">
        <f>CONCATENATE("Total ",E1-1," Mill Rate")</f>
        <v>Total 2012 Mill Rate</v>
      </c>
      <c r="I86" s="632"/>
      <c r="J86" s="633"/>
    </row>
    <row r="94" spans="3:4" ht="15.75" hidden="1">
      <c r="C94" s="524">
        <f>IF(C33&gt;C35,"See Tab A","")</f>
      </c>
      <c r="D94" s="524">
        <f>IF(D31&gt;D35,"See Tab C","")</f>
      </c>
    </row>
    <row r="95" spans="3:4" ht="15.75" hidden="1">
      <c r="C95" s="524">
        <f>IF(C34&lt;0,"See Tab B","")</f>
      </c>
      <c r="D95" s="524">
        <f>IF(D34&lt;0,"See Tab D","")</f>
      </c>
    </row>
    <row r="96" spans="3:4" ht="15.75" hidden="1">
      <c r="C96" s="524">
        <f>IF(C71&gt;C75,"See Tab A","")</f>
      </c>
      <c r="D96" s="524">
        <f>IF(D71&gt;D75,"See Tab C","")</f>
      </c>
    </row>
    <row r="97" spans="3:4" ht="15.75" hidden="1">
      <c r="C97" s="524">
        <f>IF(C74&lt;0,"See Tab B","")</f>
      </c>
      <c r="D97" s="524">
        <f>IF(D74&lt;0,"See Tab D","")</f>
      </c>
    </row>
  </sheetData>
  <sheetProtection sheet="1"/>
  <mergeCells count="12">
    <mergeCell ref="C36:D36"/>
    <mergeCell ref="C37:D37"/>
    <mergeCell ref="C80:D80"/>
    <mergeCell ref="C40:D40"/>
    <mergeCell ref="C76:D76"/>
    <mergeCell ref="C77:D77"/>
    <mergeCell ref="G71:J71"/>
    <mergeCell ref="G81:J81"/>
    <mergeCell ref="G24:J24"/>
    <mergeCell ref="G31:J31"/>
    <mergeCell ref="G41:J41"/>
    <mergeCell ref="G64:J64"/>
  </mergeCells>
  <conditionalFormatting sqref="E31">
    <cfRule type="cellIs" priority="3" dxfId="305" operator="greaterThan" stopIfTrue="1">
      <formula>$E$33*0.1</formula>
    </cfRule>
  </conditionalFormatting>
  <conditionalFormatting sqref="E36">
    <cfRule type="cellIs" priority="4" dxfId="305" operator="greaterThan" stopIfTrue="1">
      <formula>$E$33/0.95-$E$33</formula>
    </cfRule>
  </conditionalFormatting>
  <conditionalFormatting sqref="E71">
    <cfRule type="cellIs" priority="5" dxfId="305" operator="greaterThan" stopIfTrue="1">
      <formula>$E$73*0.1</formula>
    </cfRule>
  </conditionalFormatting>
  <conditionalFormatting sqref="E76">
    <cfRule type="cellIs" priority="6" dxfId="305"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05" operator="greaterThan" stopIfTrue="1">
      <formula>$E$60*0.1+E80</formula>
    </cfRule>
  </conditionalFormatting>
  <conditionalFormatting sqref="E18">
    <cfRule type="cellIs" priority="21" dxfId="305"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G65"/>
  <sheetViews>
    <sheetView zoomScalePageLayoutView="0" workbookViewId="0" topLeftCell="A38">
      <selection activeCell="E55" sqref="E55"/>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t="str">
        <f>(inputPrYr!B34)</f>
        <v>Special Highway - Fund 17</v>
      </c>
      <c r="C5" s="223" t="str">
        <f>CONCATENATE("Actual for ",E1-2,"")</f>
        <v>Actual for 2011</v>
      </c>
      <c r="D5" s="223" t="str">
        <f>CONCATENATE("Estimate for ",E1-1,"")</f>
        <v>Estimate for 2012</v>
      </c>
      <c r="E5" s="208" t="str">
        <f>CONCATENATE("Year for ",E1,"")</f>
        <v>Year for 2013</v>
      </c>
    </row>
    <row r="6" spans="2:5" ht="15.75">
      <c r="B6" s="250" t="s">
        <v>564</v>
      </c>
      <c r="C6" s="67">
        <v>89678</v>
      </c>
      <c r="D6" s="226">
        <f>C28</f>
        <v>69234</v>
      </c>
      <c r="E6" s="226">
        <f>D28</f>
        <v>58734</v>
      </c>
    </row>
    <row r="7" spans="2:5" ht="15.75">
      <c r="B7" s="254" t="s">
        <v>566</v>
      </c>
      <c r="C7" s="87"/>
      <c r="D7" s="87"/>
      <c r="E7" s="87"/>
    </row>
    <row r="8" spans="2:5" ht="15.75">
      <c r="B8" s="272" t="s">
        <v>539</v>
      </c>
      <c r="C8" s="67">
        <v>142856</v>
      </c>
      <c r="D8" s="290">
        <v>144000</v>
      </c>
      <c r="E8" s="226">
        <f>inputOth!E50</f>
        <v>145800</v>
      </c>
    </row>
    <row r="9" spans="2:5" ht="15.75">
      <c r="B9" s="291" t="s">
        <v>614</v>
      </c>
      <c r="C9" s="67">
        <v>0</v>
      </c>
      <c r="D9" s="290">
        <f>inputOth!E53</f>
        <v>0</v>
      </c>
      <c r="E9" s="290">
        <f>inputOth!E51</f>
        <v>0</v>
      </c>
    </row>
    <row r="10" spans="2:5" ht="15.75">
      <c r="B10" s="271"/>
      <c r="C10" s="67"/>
      <c r="D10" s="67"/>
      <c r="E10" s="67"/>
    </row>
    <row r="11" spans="2:5" ht="15.75">
      <c r="B11" s="259" t="s">
        <v>442</v>
      </c>
      <c r="C11" s="67">
        <v>608</v>
      </c>
      <c r="D11" s="67">
        <v>350</v>
      </c>
      <c r="E11" s="67">
        <v>350</v>
      </c>
    </row>
    <row r="12" spans="2:5" ht="15.75">
      <c r="B12" s="159" t="s">
        <v>1203</v>
      </c>
      <c r="C12" s="67">
        <v>0</v>
      </c>
      <c r="D12" s="256">
        <v>0</v>
      </c>
      <c r="E12" s="256">
        <v>0</v>
      </c>
    </row>
    <row r="13" spans="2:5" ht="15.75">
      <c r="B13" s="250" t="s">
        <v>1152</v>
      </c>
      <c r="C13" s="297">
        <f>IF(C14*0.1&lt;C12,"Exceed 10% Rule","")</f>
      </c>
      <c r="D13" s="261">
        <f>IF(D14*0.1&lt;D12,"Exceed 10% Rule","")</f>
      </c>
      <c r="E13" s="261">
        <f>IF(E14*0.1&lt;E12,"Exceed 10% Rule","")</f>
      </c>
    </row>
    <row r="14" spans="2:5" ht="15.75">
      <c r="B14" s="262" t="s">
        <v>443</v>
      </c>
      <c r="C14" s="265">
        <f>SUM(C8:C12)</f>
        <v>143464</v>
      </c>
      <c r="D14" s="265">
        <f>SUM(D8:D12)</f>
        <v>144350</v>
      </c>
      <c r="E14" s="265">
        <f>SUM(E8:E12)</f>
        <v>146150</v>
      </c>
    </row>
    <row r="15" spans="2:5" ht="15.75">
      <c r="B15" s="262" t="s">
        <v>448</v>
      </c>
      <c r="C15" s="265">
        <f>C6+C14</f>
        <v>233142</v>
      </c>
      <c r="D15" s="265">
        <f>D6+D14</f>
        <v>213584</v>
      </c>
      <c r="E15" s="265">
        <f>E6+E14</f>
        <v>204884</v>
      </c>
    </row>
    <row r="16" spans="2:5" ht="15.75">
      <c r="B16" s="150" t="s">
        <v>450</v>
      </c>
      <c r="C16" s="226"/>
      <c r="D16" s="226"/>
      <c r="E16" s="226"/>
    </row>
    <row r="17" spans="2:5" ht="15.75">
      <c r="B17" s="735" t="s">
        <v>982</v>
      </c>
      <c r="C17" s="67">
        <v>24516</v>
      </c>
      <c r="D17" s="67">
        <f>24850</f>
        <v>24850</v>
      </c>
      <c r="E17" s="67">
        <v>26000</v>
      </c>
    </row>
    <row r="18" spans="2:5" ht="15.75">
      <c r="B18" s="735" t="s">
        <v>1010</v>
      </c>
      <c r="C18" s="67">
        <v>7938</v>
      </c>
      <c r="D18" s="67">
        <v>5000</v>
      </c>
      <c r="E18" s="67">
        <v>5000</v>
      </c>
    </row>
    <row r="19" spans="2:5" ht="15.75">
      <c r="B19" s="735" t="s">
        <v>1011</v>
      </c>
      <c r="C19" s="67">
        <v>128254</v>
      </c>
      <c r="D19" s="67">
        <v>125000</v>
      </c>
      <c r="E19" s="67">
        <v>125000</v>
      </c>
    </row>
    <row r="20" spans="2:5" ht="15.75">
      <c r="B20" s="735" t="s">
        <v>985</v>
      </c>
      <c r="C20" s="67">
        <v>3200</v>
      </c>
      <c r="D20" s="67">
        <v>0</v>
      </c>
      <c r="E20" s="67">
        <v>0</v>
      </c>
    </row>
    <row r="21" spans="2:5" ht="15.75">
      <c r="B21" s="735" t="s">
        <v>978</v>
      </c>
      <c r="C21" s="67">
        <v>0</v>
      </c>
      <c r="D21" s="67">
        <v>0</v>
      </c>
      <c r="E21" s="67">
        <v>44884</v>
      </c>
    </row>
    <row r="22" spans="2:5" ht="15.75">
      <c r="B22" s="735" t="s">
        <v>943</v>
      </c>
      <c r="C22" s="67">
        <v>0</v>
      </c>
      <c r="D22" s="67">
        <v>0</v>
      </c>
      <c r="E22" s="67">
        <v>0</v>
      </c>
    </row>
    <row r="23" spans="2:5" ht="15.75">
      <c r="B23" s="271" t="s">
        <v>1128</v>
      </c>
      <c r="C23" s="67">
        <v>0</v>
      </c>
      <c r="D23" s="67">
        <v>0</v>
      </c>
      <c r="E23" s="67">
        <v>4000</v>
      </c>
    </row>
    <row r="24" spans="2:5" ht="15.75">
      <c r="B24" s="271"/>
      <c r="C24" s="67"/>
      <c r="D24" s="67"/>
      <c r="E24" s="67"/>
    </row>
    <row r="25" spans="2:5" ht="15.75">
      <c r="B25" s="272" t="s">
        <v>1203</v>
      </c>
      <c r="C25" s="67">
        <v>0</v>
      </c>
      <c r="D25" s="256">
        <v>0</v>
      </c>
      <c r="E25" s="256">
        <v>0</v>
      </c>
    </row>
    <row r="26" spans="2:5" ht="15.75">
      <c r="B26" s="272" t="s">
        <v>1153</v>
      </c>
      <c r="C26" s="297">
        <f>IF(C27*0.1&lt;C25,"Exceed 10% Rule","")</f>
      </c>
      <c r="D26" s="261">
        <f>IF(D27*0.1&lt;D25,"Exceed 10% Rule","")</f>
      </c>
      <c r="E26" s="261">
        <f>IF(E27*0.1&lt;E25,"Exceed 10% Rule","")</f>
      </c>
    </row>
    <row r="27" spans="2:5" ht="15.75">
      <c r="B27" s="262" t="s">
        <v>454</v>
      </c>
      <c r="C27" s="265">
        <f>SUM(C17:C25)</f>
        <v>163908</v>
      </c>
      <c r="D27" s="265">
        <f>SUM(D17:D25)</f>
        <v>154850</v>
      </c>
      <c r="E27" s="265">
        <f>SUM(E17:E25)</f>
        <v>204884</v>
      </c>
    </row>
    <row r="28" spans="2:5" ht="15.75">
      <c r="B28" s="150" t="s">
        <v>565</v>
      </c>
      <c r="C28" s="82">
        <f>C15-C27</f>
        <v>69234</v>
      </c>
      <c r="D28" s="82">
        <f>D15-D27</f>
        <v>58734</v>
      </c>
      <c r="E28" s="82">
        <f>E15-E27</f>
        <v>0</v>
      </c>
    </row>
    <row r="29" spans="2:5" ht="15.75">
      <c r="B29" s="136" t="str">
        <f>CONCATENATE("",E1-2,"/",E1-1," Budget Authority Amount:")</f>
        <v>2011/2012 Budget Authority Amount:</v>
      </c>
      <c r="C29" s="239">
        <f>inputOth!B73</f>
        <v>211227</v>
      </c>
      <c r="D29" s="239">
        <f>inputPrYr!D34</f>
        <v>191582</v>
      </c>
      <c r="E29" s="375">
        <f>IF(E28&lt;0,"See Tab E","")</f>
      </c>
    </row>
    <row r="30" spans="2:5" ht="15.75">
      <c r="B30" s="136"/>
      <c r="C30" s="275">
        <f>IF(C27&gt;C29,"See Tab A","")</f>
      </c>
      <c r="D30" s="275">
        <f>IF(D27&gt;D29,"See Tab C","")</f>
      </c>
      <c r="E30" s="97"/>
    </row>
    <row r="31" spans="2:5" ht="15.75">
      <c r="B31" s="136"/>
      <c r="C31" s="275">
        <f>IF(C28&lt;0,"See Tab B","")</f>
      </c>
      <c r="D31" s="275">
        <f>IF(D28&lt;0,"See Tab D","")</f>
      </c>
      <c r="E31" s="97"/>
    </row>
    <row r="32" spans="2:5" ht="15.75">
      <c r="B32" s="47"/>
      <c r="C32" s="97"/>
      <c r="D32" s="97"/>
      <c r="E32" s="97"/>
    </row>
    <row r="33" spans="2:5" ht="15.75">
      <c r="B33" s="52" t="s">
        <v>435</v>
      </c>
      <c r="C33" s="292"/>
      <c r="D33" s="292"/>
      <c r="E33" s="292"/>
    </row>
    <row r="34" spans="2:5" ht="15.75">
      <c r="B34" s="47"/>
      <c r="C34" s="704" t="s">
        <v>388</v>
      </c>
      <c r="D34" s="705" t="s">
        <v>389</v>
      </c>
      <c r="E34" s="144" t="s">
        <v>390</v>
      </c>
    </row>
    <row r="35" spans="2:5" ht="15.75">
      <c r="B35" s="529" t="str">
        <f>(inputPrYr!B35)</f>
        <v>Sewer Service - Fund 04</v>
      </c>
      <c r="C35" s="223" t="str">
        <f>CONCATENATE("Actual for ",$E$1-2,"")</f>
        <v>Actual for 2011</v>
      </c>
      <c r="D35" s="223" t="str">
        <f>CONCATENATE("Estimate for ",$E$1-1,"")</f>
        <v>Estimate for 2012</v>
      </c>
      <c r="E35" s="208" t="str">
        <f>CONCATENATE("Year for ",$E$1,"")</f>
        <v>Year for 2013</v>
      </c>
    </row>
    <row r="36" spans="2:5" ht="15.75">
      <c r="B36" s="250" t="s">
        <v>564</v>
      </c>
      <c r="C36" s="67">
        <v>89447</v>
      </c>
      <c r="D36" s="226">
        <f>C60</f>
        <v>90229</v>
      </c>
      <c r="E36" s="226">
        <f>D60</f>
        <v>97673</v>
      </c>
    </row>
    <row r="37" spans="2:5" ht="15.75">
      <c r="B37" s="254" t="s">
        <v>566</v>
      </c>
      <c r="C37" s="87"/>
      <c r="D37" s="87"/>
      <c r="E37" s="87"/>
    </row>
    <row r="38" spans="2:5" ht="15.75">
      <c r="B38" s="735" t="s">
        <v>1012</v>
      </c>
      <c r="C38" s="67">
        <f>189+651568</f>
        <v>651757</v>
      </c>
      <c r="D38" s="67">
        <v>650200</v>
      </c>
      <c r="E38" s="67">
        <f>685800+200</f>
        <v>686000</v>
      </c>
    </row>
    <row r="39" spans="2:5" ht="15.75">
      <c r="B39" s="735" t="s">
        <v>1013</v>
      </c>
      <c r="C39" s="67">
        <v>400</v>
      </c>
      <c r="D39" s="67">
        <v>600</v>
      </c>
      <c r="E39" s="67">
        <v>600</v>
      </c>
    </row>
    <row r="40" spans="2:5" ht="15.75">
      <c r="B40" s="735" t="s">
        <v>1014</v>
      </c>
      <c r="C40" s="67">
        <v>0</v>
      </c>
      <c r="D40" s="67">
        <v>0</v>
      </c>
      <c r="E40" s="67">
        <v>0</v>
      </c>
    </row>
    <row r="41" spans="2:5" ht="15.75">
      <c r="B41" s="735" t="s">
        <v>981</v>
      </c>
      <c r="C41" s="67">
        <v>5556</v>
      </c>
      <c r="D41" s="67">
        <v>6144</v>
      </c>
      <c r="E41" s="67">
        <v>2000</v>
      </c>
    </row>
    <row r="42" spans="2:5" ht="15.75">
      <c r="B42" s="735" t="s">
        <v>1129</v>
      </c>
      <c r="C42" s="67">
        <v>0</v>
      </c>
      <c r="D42" s="67">
        <v>0</v>
      </c>
      <c r="E42" s="67">
        <v>30000</v>
      </c>
    </row>
    <row r="43" spans="2:5" ht="15.75">
      <c r="B43" s="259" t="s">
        <v>442</v>
      </c>
      <c r="C43" s="67">
        <v>530</v>
      </c>
      <c r="D43" s="67">
        <v>600</v>
      </c>
      <c r="E43" s="67">
        <v>700</v>
      </c>
    </row>
    <row r="44" spans="2:5" ht="15.75">
      <c r="B44" s="159" t="s">
        <v>1203</v>
      </c>
      <c r="C44" s="67">
        <v>0</v>
      </c>
      <c r="D44" s="256">
        <v>0</v>
      </c>
      <c r="E44" s="256">
        <v>0</v>
      </c>
    </row>
    <row r="45" spans="2:5" ht="15.75">
      <c r="B45" s="250" t="s">
        <v>1152</v>
      </c>
      <c r="C45" s="297">
        <f>IF(C46*0.1&lt;C44,"Exceed 10% Rule","")</f>
      </c>
      <c r="D45" s="261">
        <f>IF(D46*0.1&lt;D44,"Exceed 10% Rule","")</f>
      </c>
      <c r="E45" s="261">
        <f>IF(E46*0.1&lt;E44,"Exceed 10% Rule","")</f>
      </c>
    </row>
    <row r="46" spans="2:5" ht="15.75">
      <c r="B46" s="262" t="s">
        <v>443</v>
      </c>
      <c r="C46" s="265">
        <f>SUM(C38:C44)</f>
        <v>658243</v>
      </c>
      <c r="D46" s="265">
        <f>SUM(D38:D44)</f>
        <v>657544</v>
      </c>
      <c r="E46" s="265">
        <f>SUM(E38:E44)</f>
        <v>719300</v>
      </c>
    </row>
    <row r="47" spans="2:5" ht="15.75">
      <c r="B47" s="262" t="s">
        <v>448</v>
      </c>
      <c r="C47" s="265">
        <f>C36+C46</f>
        <v>747690</v>
      </c>
      <c r="D47" s="265">
        <f>D36+D46</f>
        <v>747773</v>
      </c>
      <c r="E47" s="265">
        <f>E36+E46</f>
        <v>816973</v>
      </c>
    </row>
    <row r="48" spans="2:5" ht="15.75">
      <c r="B48" s="150" t="s">
        <v>450</v>
      </c>
      <c r="C48" s="226"/>
      <c r="D48" s="226"/>
      <c r="E48" s="226"/>
    </row>
    <row r="49" spans="2:5" ht="15.75">
      <c r="B49" s="735" t="s">
        <v>982</v>
      </c>
      <c r="C49" s="67">
        <f>97584+2512+73114+658+123347+468</f>
        <v>297683</v>
      </c>
      <c r="D49" s="67">
        <f>95000+61000+2000+135000+1000+2500</f>
        <v>296500</v>
      </c>
      <c r="E49" s="67">
        <f>102000+2500+56000+2000+150000+1000</f>
        <v>313500</v>
      </c>
    </row>
    <row r="50" spans="2:5" ht="15.75">
      <c r="B50" s="735" t="s">
        <v>1010</v>
      </c>
      <c r="C50" s="67">
        <f>21708+89333+28383</f>
        <v>139424</v>
      </c>
      <c r="D50" s="67">
        <f>2000+19500+3000+1300+3000+70000+10000+3000+1000+2250+1000+6500+3000</f>
        <v>125550</v>
      </c>
      <c r="E50" s="67">
        <f>2000+19750+3000+1300+3000+72000+10000+3000+1000+2250+1000+7000+3000</f>
        <v>128300</v>
      </c>
    </row>
    <row r="51" spans="2:5" ht="15.75">
      <c r="B51" s="735" t="s">
        <v>984</v>
      </c>
      <c r="C51" s="67">
        <f>4216+26855+28349</f>
        <v>59420</v>
      </c>
      <c r="D51" s="67">
        <f>1000+4500+200+17000+500+2500+2000+2500+800+1000+50+9000+1500+7000+2500+5000+8000+1000</f>
        <v>66050</v>
      </c>
      <c r="E51" s="67">
        <f>1000+4500+200+19000+500+2500+1500+2500+800+1000+50+8600+0+1500+8000+2500+5000+8000+800</f>
        <v>67950</v>
      </c>
    </row>
    <row r="52" spans="2:5" ht="15.75">
      <c r="B52" s="735" t="s">
        <v>985</v>
      </c>
      <c r="C52" s="67">
        <f>1273+39410</f>
        <v>40683</v>
      </c>
      <c r="D52" s="67">
        <f>1500+2500+1000+30000</f>
        <v>35000</v>
      </c>
      <c r="E52" s="67">
        <f>1500+3000+1000+40000</f>
        <v>45500</v>
      </c>
    </row>
    <row r="53" spans="2:5" ht="15.75">
      <c r="B53" s="735" t="s">
        <v>1015</v>
      </c>
      <c r="C53" s="67">
        <v>7000</v>
      </c>
      <c r="D53" s="67">
        <v>7000</v>
      </c>
      <c r="E53" s="67">
        <v>7000</v>
      </c>
    </row>
    <row r="54" spans="2:5" ht="15.75">
      <c r="B54" s="735" t="s">
        <v>1016</v>
      </c>
      <c r="C54" s="67">
        <v>0</v>
      </c>
      <c r="D54" s="67">
        <v>0</v>
      </c>
      <c r="E54" s="67">
        <v>10000</v>
      </c>
    </row>
    <row r="55" spans="2:5" ht="15.75">
      <c r="B55" s="735" t="s">
        <v>1017</v>
      </c>
      <c r="C55" s="67">
        <f>49440+22500+40600</f>
        <v>112540</v>
      </c>
      <c r="D55" s="67">
        <f>51500+22500+46000</f>
        <v>120000</v>
      </c>
      <c r="E55" s="67">
        <v>123000</v>
      </c>
    </row>
    <row r="56" spans="2:5" ht="15.75">
      <c r="B56" s="735" t="s">
        <v>978</v>
      </c>
      <c r="C56" s="67">
        <v>0</v>
      </c>
      <c r="D56" s="67">
        <v>0</v>
      </c>
      <c r="E56" s="67">
        <v>121723</v>
      </c>
    </row>
    <row r="57" spans="2:5" ht="15.75">
      <c r="B57" s="272" t="s">
        <v>1203</v>
      </c>
      <c r="C57" s="67">
        <f>672+39</f>
        <v>711</v>
      </c>
      <c r="D57" s="256">
        <v>0</v>
      </c>
      <c r="E57" s="256">
        <v>0</v>
      </c>
    </row>
    <row r="58" spans="2:5" ht="15.75">
      <c r="B58" s="272" t="s">
        <v>1153</v>
      </c>
      <c r="C58" s="297">
        <f>IF(C59*0.1&lt;C57,"Exceed 10% Rule","")</f>
      </c>
      <c r="D58" s="261">
        <f>IF(D59*0.1&lt;D57,"Exceed 10% Rule","")</f>
      </c>
      <c r="E58" s="261">
        <f>IF(E59*0.1&lt;E57,"Exceed 10% Rule","")</f>
      </c>
    </row>
    <row r="59" spans="2:5" ht="15.75">
      <c r="B59" s="262" t="s">
        <v>454</v>
      </c>
      <c r="C59" s="265">
        <f>SUM(C49:C57)</f>
        <v>657461</v>
      </c>
      <c r="D59" s="265">
        <f>SUM(D49:D57)</f>
        <v>650100</v>
      </c>
      <c r="E59" s="265">
        <f>SUM(E49:E57)</f>
        <v>816973</v>
      </c>
    </row>
    <row r="60" spans="2:7" ht="15.75">
      <c r="B60" s="150" t="s">
        <v>565</v>
      </c>
      <c r="C60" s="82">
        <f>C47-C59</f>
        <v>90229</v>
      </c>
      <c r="D60" s="82">
        <f>D47-D59</f>
        <v>97673</v>
      </c>
      <c r="E60" s="82">
        <f>E47-E59</f>
        <v>0</v>
      </c>
      <c r="G60" s="765"/>
    </row>
    <row r="61" spans="2:5" ht="15.75">
      <c r="B61" s="136" t="str">
        <f>CONCATENATE("",E1-2,"/",E1-1," Budget Authority Amount:")</f>
        <v>2011/2012 Budget Authority Amount:</v>
      </c>
      <c r="C61" s="239">
        <f>inputOth!B74</f>
        <v>764643</v>
      </c>
      <c r="D61" s="239">
        <f>inputPrYr!D35</f>
        <v>801217</v>
      </c>
      <c r="E61" s="375">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399" t="s">
        <v>457</v>
      </c>
      <c r="C65" s="280">
        <v>11</v>
      </c>
      <c r="D65" s="47"/>
      <c r="E65" s="47"/>
    </row>
  </sheetData>
  <sheetProtection/>
  <conditionalFormatting sqref="C12">
    <cfRule type="cellIs" priority="3" dxfId="305" operator="greaterThan" stopIfTrue="1">
      <formula>$C$14*0.1</formula>
    </cfRule>
  </conditionalFormatting>
  <conditionalFormatting sqref="D12">
    <cfRule type="cellIs" priority="4" dxfId="305" operator="greaterThan" stopIfTrue="1">
      <formula>$D$14*0.1</formula>
    </cfRule>
  </conditionalFormatting>
  <conditionalFormatting sqref="E12">
    <cfRule type="cellIs" priority="5" dxfId="305" operator="greaterThan" stopIfTrue="1">
      <formula>$E$14*0.1</formula>
    </cfRule>
  </conditionalFormatting>
  <conditionalFormatting sqref="C25">
    <cfRule type="cellIs" priority="6" dxfId="305" operator="greaterThan" stopIfTrue="1">
      <formula>$C$27*0.1</formula>
    </cfRule>
  </conditionalFormatting>
  <conditionalFormatting sqref="D25">
    <cfRule type="cellIs" priority="7" dxfId="305" operator="greaterThan" stopIfTrue="1">
      <formula>$D$27*0.1</formula>
    </cfRule>
  </conditionalFormatting>
  <conditionalFormatting sqref="E25">
    <cfRule type="cellIs" priority="8" dxfId="305" operator="greaterThan" stopIfTrue="1">
      <formula>$E$27*0.1</formula>
    </cfRule>
  </conditionalFormatting>
  <conditionalFormatting sqref="C44">
    <cfRule type="cellIs" priority="9" dxfId="305" operator="greaterThan" stopIfTrue="1">
      <formula>$C$46*0.1</formula>
    </cfRule>
  </conditionalFormatting>
  <conditionalFormatting sqref="D44">
    <cfRule type="cellIs" priority="10" dxfId="305" operator="greaterThan" stopIfTrue="1">
      <formula>$D$46*0.1</formula>
    </cfRule>
  </conditionalFormatting>
  <conditionalFormatting sqref="E44">
    <cfRule type="cellIs" priority="11" dxfId="305" operator="greaterThan" stopIfTrue="1">
      <formula>$E$46*0.1</formula>
    </cfRule>
  </conditionalFormatting>
  <conditionalFormatting sqref="C57">
    <cfRule type="cellIs" priority="12" dxfId="305" operator="greaterThan" stopIfTrue="1">
      <formula>$C$59*0.1</formula>
    </cfRule>
  </conditionalFormatting>
  <conditionalFormatting sqref="D57">
    <cfRule type="cellIs" priority="13" dxfId="305" operator="greaterThan" stopIfTrue="1">
      <formula>$D$59*0.1</formula>
    </cfRule>
  </conditionalFormatting>
  <conditionalFormatting sqref="E57">
    <cfRule type="cellIs" priority="14" dxfId="305"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28:E28 C60:E60">
    <cfRule type="cellIs" priority="17" dxfId="3" operator="lessThan" stopIfTrue="1">
      <formula>0</formula>
    </cfRule>
  </conditionalFormatting>
  <conditionalFormatting sqref="D27">
    <cfRule type="cellIs" priority="18" dxfId="3" operator="greaterThan" stopIfTrue="1">
      <formula>$D$29</formula>
    </cfRule>
  </conditionalFormatting>
  <conditionalFormatting sqref="C27">
    <cfRule type="cellIs" priority="19" dxfId="3" operator="greaterThan" stopIfTrue="1">
      <formula>$C$29</formula>
    </cfRule>
  </conditionalFormatting>
  <printOptions horizontalCentered="1"/>
  <pageMargins left="0.5" right="0.5" top="0.82" bottom="0.5" header="0.5" footer="0.5"/>
  <pageSetup blackAndWhite="1" fitToHeight="1" fitToWidth="1" horizontalDpi="120" verticalDpi="120" orientation="portrait" scale="7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G78"/>
  <sheetViews>
    <sheetView zoomScalePageLayoutView="0" workbookViewId="0" topLeftCell="A7">
      <selection activeCell="E63" sqref="E63"/>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t="str">
        <f>(inputPrYr!B36)</f>
        <v>Aquatics Center - Fund 07</v>
      </c>
      <c r="C5" s="223" t="str">
        <f>CONCATENATE("Actual for ",E1-2,"")</f>
        <v>Actual for 2011</v>
      </c>
      <c r="D5" s="223" t="str">
        <f>CONCATENATE("Estimate for ",E1-1,"")</f>
        <v>Estimate for 2012</v>
      </c>
      <c r="E5" s="208" t="str">
        <f>CONCATENATE("Year for ",E1,"")</f>
        <v>Year for 2013</v>
      </c>
    </row>
    <row r="6" spans="2:5" ht="15.75">
      <c r="B6" s="250" t="s">
        <v>564</v>
      </c>
      <c r="C6" s="67">
        <v>147810</v>
      </c>
      <c r="D6" s="226">
        <f>C34</f>
        <v>173612</v>
      </c>
      <c r="E6" s="226">
        <f>D34</f>
        <v>173986</v>
      </c>
    </row>
    <row r="7" spans="2:5" ht="15.75">
      <c r="B7" s="254" t="s">
        <v>566</v>
      </c>
      <c r="C7" s="87"/>
      <c r="D7" s="87"/>
      <c r="E7" s="87"/>
    </row>
    <row r="8" spans="2:5" ht="15.75">
      <c r="B8" s="735" t="s">
        <v>1018</v>
      </c>
      <c r="C8" s="67">
        <v>14270</v>
      </c>
      <c r="D8" s="67">
        <v>20745</v>
      </c>
      <c r="E8" s="67">
        <v>20000</v>
      </c>
    </row>
    <row r="9" spans="2:5" ht="15.75">
      <c r="B9" s="735" t="s">
        <v>1019</v>
      </c>
      <c r="C9" s="67">
        <v>34539</v>
      </c>
      <c r="D9" s="67">
        <v>37000</v>
      </c>
      <c r="E9" s="67">
        <v>35000</v>
      </c>
    </row>
    <row r="10" spans="2:5" ht="15.75">
      <c r="B10" s="735" t="s">
        <v>1020</v>
      </c>
      <c r="C10" s="67">
        <v>13500</v>
      </c>
      <c r="D10" s="67">
        <v>12000</v>
      </c>
      <c r="E10" s="67">
        <v>12000</v>
      </c>
    </row>
    <row r="11" spans="2:5" ht="15.75">
      <c r="B11" s="735" t="s">
        <v>1021</v>
      </c>
      <c r="C11" s="67">
        <v>18658</v>
      </c>
      <c r="D11" s="67">
        <v>20000</v>
      </c>
      <c r="E11" s="67">
        <v>20000</v>
      </c>
    </row>
    <row r="12" spans="2:5" ht="15.75">
      <c r="B12" s="735" t="s">
        <v>944</v>
      </c>
      <c r="C12" s="67">
        <v>3200</v>
      </c>
      <c r="D12" s="67">
        <v>4000</v>
      </c>
      <c r="E12" s="67">
        <v>4000</v>
      </c>
    </row>
    <row r="13" spans="2:5" ht="15.75">
      <c r="B13" s="735" t="s">
        <v>1022</v>
      </c>
      <c r="C13" s="67">
        <v>8600</v>
      </c>
      <c r="D13" s="67">
        <v>8000</v>
      </c>
      <c r="E13" s="67">
        <v>8000</v>
      </c>
    </row>
    <row r="14" spans="2:5" ht="15.75">
      <c r="B14" s="735" t="s">
        <v>981</v>
      </c>
      <c r="C14" s="67">
        <f>2663+287</f>
        <v>2950</v>
      </c>
      <c r="D14" s="67">
        <v>155</v>
      </c>
      <c r="E14" s="67">
        <v>0</v>
      </c>
    </row>
    <row r="15" spans="2:5" ht="15.75">
      <c r="B15" s="735" t="s">
        <v>1023</v>
      </c>
      <c r="C15" s="67">
        <v>1681</v>
      </c>
      <c r="D15" s="67">
        <v>1700</v>
      </c>
      <c r="E15" s="67">
        <v>1500</v>
      </c>
    </row>
    <row r="16" spans="2:5" ht="15.75">
      <c r="B16" s="735" t="s">
        <v>1024</v>
      </c>
      <c r="C16" s="67">
        <v>150000</v>
      </c>
      <c r="D16" s="67">
        <v>150000</v>
      </c>
      <c r="E16" s="67">
        <v>150000</v>
      </c>
    </row>
    <row r="17" spans="2:5" ht="15.75">
      <c r="B17" s="259" t="s">
        <v>442</v>
      </c>
      <c r="C17" s="67">
        <v>698</v>
      </c>
      <c r="D17" s="67">
        <v>500</v>
      </c>
      <c r="E17" s="67">
        <v>500</v>
      </c>
    </row>
    <row r="18" spans="2:5" ht="15.75">
      <c r="B18" s="159" t="s">
        <v>1203</v>
      </c>
      <c r="C18" s="67">
        <v>0</v>
      </c>
      <c r="D18" s="256">
        <v>0</v>
      </c>
      <c r="E18" s="256">
        <v>0</v>
      </c>
    </row>
    <row r="19" spans="2:5" ht="15.75">
      <c r="B19" s="250" t="s">
        <v>1152</v>
      </c>
      <c r="C19" s="297">
        <f>IF(C20*0.1&lt;C18,"Exceed 10% Rule","")</f>
      </c>
      <c r="D19" s="261">
        <f>IF(D20*0.1&lt;D18,"Exceed 10% Rule","")</f>
      </c>
      <c r="E19" s="261">
        <f>IF(E20*0.1&lt;E18,"Exceed 10% Rule","")</f>
      </c>
    </row>
    <row r="20" spans="2:5" ht="15.75">
      <c r="B20" s="262" t="s">
        <v>443</v>
      </c>
      <c r="C20" s="265">
        <f>SUM(C8:C18)</f>
        <v>248096</v>
      </c>
      <c r="D20" s="265">
        <f>SUM(D8:D18)</f>
        <v>254100</v>
      </c>
      <c r="E20" s="265">
        <f>SUM(E8:E18)</f>
        <v>251000</v>
      </c>
    </row>
    <row r="21" spans="2:5" ht="15.75">
      <c r="B21" s="262" t="s">
        <v>448</v>
      </c>
      <c r="C21" s="265">
        <f>C6+C20</f>
        <v>395906</v>
      </c>
      <c r="D21" s="265">
        <f>D6+D20</f>
        <v>427712</v>
      </c>
      <c r="E21" s="265">
        <f>E6+E20</f>
        <v>424986</v>
      </c>
    </row>
    <row r="22" spans="2:5" ht="15.75">
      <c r="B22" s="150" t="s">
        <v>450</v>
      </c>
      <c r="C22" s="226"/>
      <c r="D22" s="226"/>
      <c r="E22" s="226"/>
    </row>
    <row r="23" spans="2:5" ht="15.75">
      <c r="B23" s="735" t="s">
        <v>982</v>
      </c>
      <c r="C23" s="67">
        <f>44708+71920+5642+838</f>
        <v>123108</v>
      </c>
      <c r="D23" s="67">
        <f>46000+86000+4500+900</f>
        <v>137400</v>
      </c>
      <c r="E23" s="67">
        <f>48000+88000+5000+900</f>
        <v>141900</v>
      </c>
    </row>
    <row r="24" spans="2:5" ht="15.75">
      <c r="B24" s="735" t="s">
        <v>1010</v>
      </c>
      <c r="C24" s="67">
        <v>23699</v>
      </c>
      <c r="D24" s="67">
        <f>650+1100+1700+3946+16000+5000</f>
        <v>28396</v>
      </c>
      <c r="E24" s="67">
        <f>700+1500+1700+4800+18000+10000+200</f>
        <v>36900</v>
      </c>
    </row>
    <row r="25" spans="2:5" ht="15.75">
      <c r="B25" s="735" t="s">
        <v>984</v>
      </c>
      <c r="C25" s="67">
        <v>27134</v>
      </c>
      <c r="D25" s="67">
        <f>200+15000+1000+8000+200+2155+12000</f>
        <v>38555</v>
      </c>
      <c r="E25" s="67">
        <f>18000+2000+12000+300+2500+13000</f>
        <v>47800</v>
      </c>
    </row>
    <row r="26" spans="2:5" ht="15.75">
      <c r="B26" s="735" t="s">
        <v>985</v>
      </c>
      <c r="C26" s="67">
        <v>7020</v>
      </c>
      <c r="D26" s="67">
        <v>8075</v>
      </c>
      <c r="E26" s="67">
        <v>15000</v>
      </c>
    </row>
    <row r="27" spans="2:5" ht="15.75">
      <c r="B27" s="735" t="s">
        <v>1017</v>
      </c>
      <c r="C27" s="67">
        <v>39300</v>
      </c>
      <c r="D27" s="67">
        <v>39300</v>
      </c>
      <c r="E27" s="67">
        <v>39300</v>
      </c>
    </row>
    <row r="28" spans="2:5" ht="15.75">
      <c r="B28" s="735" t="s">
        <v>1023</v>
      </c>
      <c r="C28" s="67">
        <v>1700</v>
      </c>
      <c r="D28" s="67">
        <v>2000</v>
      </c>
      <c r="E28" s="67">
        <v>2000</v>
      </c>
    </row>
    <row r="29" spans="2:5" ht="15.75">
      <c r="B29" s="735" t="s">
        <v>1025</v>
      </c>
      <c r="C29" s="67">
        <v>333</v>
      </c>
      <c r="D29" s="67">
        <v>0</v>
      </c>
      <c r="E29" s="67">
        <v>0</v>
      </c>
    </row>
    <row r="30" spans="2:5" ht="15.75">
      <c r="B30" s="735" t="s">
        <v>978</v>
      </c>
      <c r="C30" s="67">
        <v>0</v>
      </c>
      <c r="D30" s="67">
        <v>0</v>
      </c>
      <c r="E30" s="67">
        <v>142086</v>
      </c>
    </row>
    <row r="31" spans="2:5" ht="15.75">
      <c r="B31" s="272" t="s">
        <v>1203</v>
      </c>
      <c r="C31" s="67">
        <v>0</v>
      </c>
      <c r="D31" s="256">
        <v>0</v>
      </c>
      <c r="E31" s="256">
        <v>0</v>
      </c>
    </row>
    <row r="32" spans="2:5" ht="15.75">
      <c r="B32" s="272" t="s">
        <v>1153</v>
      </c>
      <c r="C32" s="297">
        <f>IF(C33*0.1&lt;C31,"Exceed 10% Rule","")</f>
      </c>
      <c r="D32" s="261">
        <f>IF(D33*0.1&lt;D31,"Exceed 10% Rule","")</f>
      </c>
      <c r="E32" s="261">
        <f>IF(E33*0.1&lt;E31,"Exceed 10% Rule","")</f>
      </c>
    </row>
    <row r="33" spans="2:7" ht="15.75">
      <c r="B33" s="262" t="s">
        <v>454</v>
      </c>
      <c r="C33" s="265">
        <f>SUM(C23:C31)</f>
        <v>222294</v>
      </c>
      <c r="D33" s="265">
        <f>SUM(D23:D31)</f>
        <v>253726</v>
      </c>
      <c r="E33" s="265">
        <f>SUM(E23:E31)</f>
        <v>424986</v>
      </c>
      <c r="G33" s="765"/>
    </row>
    <row r="34" spans="2:5" ht="15.75">
      <c r="B34" s="150" t="s">
        <v>565</v>
      </c>
      <c r="C34" s="82">
        <f>C21-C33</f>
        <v>173612</v>
      </c>
      <c r="D34" s="82">
        <f>D21-D33</f>
        <v>173986</v>
      </c>
      <c r="E34" s="82">
        <f>E21-E33</f>
        <v>0</v>
      </c>
    </row>
    <row r="35" spans="2:5" ht="15.75">
      <c r="B35" s="136" t="str">
        <f>CONCATENATE("",E1-2,"/",E1-1," Budget Authority Amount:")</f>
        <v>2011/2012 Budget Authority Amount:</v>
      </c>
      <c r="C35" s="239">
        <f>inputOth!B75</f>
        <v>360909</v>
      </c>
      <c r="D35" s="239">
        <f>inputPrYr!D36</f>
        <v>384840</v>
      </c>
      <c r="E35" s="375">
        <f>IF(E34&lt;0,"See Tab E","")</f>
      </c>
    </row>
    <row r="36" spans="2:5" ht="15.75">
      <c r="B36" s="136"/>
      <c r="C36" s="275">
        <f>IF(C33&gt;C35,"See Tab A","")</f>
      </c>
      <c r="D36" s="275">
        <f>IF(D33&gt;D35,"See Tab C","")</f>
      </c>
      <c r="E36" s="97"/>
    </row>
    <row r="37" spans="2:5" ht="15.75">
      <c r="B37" s="136"/>
      <c r="C37" s="275">
        <f>IF(C34&lt;0,"See Tab B","")</f>
      </c>
      <c r="D37" s="275">
        <f>IF(D34&lt;0,"See Tab D","")</f>
      </c>
      <c r="E37" s="97"/>
    </row>
    <row r="38" spans="2:5" ht="15.75">
      <c r="B38" s="47"/>
      <c r="C38" s="97"/>
      <c r="D38" s="97"/>
      <c r="E38" s="97"/>
    </row>
    <row r="39" spans="2:5" ht="15.75">
      <c r="B39" s="52" t="s">
        <v>435</v>
      </c>
      <c r="C39" s="292"/>
      <c r="D39" s="292"/>
      <c r="E39" s="292"/>
    </row>
    <row r="40" spans="2:5" ht="15.75">
      <c r="B40" s="47"/>
      <c r="C40" s="704" t="s">
        <v>388</v>
      </c>
      <c r="D40" s="705" t="s">
        <v>389</v>
      </c>
      <c r="E40" s="144" t="s">
        <v>390</v>
      </c>
    </row>
    <row r="41" spans="2:5" ht="15.75">
      <c r="B41" s="529" t="str">
        <f>(inputPrYr!B37)</f>
        <v>Community Center - Fund 08</v>
      </c>
      <c r="C41" s="223" t="str">
        <f>CONCATENATE("Actual for ",$E$1-2,"")</f>
        <v>Actual for 2011</v>
      </c>
      <c r="D41" s="223" t="str">
        <f>CONCATENATE("Estimate for ",$E$1-1,"")</f>
        <v>Estimate for 2012</v>
      </c>
      <c r="E41" s="208" t="str">
        <f>CONCATENATE("Year for ",$E$1,"")</f>
        <v>Year for 2013</v>
      </c>
    </row>
    <row r="42" spans="2:5" ht="15.75">
      <c r="B42" s="250" t="s">
        <v>564</v>
      </c>
      <c r="C42" s="67">
        <v>37063</v>
      </c>
      <c r="D42" s="226">
        <f>C73</f>
        <v>39007</v>
      </c>
      <c r="E42" s="226">
        <f>D73</f>
        <v>34497</v>
      </c>
    </row>
    <row r="43" spans="2:5" ht="15.75">
      <c r="B43" s="254" t="s">
        <v>566</v>
      </c>
      <c r="C43" s="87"/>
      <c r="D43" s="87"/>
      <c r="E43" s="87"/>
    </row>
    <row r="44" spans="2:5" ht="15.75">
      <c r="B44" s="735" t="s">
        <v>1026</v>
      </c>
      <c r="C44" s="67">
        <v>3155</v>
      </c>
      <c r="D44" s="67">
        <v>2700</v>
      </c>
      <c r="E44" s="67">
        <v>3000</v>
      </c>
    </row>
    <row r="45" spans="2:5" ht="15.75">
      <c r="B45" s="735" t="s">
        <v>948</v>
      </c>
      <c r="C45" s="67">
        <v>10400</v>
      </c>
      <c r="D45" s="67">
        <v>9000</v>
      </c>
      <c r="E45" s="67">
        <v>7500</v>
      </c>
    </row>
    <row r="46" spans="2:5" ht="15.75">
      <c r="B46" s="735" t="s">
        <v>1021</v>
      </c>
      <c r="C46" s="67">
        <v>931</v>
      </c>
      <c r="D46" s="67">
        <v>750</v>
      </c>
      <c r="E46" s="67">
        <v>1000</v>
      </c>
    </row>
    <row r="47" spans="2:5" ht="15.75">
      <c r="B47" s="735" t="s">
        <v>944</v>
      </c>
      <c r="C47" s="67">
        <v>16537</v>
      </c>
      <c r="D47" s="67">
        <v>16000</v>
      </c>
      <c r="E47" s="67">
        <v>15000</v>
      </c>
    </row>
    <row r="48" spans="2:5" ht="15.75">
      <c r="B48" s="735" t="s">
        <v>981</v>
      </c>
      <c r="C48" s="67">
        <v>1763</v>
      </c>
      <c r="D48" s="67">
        <v>2000</v>
      </c>
      <c r="E48" s="67">
        <v>1500</v>
      </c>
    </row>
    <row r="49" spans="2:5" ht="15.75">
      <c r="B49" s="735" t="s">
        <v>947</v>
      </c>
      <c r="C49" s="67">
        <v>0</v>
      </c>
      <c r="D49" s="67">
        <v>0</v>
      </c>
      <c r="E49" s="67">
        <v>1000</v>
      </c>
    </row>
    <row r="50" spans="2:5" ht="15.75">
      <c r="B50" s="735" t="s">
        <v>1027</v>
      </c>
      <c r="C50" s="67">
        <f>4433+6658</f>
        <v>11091</v>
      </c>
      <c r="D50" s="67">
        <v>8500</v>
      </c>
      <c r="E50" s="67">
        <v>10000</v>
      </c>
    </row>
    <row r="51" spans="2:5" ht="15.75">
      <c r="B51" s="735" t="s">
        <v>1028</v>
      </c>
      <c r="C51" s="67">
        <v>0</v>
      </c>
      <c r="D51" s="67">
        <v>0</v>
      </c>
      <c r="E51" s="67">
        <v>0</v>
      </c>
    </row>
    <row r="52" spans="2:5" ht="15.75">
      <c r="B52" s="735" t="s">
        <v>1023</v>
      </c>
      <c r="C52" s="67">
        <v>82</v>
      </c>
      <c r="D52" s="67">
        <v>50</v>
      </c>
      <c r="E52" s="67">
        <v>50</v>
      </c>
    </row>
    <row r="53" spans="2:5" ht="15.75">
      <c r="B53" s="735" t="s">
        <v>1029</v>
      </c>
      <c r="C53" s="67">
        <v>78000</v>
      </c>
      <c r="D53" s="67">
        <v>78000</v>
      </c>
      <c r="E53" s="67">
        <v>78000</v>
      </c>
    </row>
    <row r="54" spans="2:5" ht="15.75">
      <c r="B54" s="259" t="s">
        <v>442</v>
      </c>
      <c r="C54" s="67">
        <v>239</v>
      </c>
      <c r="D54" s="67">
        <v>200</v>
      </c>
      <c r="E54" s="67">
        <v>200</v>
      </c>
    </row>
    <row r="55" spans="2:5" ht="15.75">
      <c r="B55" s="159" t="s">
        <v>1203</v>
      </c>
      <c r="C55" s="67">
        <v>0</v>
      </c>
      <c r="D55" s="256">
        <v>0</v>
      </c>
      <c r="E55" s="256">
        <v>0</v>
      </c>
    </row>
    <row r="56" spans="2:5" ht="15.75">
      <c r="B56" s="250" t="s">
        <v>1152</v>
      </c>
      <c r="C56" s="297">
        <f>IF(C57*0.1&lt;C55,"Exceed 10% Rule","")</f>
      </c>
      <c r="D56" s="261">
        <f>IF(D57*0.1&lt;D55,"Exceed 10% Rule","")</f>
      </c>
      <c r="E56" s="261">
        <f>IF(E57*0.1&lt;E55,"Exceed 10% Rule","")</f>
      </c>
    </row>
    <row r="57" spans="2:5" ht="15.75">
      <c r="B57" s="262" t="s">
        <v>443</v>
      </c>
      <c r="C57" s="265">
        <f>SUM(C44:C55)</f>
        <v>122198</v>
      </c>
      <c r="D57" s="265">
        <f>SUM(D44:D55)</f>
        <v>117200</v>
      </c>
      <c r="E57" s="265">
        <f>SUM(E44:E55)</f>
        <v>117250</v>
      </c>
    </row>
    <row r="58" spans="2:7" ht="15.75">
      <c r="B58" s="262" t="s">
        <v>448</v>
      </c>
      <c r="C58" s="265">
        <f>C42+C57</f>
        <v>159261</v>
      </c>
      <c r="D58" s="265">
        <f>D42+D57</f>
        <v>156207</v>
      </c>
      <c r="E58" s="265">
        <f>E42+E57</f>
        <v>151747</v>
      </c>
      <c r="G58" s="765"/>
    </row>
    <row r="59" spans="2:5" ht="15.75">
      <c r="B59" s="150" t="s">
        <v>450</v>
      </c>
      <c r="C59" s="226"/>
      <c r="D59" s="226"/>
      <c r="E59" s="226"/>
    </row>
    <row r="60" spans="2:5" ht="15.75">
      <c r="B60" s="735" t="s">
        <v>982</v>
      </c>
      <c r="C60" s="67">
        <f>43800+10601</f>
        <v>54401</v>
      </c>
      <c r="D60" s="67">
        <f>45448+9000+3000</f>
        <v>57448</v>
      </c>
      <c r="E60" s="67">
        <f>47000+10000+3000</f>
        <v>60000</v>
      </c>
    </row>
    <row r="61" spans="2:5" ht="15.75">
      <c r="B61" s="735" t="s">
        <v>978</v>
      </c>
      <c r="C61" s="67">
        <v>0</v>
      </c>
      <c r="D61" s="67">
        <v>0</v>
      </c>
      <c r="E61" s="67">
        <v>19547</v>
      </c>
    </row>
    <row r="62" spans="2:5" ht="15.75">
      <c r="B62" s="735" t="s">
        <v>1010</v>
      </c>
      <c r="C62" s="67">
        <f>35651-173</f>
        <v>35478</v>
      </c>
      <c r="D62" s="67">
        <v>37997</v>
      </c>
      <c r="E62" s="67">
        <f>1600+750+2500+5500+15000+4000+13000</f>
        <v>42350</v>
      </c>
    </row>
    <row r="63" spans="2:5" ht="15.75">
      <c r="B63" s="735" t="s">
        <v>984</v>
      </c>
      <c r="C63" s="67">
        <v>8959</v>
      </c>
      <c r="D63" s="67">
        <v>6450</v>
      </c>
      <c r="E63" s="67">
        <f>400+2000+1200+3000+500+500</f>
        <v>7600</v>
      </c>
    </row>
    <row r="64" spans="2:5" ht="15.75">
      <c r="B64" s="735" t="s">
        <v>985</v>
      </c>
      <c r="C64" s="67">
        <v>0</v>
      </c>
      <c r="D64" s="67">
        <v>1050</v>
      </c>
      <c r="E64" s="67">
        <v>2000</v>
      </c>
    </row>
    <row r="65" spans="2:5" ht="15.75">
      <c r="B65" s="735" t="s">
        <v>1030</v>
      </c>
      <c r="C65" s="67">
        <v>4515</v>
      </c>
      <c r="D65" s="67">
        <v>1940</v>
      </c>
      <c r="E65" s="67">
        <v>2200</v>
      </c>
    </row>
    <row r="66" spans="2:5" ht="15.75">
      <c r="B66" s="735" t="s">
        <v>1017</v>
      </c>
      <c r="C66" s="67">
        <v>15000</v>
      </c>
      <c r="D66" s="67">
        <v>15000</v>
      </c>
      <c r="E66" s="67">
        <v>16000</v>
      </c>
    </row>
    <row r="67" spans="2:5" ht="15.75">
      <c r="B67" s="735" t="s">
        <v>1023</v>
      </c>
      <c r="C67" s="67">
        <v>69</v>
      </c>
      <c r="D67" s="67">
        <v>75</v>
      </c>
      <c r="E67" s="67">
        <v>100</v>
      </c>
    </row>
    <row r="68" spans="2:5" ht="15.75">
      <c r="B68" s="735" t="s">
        <v>1072</v>
      </c>
      <c r="C68" s="67">
        <v>1569</v>
      </c>
      <c r="D68" s="67">
        <v>1700</v>
      </c>
      <c r="E68" s="67">
        <v>1700</v>
      </c>
    </row>
    <row r="69" spans="2:5" ht="15.75">
      <c r="B69" s="735" t="s">
        <v>1025</v>
      </c>
      <c r="C69" s="67">
        <v>228</v>
      </c>
      <c r="D69" s="67">
        <v>50</v>
      </c>
      <c r="E69" s="67">
        <v>150</v>
      </c>
    </row>
    <row r="70" spans="2:5" ht="15.75">
      <c r="B70" s="272" t="s">
        <v>1203</v>
      </c>
      <c r="C70" s="67">
        <v>35</v>
      </c>
      <c r="D70" s="256">
        <v>0</v>
      </c>
      <c r="E70" s="256">
        <v>100</v>
      </c>
    </row>
    <row r="71" spans="2:5" ht="15.75">
      <c r="B71" s="272" t="s">
        <v>1153</v>
      </c>
      <c r="C71" s="297">
        <f>IF(C72*0.1&lt;C70,"Exceed 10% Rule","")</f>
      </c>
      <c r="D71" s="261">
        <f>IF(D72*0.1&lt;D70,"Exceed 10% Rule","")</f>
      </c>
      <c r="E71" s="261">
        <f>IF(E72*0.1&lt;E70,"Exceed 10% Rule","")</f>
      </c>
    </row>
    <row r="72" spans="2:6" ht="15.75">
      <c r="B72" s="262" t="s">
        <v>454</v>
      </c>
      <c r="C72" s="265">
        <f>SUM(C60:C70)</f>
        <v>120254</v>
      </c>
      <c r="D72" s="265">
        <f>SUM(D60:D70)</f>
        <v>121710</v>
      </c>
      <c r="E72" s="265">
        <f>SUM(E60:E70)</f>
        <v>151747</v>
      </c>
      <c r="F72" s="765"/>
    </row>
    <row r="73" spans="2:7" ht="15.75">
      <c r="B73" s="150" t="s">
        <v>565</v>
      </c>
      <c r="C73" s="82">
        <f>C58-C72</f>
        <v>39007</v>
      </c>
      <c r="D73" s="82">
        <f>D58-D72</f>
        <v>34497</v>
      </c>
      <c r="E73" s="82">
        <f>E58-E72</f>
        <v>0</v>
      </c>
      <c r="G73" s="765"/>
    </row>
    <row r="74" spans="2:5" ht="15.75">
      <c r="B74" s="136" t="str">
        <f>CONCATENATE("",E1-2,"/",E1-1," Budget Authority Amount:")</f>
        <v>2011/2012 Budget Authority Amount:</v>
      </c>
      <c r="C74" s="239">
        <f>inputOth!B76</f>
        <v>152766</v>
      </c>
      <c r="D74" s="239">
        <f>inputPrYr!D37</f>
        <v>160071</v>
      </c>
      <c r="E74" s="375">
        <f>IF(E73&lt;0,"See Tab E","")</f>
      </c>
    </row>
    <row r="75" spans="2:5" ht="15.75">
      <c r="B75" s="136"/>
      <c r="C75" s="275">
        <f>IF(C72&gt;C74,"See Tab A","")</f>
      </c>
      <c r="D75" s="275">
        <f>IF(D72&gt;D74,"See Tab C","")</f>
      </c>
      <c r="E75" s="47"/>
    </row>
    <row r="76" spans="2:5" ht="15.75">
      <c r="B76" s="136"/>
      <c r="C76" s="275">
        <f>IF(C73&lt;0,"See Tab B","")</f>
      </c>
      <c r="D76" s="275">
        <f>IF(D73&lt;0,"See Tab D","")</f>
      </c>
      <c r="E76" s="47"/>
    </row>
    <row r="77" spans="2:5" ht="15.75">
      <c r="B77" s="47"/>
      <c r="C77" s="47"/>
      <c r="D77" s="47"/>
      <c r="E77" s="47"/>
    </row>
    <row r="78" spans="2:5" ht="15.75">
      <c r="B78" s="399" t="s">
        <v>457</v>
      </c>
      <c r="C78" s="280">
        <v>12</v>
      </c>
      <c r="D78" s="47"/>
      <c r="E78" s="47"/>
    </row>
  </sheetData>
  <sheetProtection/>
  <conditionalFormatting sqref="C18">
    <cfRule type="cellIs" priority="3" dxfId="305" operator="greaterThan" stopIfTrue="1">
      <formula>$C$20*0.1</formula>
    </cfRule>
  </conditionalFormatting>
  <conditionalFormatting sqref="D18">
    <cfRule type="cellIs" priority="4" dxfId="305" operator="greaterThan" stopIfTrue="1">
      <formula>$D$20*0.1</formula>
    </cfRule>
  </conditionalFormatting>
  <conditionalFormatting sqref="E18">
    <cfRule type="cellIs" priority="5" dxfId="305" operator="greaterThan" stopIfTrue="1">
      <formula>$E$20*0.1</formula>
    </cfRule>
  </conditionalFormatting>
  <conditionalFormatting sqref="C31">
    <cfRule type="cellIs" priority="6" dxfId="305" operator="greaterThan" stopIfTrue="1">
      <formula>$C$33*0.1</formula>
    </cfRule>
  </conditionalFormatting>
  <conditionalFormatting sqref="D31">
    <cfRule type="cellIs" priority="7" dxfId="305" operator="greaterThan" stopIfTrue="1">
      <formula>$D$33*0.1</formula>
    </cfRule>
  </conditionalFormatting>
  <conditionalFormatting sqref="E31">
    <cfRule type="cellIs" priority="8" dxfId="305" operator="greaterThan" stopIfTrue="1">
      <formula>$E$33*0.1</formula>
    </cfRule>
  </conditionalFormatting>
  <conditionalFormatting sqref="C55">
    <cfRule type="cellIs" priority="9" dxfId="305" operator="greaterThan" stopIfTrue="1">
      <formula>$C$57*0.1</formula>
    </cfRule>
  </conditionalFormatting>
  <conditionalFormatting sqref="D55">
    <cfRule type="cellIs" priority="10" dxfId="305" operator="greaterThan" stopIfTrue="1">
      <formula>$D$57*0.1</formula>
    </cfRule>
  </conditionalFormatting>
  <conditionalFormatting sqref="E55">
    <cfRule type="cellIs" priority="11" dxfId="305" operator="greaterThan" stopIfTrue="1">
      <formula>$E$57*0.1</formula>
    </cfRule>
  </conditionalFormatting>
  <conditionalFormatting sqref="C70">
    <cfRule type="cellIs" priority="12" dxfId="305" operator="greaterThan" stopIfTrue="1">
      <formula>$C$72*0.1</formula>
    </cfRule>
  </conditionalFormatting>
  <conditionalFormatting sqref="D70">
    <cfRule type="cellIs" priority="13" dxfId="305" operator="greaterThan" stopIfTrue="1">
      <formula>$D$72*0.1</formula>
    </cfRule>
  </conditionalFormatting>
  <conditionalFormatting sqref="E70">
    <cfRule type="cellIs" priority="14" dxfId="305" operator="greaterThan" stopIfTrue="1">
      <formula>$E$72*0.1</formula>
    </cfRule>
  </conditionalFormatting>
  <conditionalFormatting sqref="D72">
    <cfRule type="cellIs" priority="15" dxfId="3" operator="greaterThan" stopIfTrue="1">
      <formula>$D$74</formula>
    </cfRule>
  </conditionalFormatting>
  <conditionalFormatting sqref="C72">
    <cfRule type="cellIs" priority="16" dxfId="3" operator="greaterThan" stopIfTrue="1">
      <formula>$C$74</formula>
    </cfRule>
  </conditionalFormatting>
  <conditionalFormatting sqref="C73:E73 C34:E34">
    <cfRule type="cellIs" priority="17" dxfId="3" operator="lessThan" stopIfTrue="1">
      <formula>0</formula>
    </cfRule>
  </conditionalFormatting>
  <conditionalFormatting sqref="D33">
    <cfRule type="cellIs" priority="18" dxfId="3" operator="greaterThan" stopIfTrue="1">
      <formula>$D$35</formula>
    </cfRule>
  </conditionalFormatting>
  <conditionalFormatting sqref="C33">
    <cfRule type="cellIs" priority="19" dxfId="3" operator="greaterThan" stopIfTrue="1">
      <formula>$C$35</formula>
    </cfRule>
  </conditionalFormatting>
  <printOptions horizontalCentered="1"/>
  <pageMargins left="0.5" right="0.5" top="0.77" bottom="0.5" header="0.5" footer="0.5"/>
  <pageSetup blackAndWhite="1" fitToHeight="1" fitToWidth="1" horizontalDpi="120" verticalDpi="120" orientation="portrait" scale="6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F66"/>
  <sheetViews>
    <sheetView zoomScalePageLayoutView="0" workbookViewId="0" topLeftCell="A40">
      <selection activeCell="E32" sqref="E32"/>
    </sheetView>
  </sheetViews>
  <sheetFormatPr defaultColWidth="8.796875" defaultRowHeight="15"/>
  <cols>
    <col min="1" max="1" width="2.3984375" style="45" customWidth="1"/>
    <col min="2" max="2" width="34" style="45" customWidth="1"/>
    <col min="3" max="4" width="15.796875" style="45" customWidth="1"/>
    <col min="5" max="5" width="16.09765625" style="45" customWidth="1"/>
    <col min="6"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t="str">
        <f>(inputPrYr!B38)</f>
        <v>Water Utility - Fund 09</v>
      </c>
      <c r="C5" s="223" t="str">
        <f>CONCATENATE("Actual for ",E1-2,"")</f>
        <v>Actual for 2011</v>
      </c>
      <c r="D5" s="223" t="str">
        <f>CONCATENATE("Estimate for ",E1-1,"")</f>
        <v>Estimate for 2012</v>
      </c>
      <c r="E5" s="208" t="str">
        <f>CONCATENATE("Year for ",E1,"")</f>
        <v>Year for 2013</v>
      </c>
    </row>
    <row r="6" spans="2:5" ht="15.75">
      <c r="B6" s="250" t="s">
        <v>564</v>
      </c>
      <c r="C6" s="67">
        <v>242338</v>
      </c>
      <c r="D6" s="226">
        <f>C35</f>
        <v>237147</v>
      </c>
      <c r="E6" s="226">
        <f>D35</f>
        <v>286997</v>
      </c>
    </row>
    <row r="7" spans="2:5" ht="15.75">
      <c r="B7" s="254" t="s">
        <v>566</v>
      </c>
      <c r="C7" s="87"/>
      <c r="D7" s="87"/>
      <c r="E7" s="87"/>
    </row>
    <row r="8" spans="2:5" ht="15.75">
      <c r="B8" s="735" t="s">
        <v>1031</v>
      </c>
      <c r="C8" s="67">
        <v>1675892</v>
      </c>
      <c r="D8" s="67">
        <v>1872000</v>
      </c>
      <c r="E8" s="67">
        <v>1943440</v>
      </c>
    </row>
    <row r="9" spans="2:5" ht="15.75">
      <c r="B9" s="735" t="s">
        <v>1032</v>
      </c>
      <c r="C9" s="67">
        <v>33155</v>
      </c>
      <c r="D9" s="67">
        <v>33000</v>
      </c>
      <c r="E9" s="67">
        <v>33000</v>
      </c>
    </row>
    <row r="10" spans="2:5" ht="15.75">
      <c r="B10" s="735" t="s">
        <v>1033</v>
      </c>
      <c r="C10" s="67">
        <v>10538</v>
      </c>
      <c r="D10" s="67">
        <v>12000</v>
      </c>
      <c r="E10" s="67">
        <v>12000</v>
      </c>
    </row>
    <row r="11" spans="2:5" ht="15.75">
      <c r="B11" s="735" t="s">
        <v>1034</v>
      </c>
      <c r="C11" s="67">
        <v>3000</v>
      </c>
      <c r="D11" s="67">
        <v>15000</v>
      </c>
      <c r="E11" s="67">
        <v>15000</v>
      </c>
    </row>
    <row r="12" spans="2:5" ht="15.75">
      <c r="B12" s="735" t="s">
        <v>1014</v>
      </c>
      <c r="C12" s="67">
        <v>7320</v>
      </c>
      <c r="D12" s="67">
        <v>7500</v>
      </c>
      <c r="E12" s="67">
        <v>7500</v>
      </c>
    </row>
    <row r="13" spans="2:5" ht="15.75">
      <c r="B13" s="735" t="s">
        <v>944</v>
      </c>
      <c r="C13" s="67">
        <v>1300</v>
      </c>
      <c r="D13" s="67">
        <v>1000</v>
      </c>
      <c r="E13" s="67">
        <v>1000</v>
      </c>
    </row>
    <row r="14" spans="2:5" ht="15.75">
      <c r="B14" s="735" t="s">
        <v>1023</v>
      </c>
      <c r="C14" s="67">
        <v>27961</v>
      </c>
      <c r="D14" s="67">
        <v>23000</v>
      </c>
      <c r="E14" s="67">
        <v>26000</v>
      </c>
    </row>
    <row r="15" spans="2:5" ht="15.75">
      <c r="B15" s="735" t="s">
        <v>981</v>
      </c>
      <c r="C15" s="67">
        <f>71630+1021-23</f>
        <v>72628</v>
      </c>
      <c r="D15" s="67">
        <f>56000+8000</f>
        <v>64000</v>
      </c>
      <c r="E15" s="67">
        <v>65000</v>
      </c>
    </row>
    <row r="16" spans="2:5" ht="15.75">
      <c r="B16" s="735" t="s">
        <v>1035</v>
      </c>
      <c r="C16" s="67">
        <v>0</v>
      </c>
      <c r="D16" s="67">
        <v>0</v>
      </c>
      <c r="E16" s="67">
        <v>0</v>
      </c>
    </row>
    <row r="17" spans="2:5" ht="15.75">
      <c r="B17" s="259" t="s">
        <v>442</v>
      </c>
      <c r="C17" s="67">
        <v>1412</v>
      </c>
      <c r="D17" s="67">
        <v>1000</v>
      </c>
      <c r="E17" s="67">
        <v>1000</v>
      </c>
    </row>
    <row r="18" spans="2:5" ht="15.75">
      <c r="B18" s="159" t="s">
        <v>1203</v>
      </c>
      <c r="C18" s="67">
        <v>0</v>
      </c>
      <c r="D18" s="256">
        <v>0</v>
      </c>
      <c r="E18" s="256">
        <v>0</v>
      </c>
    </row>
    <row r="19" spans="2:5" ht="15.75">
      <c r="B19" s="250" t="s">
        <v>1152</v>
      </c>
      <c r="C19" s="297">
        <f>IF(C20*0.1&lt;C18,"Exceed 10% Rule","")</f>
      </c>
      <c r="D19" s="261">
        <f>IF(D20*0.1&lt;D18,"Exceed 10% Rule","")</f>
      </c>
      <c r="E19" s="261">
        <f>IF(E20*0.1&lt;E18,"Exceed 10% Rule","")</f>
      </c>
    </row>
    <row r="20" spans="2:5" ht="15.75">
      <c r="B20" s="262" t="s">
        <v>443</v>
      </c>
      <c r="C20" s="265">
        <f>SUM(C8:C18)</f>
        <v>1833206</v>
      </c>
      <c r="D20" s="265">
        <f>SUM(D8:D18)</f>
        <v>2028500</v>
      </c>
      <c r="E20" s="265">
        <f>SUM(E8:E18)</f>
        <v>2103940</v>
      </c>
    </row>
    <row r="21" spans="2:5" ht="15.75">
      <c r="B21" s="262" t="s">
        <v>448</v>
      </c>
      <c r="C21" s="265">
        <f>C6+C20</f>
        <v>2075544</v>
      </c>
      <c r="D21" s="265">
        <f>D6+D20</f>
        <v>2265647</v>
      </c>
      <c r="E21" s="265">
        <f>E6+E20</f>
        <v>2390937</v>
      </c>
    </row>
    <row r="22" spans="2:5" ht="15.75">
      <c r="B22" s="150" t="s">
        <v>450</v>
      </c>
      <c r="C22" s="226"/>
      <c r="D22" s="226"/>
      <c r="E22" s="226"/>
    </row>
    <row r="23" spans="2:5" ht="15.75">
      <c r="B23" s="735" t="s">
        <v>982</v>
      </c>
      <c r="C23" s="67">
        <f>76292+2512+46350+431+104442+433</f>
        <v>230460</v>
      </c>
      <c r="D23" s="67">
        <f>80000+100+2500+47000+2000+90000+2000</f>
        <v>223600</v>
      </c>
      <c r="E23" s="67">
        <f>83500+100+2500+49000+2000+93600+1800</f>
        <v>232500</v>
      </c>
    </row>
    <row r="24" spans="2:5" ht="15.75">
      <c r="B24" s="735" t="s">
        <v>1010</v>
      </c>
      <c r="C24" s="67">
        <f>9476+4028+933+209+6295+8080+2111+1359+1398+752+4684+1224377</f>
        <v>1263702</v>
      </c>
      <c r="D24" s="67">
        <f>10700+5000+1000+2500+500+1400000+8100+2500+2000+250+3000+2500+5000</f>
        <v>1443050</v>
      </c>
      <c r="E24" s="67">
        <f>12000+5000+1000+2500+1000+1400000+8100+2500+2500+300+3000+2000+5000</f>
        <v>1444900</v>
      </c>
    </row>
    <row r="25" spans="2:5" ht="15.75">
      <c r="B25" s="735" t="s">
        <v>984</v>
      </c>
      <c r="C25" s="67">
        <f>4950+1243+60640+1</f>
        <v>66834</v>
      </c>
      <c r="D25" s="67">
        <f>600+5000+2000+500+800+350+500+1000+28000+2500+5000+3000+9000+10000+1000</f>
        <v>69250</v>
      </c>
      <c r="E25" s="67">
        <f>750+5000+2000+500+250+500+1000+30000+2500+2500+3000+10000+10000+1000</f>
        <v>69000</v>
      </c>
    </row>
    <row r="26" spans="2:5" ht="15.75">
      <c r="B26" s="735" t="s">
        <v>985</v>
      </c>
      <c r="C26" s="67">
        <f>11158+22495</f>
        <v>33653</v>
      </c>
      <c r="D26" s="67">
        <v>22000</v>
      </c>
      <c r="E26" s="67">
        <v>47000</v>
      </c>
    </row>
    <row r="27" spans="2:5" ht="15.75">
      <c r="B27" s="735" t="s">
        <v>1025</v>
      </c>
      <c r="C27" s="67">
        <v>2425</v>
      </c>
      <c r="D27" s="67">
        <v>0</v>
      </c>
      <c r="E27" s="67">
        <v>0</v>
      </c>
    </row>
    <row r="28" spans="2:5" ht="15.75">
      <c r="B28" s="735" t="s">
        <v>1023</v>
      </c>
      <c r="C28" s="67">
        <f>39683</f>
        <v>39683</v>
      </c>
      <c r="D28" s="67">
        <v>30000</v>
      </c>
      <c r="E28" s="67">
        <v>30000</v>
      </c>
    </row>
    <row r="29" spans="2:5" ht="15.75">
      <c r="B29" s="735" t="s">
        <v>1017</v>
      </c>
      <c r="C29" s="67">
        <v>131640</v>
      </c>
      <c r="D29" s="67">
        <v>138750</v>
      </c>
      <c r="E29" s="67">
        <v>135100</v>
      </c>
    </row>
    <row r="30" spans="2:5" ht="15.75">
      <c r="B30" s="735" t="s">
        <v>1036</v>
      </c>
      <c r="C30" s="67">
        <v>50000</v>
      </c>
      <c r="D30" s="67">
        <v>50000</v>
      </c>
      <c r="E30" s="67">
        <v>50000</v>
      </c>
    </row>
    <row r="31" spans="2:5" ht="15.75">
      <c r="B31" s="735" t="s">
        <v>950</v>
      </c>
      <c r="C31" s="67">
        <v>0</v>
      </c>
      <c r="D31" s="67">
        <v>0</v>
      </c>
      <c r="E31" s="67">
        <v>377437</v>
      </c>
    </row>
    <row r="32" spans="2:5" ht="15.75">
      <c r="B32" s="272" t="s">
        <v>1203</v>
      </c>
      <c r="C32" s="67">
        <v>20000</v>
      </c>
      <c r="D32" s="256">
        <v>2000</v>
      </c>
      <c r="E32" s="256">
        <v>5000</v>
      </c>
    </row>
    <row r="33" spans="2:5" ht="15.75">
      <c r="B33" s="272" t="s">
        <v>1153</v>
      </c>
      <c r="C33" s="297">
        <f>IF(C34*0.1&lt;C32,"Exceed 10% Rule","")</f>
      </c>
      <c r="D33" s="261">
        <f>IF(D34*0.1&lt;D32,"Exceed 10% Rule","")</f>
      </c>
      <c r="E33" s="261">
        <f>IF(E34*0.1&lt;E32,"Exceed 10% Rule","")</f>
      </c>
    </row>
    <row r="34" spans="2:6" ht="15.75">
      <c r="B34" s="262" t="s">
        <v>454</v>
      </c>
      <c r="C34" s="265">
        <f>SUM(C23:C32)</f>
        <v>1838397</v>
      </c>
      <c r="D34" s="265">
        <f>SUM(D23:D32)</f>
        <v>1978650</v>
      </c>
      <c r="E34" s="265">
        <f>SUM(E23:E32)</f>
        <v>2390937</v>
      </c>
      <c r="F34" s="765"/>
    </row>
    <row r="35" spans="2:5" ht="15.75">
      <c r="B35" s="150" t="s">
        <v>565</v>
      </c>
      <c r="C35" s="82">
        <f>C21-C34</f>
        <v>237147</v>
      </c>
      <c r="D35" s="82">
        <f>D21-D34</f>
        <v>286997</v>
      </c>
      <c r="E35" s="82">
        <f>E21-E34</f>
        <v>0</v>
      </c>
    </row>
    <row r="36" spans="2:5" ht="15.75">
      <c r="B36" s="136" t="str">
        <f>CONCATENATE("",E1-2,"/",E1-1," Budget Authority Amount:")</f>
        <v>2011/2012 Budget Authority Amount:</v>
      </c>
      <c r="C36" s="239">
        <f>inputOth!B77</f>
        <v>1999749</v>
      </c>
      <c r="D36" s="239">
        <f>inputPrYr!D38</f>
        <v>2261886</v>
      </c>
      <c r="E36" s="375">
        <f>IF(E35&lt;0,"See Tab E","")</f>
      </c>
    </row>
    <row r="37" spans="2:5" ht="15.75">
      <c r="B37" s="136"/>
      <c r="C37" s="275">
        <f>IF(C34&gt;C36,"See Tab A","")</f>
      </c>
      <c r="D37" s="275">
        <f>IF(D34&gt;D36,"See Tab C","")</f>
      </c>
      <c r="E37" s="97"/>
    </row>
    <row r="38" spans="2:5" ht="15.75">
      <c r="B38" s="136"/>
      <c r="C38" s="275">
        <f>IF(C35&lt;0,"See Tab B","")</f>
      </c>
      <c r="D38" s="275">
        <f>IF(D35&lt;0,"See Tab D","")</f>
      </c>
      <c r="E38" s="97"/>
    </row>
    <row r="39" spans="2:5" ht="15.75">
      <c r="B39" s="47"/>
      <c r="C39" s="97"/>
      <c r="D39" s="97"/>
      <c r="E39" s="97"/>
    </row>
    <row r="40" spans="2:5" ht="15.75">
      <c r="B40" s="52" t="s">
        <v>435</v>
      </c>
      <c r="C40" s="292"/>
      <c r="D40" s="292"/>
      <c r="E40" s="292"/>
    </row>
    <row r="41" spans="2:5" ht="15.75">
      <c r="B41" s="47"/>
      <c r="C41" s="704" t="s">
        <v>388</v>
      </c>
      <c r="D41" s="705" t="s">
        <v>389</v>
      </c>
      <c r="E41" s="144" t="s">
        <v>390</v>
      </c>
    </row>
    <row r="42" spans="2:5" ht="15.75">
      <c r="B42" s="529" t="str">
        <f>(inputPrYr!B39)</f>
        <v>Sewer Reserve - Fund 11</v>
      </c>
      <c r="C42" s="223" t="str">
        <f>CONCATENATE("Actual for ",$E$1-2,"")</f>
        <v>Actual for 2011</v>
      </c>
      <c r="D42" s="223" t="str">
        <f>CONCATENATE("Estimate for ",$E$1-1,"")</f>
        <v>Estimate for 2012</v>
      </c>
      <c r="E42" s="208" t="str">
        <f>CONCATENATE("Year for ",$E$1,"")</f>
        <v>Year for 2013</v>
      </c>
    </row>
    <row r="43" spans="2:5" ht="15.75">
      <c r="B43" s="250" t="s">
        <v>564</v>
      </c>
      <c r="C43" s="67">
        <v>137471</v>
      </c>
      <c r="D43" s="226">
        <f>C61</f>
        <v>145353</v>
      </c>
      <c r="E43" s="226">
        <f>D61</f>
        <v>153003</v>
      </c>
    </row>
    <row r="44" spans="2:5" ht="15.75">
      <c r="B44" s="254" t="s">
        <v>566</v>
      </c>
      <c r="C44" s="87"/>
      <c r="D44" s="87"/>
      <c r="E44" s="87"/>
    </row>
    <row r="45" spans="2:5" ht="15.75">
      <c r="B45" s="735" t="s">
        <v>1037</v>
      </c>
      <c r="C45" s="67">
        <v>7000</v>
      </c>
      <c r="D45" s="67">
        <v>7000</v>
      </c>
      <c r="E45" s="67">
        <v>7000</v>
      </c>
    </row>
    <row r="46" spans="2:5" ht="15.75">
      <c r="B46" s="259"/>
      <c r="C46" s="67"/>
      <c r="D46" s="67"/>
      <c r="E46" s="67"/>
    </row>
    <row r="47" spans="2:5" ht="15.75">
      <c r="B47" s="271"/>
      <c r="C47" s="67"/>
      <c r="D47" s="67"/>
      <c r="E47" s="67"/>
    </row>
    <row r="48" spans="2:5" ht="15.75">
      <c r="B48" s="271"/>
      <c r="C48" s="67"/>
      <c r="D48" s="67"/>
      <c r="E48" s="67"/>
    </row>
    <row r="49" spans="2:5" ht="15.75">
      <c r="B49" s="259" t="s">
        <v>442</v>
      </c>
      <c r="C49" s="67">
        <v>882</v>
      </c>
      <c r="D49" s="67">
        <v>650</v>
      </c>
      <c r="E49" s="67">
        <v>600</v>
      </c>
    </row>
    <row r="50" spans="2:5" ht="15.75">
      <c r="B50" s="159" t="s">
        <v>1203</v>
      </c>
      <c r="C50" s="67"/>
      <c r="D50" s="256"/>
      <c r="E50" s="256"/>
    </row>
    <row r="51" spans="2:5" ht="15.75">
      <c r="B51" s="250" t="s">
        <v>1152</v>
      </c>
      <c r="C51" s="297">
        <f>IF(C52*0.1&lt;C50,"Exceed 10% Rule","")</f>
      </c>
      <c r="D51" s="261">
        <f>IF(D52*0.1&lt;D50,"Exceed 10% Rule","")</f>
      </c>
      <c r="E51" s="261">
        <f>IF(E52*0.1&lt;E50,"Exceed 10% Rule","")</f>
      </c>
    </row>
    <row r="52" spans="2:5" ht="15.75">
      <c r="B52" s="262" t="s">
        <v>443</v>
      </c>
      <c r="C52" s="265">
        <f>SUM(C45:C50)</f>
        <v>7882</v>
      </c>
      <c r="D52" s="265">
        <f>SUM(D45:D50)</f>
        <v>7650</v>
      </c>
      <c r="E52" s="265">
        <f>SUM(E45:E50)</f>
        <v>7600</v>
      </c>
    </row>
    <row r="53" spans="2:5" ht="15.75">
      <c r="B53" s="262" t="s">
        <v>448</v>
      </c>
      <c r="C53" s="265">
        <f>C43+C52</f>
        <v>145353</v>
      </c>
      <c r="D53" s="265">
        <f>D43+D52</f>
        <v>153003</v>
      </c>
      <c r="E53" s="265">
        <f>E43+E52</f>
        <v>160603</v>
      </c>
    </row>
    <row r="54" spans="2:5" ht="15.75">
      <c r="B54" s="150" t="s">
        <v>450</v>
      </c>
      <c r="C54" s="226"/>
      <c r="D54" s="226"/>
      <c r="E54" s="226"/>
    </row>
    <row r="55" spans="2:5" ht="15.75">
      <c r="B55" s="735" t="s">
        <v>985</v>
      </c>
      <c r="C55" s="67">
        <v>0</v>
      </c>
      <c r="D55" s="67">
        <v>0</v>
      </c>
      <c r="E55" s="67">
        <v>0</v>
      </c>
    </row>
    <row r="56" spans="2:5" ht="15.75">
      <c r="B56" s="271"/>
      <c r="C56" s="67"/>
      <c r="D56" s="67"/>
      <c r="E56" s="67">
        <v>160603</v>
      </c>
    </row>
    <row r="57" spans="2:5" ht="15.75">
      <c r="B57" s="271"/>
      <c r="C57" s="67"/>
      <c r="D57" s="67"/>
      <c r="E57" s="67">
        <v>0</v>
      </c>
    </row>
    <row r="58" spans="2:5" ht="15.75">
      <c r="B58" s="272" t="s">
        <v>1203</v>
      </c>
      <c r="C58" s="67">
        <v>0</v>
      </c>
      <c r="D58" s="256">
        <v>0</v>
      </c>
      <c r="E58" s="256">
        <v>0</v>
      </c>
    </row>
    <row r="59" spans="2:5" ht="15.75">
      <c r="B59" s="293" t="s">
        <v>1153</v>
      </c>
      <c r="C59" s="297">
        <f>IF(C60*0.1&lt;C58,"Exceed 10% Rule","")</f>
      </c>
      <c r="D59" s="261">
        <f>IF(D60*0.1&lt;D58,"Exceed 10% Rule","")</f>
      </c>
      <c r="E59" s="261">
        <f>IF(E60*0.1&lt;E58,"Exceed 10% Rule","")</f>
      </c>
    </row>
    <row r="60" spans="2:5" ht="15.75">
      <c r="B60" s="262" t="s">
        <v>454</v>
      </c>
      <c r="C60" s="265">
        <f>SUM(C55:C58)</f>
        <v>0</v>
      </c>
      <c r="D60" s="265">
        <f>SUM(D55:D58)</f>
        <v>0</v>
      </c>
      <c r="E60" s="265">
        <f>SUM(E55:E58)</f>
        <v>160603</v>
      </c>
    </row>
    <row r="61" spans="2:5" ht="15.75">
      <c r="B61" s="150" t="s">
        <v>565</v>
      </c>
      <c r="C61" s="82">
        <f>C53-C60</f>
        <v>145353</v>
      </c>
      <c r="D61" s="82">
        <f>D53-D60</f>
        <v>153003</v>
      </c>
      <c r="E61" s="82">
        <f>E53-E60</f>
        <v>0</v>
      </c>
    </row>
    <row r="62" spans="2:5" ht="15.75">
      <c r="B62" s="136" t="str">
        <f>CONCATENATE("",E1-2,"/",E1-1," Budget Authority Amount:")</f>
        <v>2011/2012 Budget Authority Amount:</v>
      </c>
      <c r="C62" s="239">
        <f>inputOth!B78</f>
        <v>144640</v>
      </c>
      <c r="D62" s="239">
        <f>inputPrYr!D39</f>
        <v>152671</v>
      </c>
      <c r="E62" s="375">
        <f>IF(E61&lt;0,"See Tab E","")</f>
      </c>
    </row>
    <row r="63" spans="2:5" ht="15.75">
      <c r="B63" s="136"/>
      <c r="C63" s="275">
        <f>IF(C60&gt;C62,"See Tab A","")</f>
      </c>
      <c r="D63" s="275">
        <f>IF(D60&gt;D62,"See Tab C","")</f>
      </c>
      <c r="E63" s="47"/>
    </row>
    <row r="64" spans="2:5" ht="15.75">
      <c r="B64" s="136"/>
      <c r="C64" s="275">
        <f>IF(C61&lt;0,"See Tab B","")</f>
      </c>
      <c r="D64" s="275">
        <f>IF(D61&lt;0,"See Tab D","")</f>
      </c>
      <c r="E64" s="47"/>
    </row>
    <row r="65" spans="2:5" ht="15.75">
      <c r="B65" s="47"/>
      <c r="C65" s="47"/>
      <c r="D65" s="47"/>
      <c r="E65" s="47"/>
    </row>
    <row r="66" spans="2:5" ht="15.75">
      <c r="B66" s="399" t="s">
        <v>457</v>
      </c>
      <c r="C66" s="280">
        <v>13</v>
      </c>
      <c r="D66" s="47"/>
      <c r="E66" s="47"/>
    </row>
  </sheetData>
  <sheetProtection/>
  <conditionalFormatting sqref="C58">
    <cfRule type="cellIs" priority="12" dxfId="305" operator="greaterThan" stopIfTrue="1">
      <formula>$C$60*0.1</formula>
    </cfRule>
  </conditionalFormatting>
  <conditionalFormatting sqref="D58">
    <cfRule type="cellIs" priority="13" dxfId="305" operator="greaterThan" stopIfTrue="1">
      <formula>$D$60*0.1</formula>
    </cfRule>
  </conditionalFormatting>
  <conditionalFormatting sqref="E58">
    <cfRule type="cellIs" priority="14" dxfId="305" operator="greaterThan" stopIfTrue="1">
      <formula>$E$60*0.1</formula>
    </cfRule>
  </conditionalFormatting>
  <conditionalFormatting sqref="D60">
    <cfRule type="cellIs" priority="15" dxfId="3" operator="greaterThan" stopIfTrue="1">
      <formula>$D$62</formula>
    </cfRule>
  </conditionalFormatting>
  <conditionalFormatting sqref="C60">
    <cfRule type="cellIs" priority="16" dxfId="3" operator="greaterThan" stopIfTrue="1">
      <formula>$C$62</formula>
    </cfRule>
  </conditionalFormatting>
  <conditionalFormatting sqref="C61:E61 C35:E35">
    <cfRule type="cellIs" priority="17" dxfId="3" operator="lessThan" stopIfTrue="1">
      <formula>0</formula>
    </cfRule>
  </conditionalFormatting>
  <conditionalFormatting sqref="C18">
    <cfRule type="cellIs" priority="3" dxfId="305" operator="greaterThan" stopIfTrue="1">
      <formula>$C$20*0.1</formula>
    </cfRule>
  </conditionalFormatting>
  <conditionalFormatting sqref="D18">
    <cfRule type="cellIs" priority="4" dxfId="305" operator="greaterThan" stopIfTrue="1">
      <formula>$D$20*0.1</formula>
    </cfRule>
  </conditionalFormatting>
  <conditionalFormatting sqref="E18">
    <cfRule type="cellIs" priority="5" dxfId="305" operator="greaterThan" stopIfTrue="1">
      <formula>$E$20*0.1</formula>
    </cfRule>
  </conditionalFormatting>
  <conditionalFormatting sqref="C32">
    <cfRule type="cellIs" priority="6" dxfId="305" operator="greaterThan" stopIfTrue="1">
      <formula>$C$34*0.1</formula>
    </cfRule>
  </conditionalFormatting>
  <conditionalFormatting sqref="D32">
    <cfRule type="cellIs" priority="7" dxfId="305" operator="greaterThan" stopIfTrue="1">
      <formula>$D$34*0.1</formula>
    </cfRule>
  </conditionalFormatting>
  <conditionalFormatting sqref="E32">
    <cfRule type="cellIs" priority="8" dxfId="305" operator="greaterThan" stopIfTrue="1">
      <formula>$E$34*0.1</formula>
    </cfRule>
  </conditionalFormatting>
  <conditionalFormatting sqref="C50">
    <cfRule type="cellIs" priority="9" dxfId="305" operator="greaterThan" stopIfTrue="1">
      <formula>$C$52*0.1</formula>
    </cfRule>
  </conditionalFormatting>
  <conditionalFormatting sqref="D50">
    <cfRule type="cellIs" priority="10" dxfId="305" operator="greaterThan" stopIfTrue="1">
      <formula>$D$52*0.1</formula>
    </cfRule>
  </conditionalFormatting>
  <conditionalFormatting sqref="E50">
    <cfRule type="cellIs" priority="11" dxfId="305" operator="greaterThan" stopIfTrue="1">
      <formula>$E$52*0.1</formula>
    </cfRule>
  </conditionalFormatting>
  <conditionalFormatting sqref="D34">
    <cfRule type="cellIs" priority="18" dxfId="3" operator="greaterThan" stopIfTrue="1">
      <formula>$D$36</formula>
    </cfRule>
  </conditionalFormatting>
  <conditionalFormatting sqref="C34">
    <cfRule type="cellIs" priority="19" dxfId="3" operator="greaterThan" stopIfTrue="1">
      <formula>$C$36</formula>
    </cfRule>
  </conditionalFormatting>
  <printOptions horizontalCentered="1"/>
  <pageMargins left="0.5" right="0.5" top="1" bottom="0.5" header="0.5" footer="0.5"/>
  <pageSetup blackAndWhite="1" fitToHeight="1" fitToWidth="1" horizontalDpi="120" verticalDpi="120" orientation="portrait" scale="7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0"/>
  <sheetViews>
    <sheetView zoomScalePageLayoutView="0" workbookViewId="0" topLeftCell="A4">
      <selection activeCell="D52" sqref="D52"/>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t="str">
        <f>inputPrYr!B40</f>
        <v>Stormwater - Fund 12</v>
      </c>
      <c r="C5" s="223" t="str">
        <f>CONCATENATE("Actual for ",E1-2,"")</f>
        <v>Actual for 2011</v>
      </c>
      <c r="D5" s="223" t="str">
        <f>CONCATENATE("Estimate for ",E1-1,"")</f>
        <v>Estimate for 2012</v>
      </c>
      <c r="E5" s="208" t="str">
        <f>CONCATENATE("Year for ",E1,"")</f>
        <v>Year for 2013</v>
      </c>
    </row>
    <row r="6" spans="2:5" ht="15.75">
      <c r="B6" s="250" t="s">
        <v>564</v>
      </c>
      <c r="C6" s="67">
        <v>178128</v>
      </c>
      <c r="D6" s="226">
        <f>C26</f>
        <v>188958</v>
      </c>
      <c r="E6" s="226">
        <f>D26</f>
        <v>177658</v>
      </c>
    </row>
    <row r="7" spans="2:5" ht="15.75">
      <c r="B7" s="254" t="s">
        <v>566</v>
      </c>
      <c r="C7" s="87"/>
      <c r="D7" s="87"/>
      <c r="E7" s="87"/>
    </row>
    <row r="8" spans="2:5" ht="15.75">
      <c r="B8" s="735" t="s">
        <v>981</v>
      </c>
      <c r="C8" s="67">
        <v>0</v>
      </c>
      <c r="D8" s="67">
        <v>0</v>
      </c>
      <c r="E8" s="67">
        <v>0</v>
      </c>
    </row>
    <row r="9" spans="2:5" ht="15.75">
      <c r="B9" s="735" t="s">
        <v>1038</v>
      </c>
      <c r="C9" s="67">
        <v>81021</v>
      </c>
      <c r="D9" s="67">
        <v>81000</v>
      </c>
      <c r="E9" s="67">
        <v>81000</v>
      </c>
    </row>
    <row r="10" spans="2:5" ht="15.75">
      <c r="B10" s="259" t="s">
        <v>442</v>
      </c>
      <c r="C10" s="67">
        <v>1152</v>
      </c>
      <c r="D10" s="67">
        <v>800</v>
      </c>
      <c r="E10" s="67">
        <v>700</v>
      </c>
    </row>
    <row r="11" spans="2:5" ht="15.75">
      <c r="B11" s="159" t="s">
        <v>1203</v>
      </c>
      <c r="C11" s="67">
        <v>0</v>
      </c>
      <c r="D11" s="256">
        <v>0</v>
      </c>
      <c r="E11" s="256">
        <v>0</v>
      </c>
    </row>
    <row r="12" spans="2:5" ht="15.75">
      <c r="B12" s="250" t="s">
        <v>1152</v>
      </c>
      <c r="C12" s="297">
        <f>IF(C13*0.1&lt;C11,"Exceed 10% Rule","")</f>
      </c>
      <c r="D12" s="261">
        <f>IF(D13*0.1&lt;D11,"Exceed 10% Rule","")</f>
      </c>
      <c r="E12" s="261">
        <f>IF(E13*0.1&lt;E11,"Exceed 10% Rule","")</f>
      </c>
    </row>
    <row r="13" spans="2:5" ht="15.75">
      <c r="B13" s="262" t="s">
        <v>443</v>
      </c>
      <c r="C13" s="265">
        <f>SUM(C8:C11)</f>
        <v>82173</v>
      </c>
      <c r="D13" s="265">
        <f>SUM(D8:D11)</f>
        <v>81800</v>
      </c>
      <c r="E13" s="265">
        <f>SUM(E8:E11)</f>
        <v>81700</v>
      </c>
    </row>
    <row r="14" spans="2:5" ht="15.75">
      <c r="B14" s="262" t="s">
        <v>448</v>
      </c>
      <c r="C14" s="265">
        <f>C6+C13</f>
        <v>260301</v>
      </c>
      <c r="D14" s="265">
        <f>D6+D13</f>
        <v>270758</v>
      </c>
      <c r="E14" s="265">
        <f>E6+E13</f>
        <v>259358</v>
      </c>
    </row>
    <row r="15" spans="2:5" ht="15.75">
      <c r="B15" s="150" t="s">
        <v>450</v>
      </c>
      <c r="C15" s="226"/>
      <c r="D15" s="226"/>
      <c r="E15" s="226"/>
    </row>
    <row r="16" spans="2:5" ht="15.75">
      <c r="B16" s="735" t="s">
        <v>982</v>
      </c>
      <c r="C16" s="67">
        <f>13356+257</f>
        <v>13613</v>
      </c>
      <c r="D16" s="67">
        <v>14100</v>
      </c>
      <c r="E16" s="67">
        <v>14900</v>
      </c>
    </row>
    <row r="17" spans="2:5" ht="15.75">
      <c r="B17" s="735" t="s">
        <v>1010</v>
      </c>
      <c r="C17" s="67">
        <v>0</v>
      </c>
      <c r="D17" s="67">
        <v>0</v>
      </c>
      <c r="E17" s="67">
        <v>0</v>
      </c>
    </row>
    <row r="18" spans="2:5" ht="15.75">
      <c r="B18" s="735" t="s">
        <v>984</v>
      </c>
      <c r="C18" s="67">
        <v>25000</v>
      </c>
      <c r="D18" s="67">
        <v>29000</v>
      </c>
      <c r="E18" s="67">
        <v>30000</v>
      </c>
    </row>
    <row r="19" spans="2:5" ht="15.75">
      <c r="B19" s="735" t="s">
        <v>985</v>
      </c>
      <c r="C19" s="67">
        <v>22730</v>
      </c>
      <c r="D19" s="67">
        <v>35000</v>
      </c>
      <c r="E19" s="67">
        <v>46250</v>
      </c>
    </row>
    <row r="20" spans="2:5" ht="15.75">
      <c r="B20" s="735" t="s">
        <v>1039</v>
      </c>
      <c r="C20" s="67">
        <v>0</v>
      </c>
      <c r="D20" s="67">
        <v>5000</v>
      </c>
      <c r="E20" s="67">
        <v>5000</v>
      </c>
    </row>
    <row r="21" spans="2:5" ht="15.75">
      <c r="B21" s="735" t="s">
        <v>1036</v>
      </c>
      <c r="C21" s="67">
        <v>10000</v>
      </c>
      <c r="D21" s="67">
        <v>10000</v>
      </c>
      <c r="E21" s="67">
        <v>10000</v>
      </c>
    </row>
    <row r="22" spans="2:5" ht="15.75">
      <c r="B22" s="735" t="s">
        <v>978</v>
      </c>
      <c r="C22" s="67">
        <v>0</v>
      </c>
      <c r="D22" s="67">
        <v>0</v>
      </c>
      <c r="E22" s="67">
        <v>153208</v>
      </c>
    </row>
    <row r="23" spans="2:5" ht="15.75">
      <c r="B23" s="272" t="s">
        <v>1203</v>
      </c>
      <c r="C23" s="67">
        <v>0</v>
      </c>
      <c r="D23" s="256">
        <v>0</v>
      </c>
      <c r="E23" s="256">
        <v>0</v>
      </c>
    </row>
    <row r="24" spans="2:5" ht="15.75">
      <c r="B24" s="272" t="s">
        <v>1153</v>
      </c>
      <c r="C24" s="297">
        <f>IF(C25*0.1&lt;C23,"Exceed 10% Rule","")</f>
      </c>
      <c r="D24" s="261">
        <f>IF(D25*0.1&lt;D23,"Exceed 10% Rule","")</f>
      </c>
      <c r="E24" s="261">
        <f>IF(E25*0.1&lt;E23,"Exceed 10% Rule","")</f>
      </c>
    </row>
    <row r="25" spans="2:5" ht="15.75">
      <c r="B25" s="262" t="s">
        <v>454</v>
      </c>
      <c r="C25" s="265">
        <f>SUM(C16:C23)</f>
        <v>71343</v>
      </c>
      <c r="D25" s="265">
        <f>SUM(D16:D23)</f>
        <v>93100</v>
      </c>
      <c r="E25" s="265">
        <f>SUM(E16:E23)</f>
        <v>259358</v>
      </c>
    </row>
    <row r="26" spans="2:5" ht="15.75">
      <c r="B26" s="150" t="s">
        <v>565</v>
      </c>
      <c r="C26" s="82">
        <f>C14-C25</f>
        <v>188958</v>
      </c>
      <c r="D26" s="82">
        <f>D14-D25</f>
        <v>177658</v>
      </c>
      <c r="E26" s="82">
        <f>E14-E25</f>
        <v>0</v>
      </c>
    </row>
    <row r="27" spans="2:5" ht="15.75">
      <c r="B27" s="136" t="str">
        <f>CONCATENATE("",E1-2,"/",E1-1," Budget Authority Amount:")</f>
        <v>2011/2012 Budget Authority Amount:</v>
      </c>
      <c r="C27" s="239">
        <f>inputOth!B79</f>
        <v>216373</v>
      </c>
      <c r="D27" s="239">
        <f>inputPrYr!D40</f>
        <v>262778</v>
      </c>
      <c r="E27" s="375">
        <f>IF(E26&lt;0,"See Tab E","")</f>
      </c>
    </row>
    <row r="28" spans="2:5" ht="15.75">
      <c r="B28" s="136"/>
      <c r="C28" s="275">
        <f>IF(C25&gt;C27,"See Tab A","")</f>
      </c>
      <c r="D28" s="275">
        <f>IF(D25&gt;D27,"See Tab C","")</f>
      </c>
      <c r="E28" s="97"/>
    </row>
    <row r="29" spans="2:5" ht="15.75">
      <c r="B29" s="136"/>
      <c r="C29" s="275">
        <f>IF(C26&lt;0,"See Tab B","")</f>
      </c>
      <c r="D29" s="275">
        <f>IF(D26&lt;0,"See Tab D","")</f>
      </c>
      <c r="E29" s="97"/>
    </row>
    <row r="30" spans="2:5" ht="15.75">
      <c r="B30" s="47"/>
      <c r="C30" s="97"/>
      <c r="D30" s="97"/>
      <c r="E30" s="97"/>
    </row>
    <row r="31" spans="2:5" ht="15.75">
      <c r="B31" s="52" t="s">
        <v>435</v>
      </c>
      <c r="C31" s="292"/>
      <c r="D31" s="292"/>
      <c r="E31" s="292"/>
    </row>
    <row r="32" spans="2:5" ht="15.75">
      <c r="B32" s="47"/>
      <c r="C32" s="704" t="s">
        <v>388</v>
      </c>
      <c r="D32" s="705" t="s">
        <v>389</v>
      </c>
      <c r="E32" s="144" t="s">
        <v>390</v>
      </c>
    </row>
    <row r="33" spans="2:5" ht="15.75">
      <c r="B33" s="529" t="str">
        <f>inputPrYr!B41</f>
        <v>Health &amp; Sanitation - Fund 13</v>
      </c>
      <c r="C33" s="223" t="str">
        <f>CONCATENATE("Actual for ",$E$1-2,"")</f>
        <v>Actual for 2011</v>
      </c>
      <c r="D33" s="223" t="str">
        <f>CONCATENATE("Estimate for ",$E$1-1,"")</f>
        <v>Estimate for 2012</v>
      </c>
      <c r="E33" s="208" t="str">
        <f>CONCATENATE("Year for ",$E$1,"")</f>
        <v>Year for 2013</v>
      </c>
    </row>
    <row r="34" spans="2:5" ht="15.75">
      <c r="B34" s="250" t="s">
        <v>564</v>
      </c>
      <c r="C34" s="67">
        <v>5270</v>
      </c>
      <c r="D34" s="226">
        <f>C55</f>
        <v>1833</v>
      </c>
      <c r="E34" s="226">
        <f>D55</f>
        <v>6973</v>
      </c>
    </row>
    <row r="35" spans="2:5" ht="15.75">
      <c r="B35" s="254" t="s">
        <v>566</v>
      </c>
      <c r="C35" s="87"/>
      <c r="D35" s="87"/>
      <c r="E35" s="87"/>
    </row>
    <row r="36" spans="2:5" ht="15.75">
      <c r="B36" s="735" t="s">
        <v>1040</v>
      </c>
      <c r="C36" s="67">
        <v>306588</v>
      </c>
      <c r="D36" s="67">
        <v>317400</v>
      </c>
      <c r="E36" s="67">
        <v>340000</v>
      </c>
    </row>
    <row r="37" spans="2:5" ht="15.75">
      <c r="B37" s="735" t="s">
        <v>1041</v>
      </c>
      <c r="C37" s="67">
        <v>375</v>
      </c>
      <c r="D37" s="67">
        <v>300</v>
      </c>
      <c r="E37" s="67">
        <v>300</v>
      </c>
    </row>
    <row r="38" spans="2:5" ht="15.75">
      <c r="B38" s="735" t="s">
        <v>1042</v>
      </c>
      <c r="C38" s="67">
        <v>345</v>
      </c>
      <c r="D38" s="67">
        <v>300</v>
      </c>
      <c r="E38" s="67">
        <v>300</v>
      </c>
    </row>
    <row r="39" spans="2:5" ht="15.75">
      <c r="B39" s="735" t="s">
        <v>1043</v>
      </c>
      <c r="C39" s="67">
        <v>43</v>
      </c>
      <c r="D39" s="67">
        <v>200</v>
      </c>
      <c r="E39" s="67">
        <v>200</v>
      </c>
    </row>
    <row r="40" spans="2:5" ht="15.75">
      <c r="B40" s="259" t="s">
        <v>442</v>
      </c>
      <c r="C40" s="67">
        <v>3607</v>
      </c>
      <c r="D40" s="67">
        <v>10</v>
      </c>
      <c r="E40" s="67">
        <v>10</v>
      </c>
    </row>
    <row r="41" spans="2:5" ht="15.75">
      <c r="B41" s="159" t="s">
        <v>1203</v>
      </c>
      <c r="C41" s="67">
        <v>0</v>
      </c>
      <c r="D41" s="256">
        <v>0</v>
      </c>
      <c r="E41" s="256">
        <v>0</v>
      </c>
    </row>
    <row r="42" spans="2:5" ht="15.75">
      <c r="B42" s="250" t="s">
        <v>1152</v>
      </c>
      <c r="C42" s="297">
        <f>IF(C43*0.1&lt;C41,"Exceed 10% Rule","")</f>
      </c>
      <c r="D42" s="261">
        <f>IF(D43*0.1&lt;D41,"Exceed 10% Rule","")</f>
      </c>
      <c r="E42" s="261">
        <f>IF(E43*0.1&lt;E41,"Exceed 10% Rule","")</f>
      </c>
    </row>
    <row r="43" spans="2:5" ht="15.75">
      <c r="B43" s="262" t="s">
        <v>443</v>
      </c>
      <c r="C43" s="265">
        <f>SUM(C36:C41)</f>
        <v>310958</v>
      </c>
      <c r="D43" s="265">
        <f>SUM(D36:D41)</f>
        <v>318210</v>
      </c>
      <c r="E43" s="265">
        <f>SUM(E36:E41)</f>
        <v>340810</v>
      </c>
    </row>
    <row r="44" spans="2:5" ht="15.75">
      <c r="B44" s="262" t="s">
        <v>448</v>
      </c>
      <c r="C44" s="265">
        <f>C34+C43</f>
        <v>316228</v>
      </c>
      <c r="D44" s="265">
        <f>D34+D43</f>
        <v>320043</v>
      </c>
      <c r="E44" s="265">
        <f>E34+E43</f>
        <v>347783</v>
      </c>
    </row>
    <row r="45" spans="2:5" ht="15.75">
      <c r="B45" s="150" t="s">
        <v>450</v>
      </c>
      <c r="C45" s="226"/>
      <c r="D45" s="226"/>
      <c r="E45" s="226"/>
    </row>
    <row r="46" spans="2:5" ht="15.75">
      <c r="B46" s="735" t="s">
        <v>982</v>
      </c>
      <c r="C46" s="67">
        <v>9146</v>
      </c>
      <c r="D46" s="67">
        <v>9610</v>
      </c>
      <c r="E46" s="67">
        <v>10000</v>
      </c>
    </row>
    <row r="47" spans="2:5" ht="15.75">
      <c r="B47" s="735" t="s">
        <v>1010</v>
      </c>
      <c r="C47" s="67">
        <v>298804</v>
      </c>
      <c r="D47" s="67">
        <f>480+1891+295000</f>
        <v>297371</v>
      </c>
      <c r="E47" s="67">
        <f>750+2500+306500</f>
        <v>309750</v>
      </c>
    </row>
    <row r="48" spans="2:5" ht="15.75">
      <c r="B48" s="735" t="s">
        <v>984</v>
      </c>
      <c r="C48" s="67">
        <v>545</v>
      </c>
      <c r="D48" s="67">
        <f>414+675</f>
        <v>1089</v>
      </c>
      <c r="E48" s="67">
        <v>0</v>
      </c>
    </row>
    <row r="49" spans="2:5" ht="15.75">
      <c r="B49" s="735" t="s">
        <v>985</v>
      </c>
      <c r="C49" s="67">
        <v>0</v>
      </c>
      <c r="D49" s="67">
        <v>0</v>
      </c>
      <c r="E49" s="67">
        <v>0</v>
      </c>
    </row>
    <row r="50" spans="2:5" ht="15.75">
      <c r="B50" s="735" t="s">
        <v>986</v>
      </c>
      <c r="C50" s="67">
        <v>5900</v>
      </c>
      <c r="D50" s="67">
        <v>5000</v>
      </c>
      <c r="E50" s="67">
        <v>4000</v>
      </c>
    </row>
    <row r="51" spans="2:5" ht="15.75">
      <c r="B51" s="735" t="s">
        <v>978</v>
      </c>
      <c r="C51" s="67">
        <v>0</v>
      </c>
      <c r="D51" s="67">
        <v>0</v>
      </c>
      <c r="E51" s="67">
        <v>24033</v>
      </c>
    </row>
    <row r="52" spans="2:5" ht="15.75">
      <c r="B52" s="272" t="s">
        <v>1203</v>
      </c>
      <c r="C52" s="67">
        <v>0</v>
      </c>
      <c r="D52" s="256">
        <v>0</v>
      </c>
      <c r="E52" s="256">
        <v>0</v>
      </c>
    </row>
    <row r="53" spans="2:5" ht="15.75">
      <c r="B53" s="272" t="s">
        <v>1153</v>
      </c>
      <c r="C53" s="297">
        <f>IF(C54*0.1&lt;C52,"Exceed 10% Rule","")</f>
      </c>
      <c r="D53" s="261">
        <f>IF(D54*0.1&lt;D52,"Exceed 10% Rule","")</f>
      </c>
      <c r="E53" s="261">
        <f>IF(E54*0.1&lt;E52,"Exceed 10% Rule","")</f>
      </c>
    </row>
    <row r="54" spans="2:5" ht="15.75">
      <c r="B54" s="262" t="s">
        <v>454</v>
      </c>
      <c r="C54" s="265">
        <f>SUM(C46:C52)</f>
        <v>314395</v>
      </c>
      <c r="D54" s="265">
        <f>SUM(D46:D52)</f>
        <v>313070</v>
      </c>
      <c r="E54" s="265">
        <f>SUM(E46:E52)</f>
        <v>347783</v>
      </c>
    </row>
    <row r="55" spans="2:5" ht="15.75">
      <c r="B55" s="150" t="s">
        <v>565</v>
      </c>
      <c r="C55" s="82">
        <f>C44-C54</f>
        <v>1833</v>
      </c>
      <c r="D55" s="82">
        <f>D44-D54</f>
        <v>6973</v>
      </c>
      <c r="E55" s="82">
        <f>E44-E54</f>
        <v>0</v>
      </c>
    </row>
    <row r="56" spans="2:5" ht="15.75">
      <c r="B56" s="136" t="str">
        <f>CONCATENATE("",E1-2,"/",E1-1," Budget Authority Amount:")</f>
        <v>2011/2012 Budget Authority Amount:</v>
      </c>
      <c r="C56" s="239">
        <f>inputOth!B80</f>
        <v>349467</v>
      </c>
      <c r="D56" s="239">
        <f>inputPrYr!D41</f>
        <v>343023</v>
      </c>
      <c r="E56" s="375">
        <f>IF(E55&lt;0,"See Tab E","")</f>
      </c>
    </row>
    <row r="57" spans="2:5" ht="15.75">
      <c r="B57" s="136"/>
      <c r="C57" s="275">
        <f>IF(C54&gt;C56,"See Tab A","")</f>
      </c>
      <c r="D57" s="275">
        <f>IF(D54&gt;D56,"See Tab C","")</f>
      </c>
      <c r="E57" s="47"/>
    </row>
    <row r="58" spans="2:5" ht="15.75">
      <c r="B58" s="136"/>
      <c r="C58" s="275">
        <f>IF(C55&lt;0,"See Tab B","")</f>
      </c>
      <c r="D58" s="275">
        <f>IF(D55&lt;0,"See Tab D","")</f>
      </c>
      <c r="E58" s="47"/>
    </row>
    <row r="59" spans="2:5" ht="15.75">
      <c r="B59" s="47"/>
      <c r="C59" s="47"/>
      <c r="D59" s="47"/>
      <c r="E59" s="47"/>
    </row>
    <row r="60" spans="2:5" ht="15.75">
      <c r="B60" s="399" t="s">
        <v>457</v>
      </c>
      <c r="C60" s="280">
        <v>14</v>
      </c>
      <c r="D60" s="47"/>
      <c r="E60" s="47"/>
    </row>
  </sheetData>
  <sheetProtection/>
  <conditionalFormatting sqref="C52">
    <cfRule type="cellIs" priority="12" dxfId="305" operator="greaterThan" stopIfTrue="1">
      <formula>$C$54*0.1</formula>
    </cfRule>
  </conditionalFormatting>
  <conditionalFormatting sqref="D52">
    <cfRule type="cellIs" priority="13" dxfId="305" operator="greaterThan" stopIfTrue="1">
      <formula>$D$54*0.1</formula>
    </cfRule>
  </conditionalFormatting>
  <conditionalFormatting sqref="E52">
    <cfRule type="cellIs" priority="14" dxfId="305" operator="greaterThan" stopIfTrue="1">
      <formula>$E$54*0.1</formula>
    </cfRule>
  </conditionalFormatting>
  <conditionalFormatting sqref="D54">
    <cfRule type="cellIs" priority="15" dxfId="3" operator="greaterThan" stopIfTrue="1">
      <formula>$D$56</formula>
    </cfRule>
  </conditionalFormatting>
  <conditionalFormatting sqref="C54">
    <cfRule type="cellIs" priority="16" dxfId="3" operator="greaterThan" stopIfTrue="1">
      <formula>$C$56</formula>
    </cfRule>
  </conditionalFormatting>
  <conditionalFormatting sqref="C55:E55 C26:E26">
    <cfRule type="cellIs" priority="17" dxfId="3" operator="lessThan" stopIfTrue="1">
      <formula>0</formula>
    </cfRule>
  </conditionalFormatting>
  <conditionalFormatting sqref="C23">
    <cfRule type="cellIs" priority="6" dxfId="305" operator="greaterThan" stopIfTrue="1">
      <formula>$C$25*0.1</formula>
    </cfRule>
  </conditionalFormatting>
  <conditionalFormatting sqref="D23">
    <cfRule type="cellIs" priority="7" dxfId="305" operator="greaterThan" stopIfTrue="1">
      <formula>$D$25*0.1</formula>
    </cfRule>
  </conditionalFormatting>
  <conditionalFormatting sqref="E23">
    <cfRule type="cellIs" priority="8" dxfId="305" operator="greaterThan" stopIfTrue="1">
      <formula>$E$25*0.1</formula>
    </cfRule>
  </conditionalFormatting>
  <conditionalFormatting sqref="C41">
    <cfRule type="cellIs" priority="9" dxfId="305" operator="greaterThan" stopIfTrue="1">
      <formula>$C$43*0.1</formula>
    </cfRule>
  </conditionalFormatting>
  <conditionalFormatting sqref="D41">
    <cfRule type="cellIs" priority="10" dxfId="305" operator="greaterThan" stopIfTrue="1">
      <formula>$D$43*0.1</formula>
    </cfRule>
  </conditionalFormatting>
  <conditionalFormatting sqref="E41">
    <cfRule type="cellIs" priority="11" dxfId="305" operator="greaterThan" stopIfTrue="1">
      <formula>$E$43*0.1</formula>
    </cfRule>
  </conditionalFormatting>
  <conditionalFormatting sqref="D25">
    <cfRule type="cellIs" priority="18" dxfId="3" operator="greaterThan" stopIfTrue="1">
      <formula>$D$27</formula>
    </cfRule>
  </conditionalFormatting>
  <conditionalFormatting sqref="C25">
    <cfRule type="cellIs" priority="19" dxfId="3" operator="greaterThan" stopIfTrue="1">
      <formula>$C$27</formula>
    </cfRule>
  </conditionalFormatting>
  <conditionalFormatting sqref="C11">
    <cfRule type="cellIs" priority="3" dxfId="305" operator="greaterThan" stopIfTrue="1">
      <formula>$C$13*0.1</formula>
    </cfRule>
  </conditionalFormatting>
  <conditionalFormatting sqref="D11">
    <cfRule type="cellIs" priority="4" dxfId="305" operator="greaterThan" stopIfTrue="1">
      <formula>$D$13*0.1</formula>
    </cfRule>
  </conditionalFormatting>
  <conditionalFormatting sqref="E11">
    <cfRule type="cellIs" priority="5" dxfId="305" operator="greaterThan" stopIfTrue="1">
      <formula>$E$13*0.1</formula>
    </cfRule>
  </conditionalFormatting>
  <printOptions horizontalCentered="1"/>
  <pageMargins left="0.68" right="0.5" top="0.87" bottom="0.5" header="0.5" footer="0.5"/>
  <pageSetup blackAndWhite="1" fitToHeight="1" fitToWidth="1" horizontalDpi="120" verticalDpi="120" orientation="portrait" scale="8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1">
      <selection activeCell="E41" sqref="E41"/>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t="str">
        <f>inputPrYr!B42</f>
        <v>Special Parks &amp; Rec - Fund 14</v>
      </c>
      <c r="C5" s="223" t="str">
        <f>CONCATENATE("Actual for ",E1-2,"")</f>
        <v>Actual for 2011</v>
      </c>
      <c r="D5" s="223" t="str">
        <f>CONCATENATE("Estimate for ",E1-1,"")</f>
        <v>Estimate for 2012</v>
      </c>
      <c r="E5" s="208" t="str">
        <f>CONCATENATE("Year for ",E1,"")</f>
        <v>Year for 2013</v>
      </c>
    </row>
    <row r="6" spans="2:5" ht="15.75">
      <c r="B6" s="250" t="s">
        <v>564</v>
      </c>
      <c r="C6" s="67">
        <v>29841</v>
      </c>
      <c r="D6" s="226">
        <f>C24</f>
        <v>18530</v>
      </c>
      <c r="E6" s="226">
        <f>D24</f>
        <v>5412</v>
      </c>
    </row>
    <row r="7" spans="2:5" ht="15.75">
      <c r="B7" s="254" t="s">
        <v>566</v>
      </c>
      <c r="C7" s="87"/>
      <c r="D7" s="87"/>
      <c r="E7" s="87"/>
    </row>
    <row r="8" spans="2:5" ht="15.75">
      <c r="B8" s="251" t="s">
        <v>440</v>
      </c>
      <c r="C8" s="67">
        <v>11917</v>
      </c>
      <c r="D8" s="67">
        <v>11307</v>
      </c>
      <c r="E8" s="67">
        <v>11000</v>
      </c>
    </row>
    <row r="9" spans="2:5" ht="15.75">
      <c r="B9" s="251" t="s">
        <v>1053</v>
      </c>
      <c r="C9" s="67">
        <v>0</v>
      </c>
      <c r="D9" s="67">
        <v>3845</v>
      </c>
      <c r="E9" s="67">
        <v>0</v>
      </c>
    </row>
    <row r="10" spans="2:5" ht="15.75">
      <c r="B10" s="259" t="s">
        <v>442</v>
      </c>
      <c r="C10" s="67">
        <v>132</v>
      </c>
      <c r="D10" s="67">
        <v>80</v>
      </c>
      <c r="E10" s="67">
        <v>60</v>
      </c>
    </row>
    <row r="11" spans="2:5" ht="15.75">
      <c r="B11" s="159" t="s">
        <v>1203</v>
      </c>
      <c r="C11" s="211">
        <v>0</v>
      </c>
      <c r="D11" s="211">
        <v>0</v>
      </c>
      <c r="E11" s="211">
        <v>0</v>
      </c>
    </row>
    <row r="12" spans="2:5" ht="15.75">
      <c r="B12" s="250" t="s">
        <v>1152</v>
      </c>
      <c r="C12" s="297">
        <f>IF(C13*0.1&lt;C11,"Exceed 10% Rule","")</f>
      </c>
      <c r="D12" s="261">
        <f>IF(D13*0.1&lt;D11,"Exceed 10% Rule","")</f>
      </c>
      <c r="E12" s="261">
        <f>IF(E13*0.1&lt;E11,"Exceed 10% Rule","")</f>
      </c>
    </row>
    <row r="13" spans="2:5" ht="15.75">
      <c r="B13" s="262" t="s">
        <v>443</v>
      </c>
      <c r="C13" s="265">
        <f>SUM(C8:C11)</f>
        <v>12049</v>
      </c>
      <c r="D13" s="265">
        <f>SUM(D8:D11)</f>
        <v>15232</v>
      </c>
      <c r="E13" s="265">
        <f>SUM(E8:E11)</f>
        <v>11060</v>
      </c>
    </row>
    <row r="14" spans="2:5" ht="15.75">
      <c r="B14" s="262" t="s">
        <v>448</v>
      </c>
      <c r="C14" s="265">
        <f>C6+C13</f>
        <v>41890</v>
      </c>
      <c r="D14" s="265">
        <f>D6+D13</f>
        <v>33762</v>
      </c>
      <c r="E14" s="265">
        <f>E6+E13</f>
        <v>16472</v>
      </c>
    </row>
    <row r="15" spans="2:5" ht="15.75">
      <c r="B15" s="150" t="s">
        <v>450</v>
      </c>
      <c r="C15" s="226"/>
      <c r="D15" s="226"/>
      <c r="E15" s="226"/>
    </row>
    <row r="16" spans="2:5" ht="15.75">
      <c r="B16" s="735" t="s">
        <v>950</v>
      </c>
      <c r="C16" s="67">
        <v>0</v>
      </c>
      <c r="D16" s="67">
        <v>0</v>
      </c>
      <c r="E16" s="67">
        <v>10472</v>
      </c>
    </row>
    <row r="17" spans="2:5" ht="15.75">
      <c r="B17" s="735" t="s">
        <v>982</v>
      </c>
      <c r="C17" s="67">
        <v>0</v>
      </c>
      <c r="D17" s="67"/>
      <c r="E17" s="67">
        <v>0</v>
      </c>
    </row>
    <row r="18" spans="2:5" ht="15.75">
      <c r="B18" s="735" t="s">
        <v>1010</v>
      </c>
      <c r="C18" s="67">
        <v>6860</v>
      </c>
      <c r="D18" s="67">
        <v>7000</v>
      </c>
      <c r="E18" s="67">
        <v>3500</v>
      </c>
    </row>
    <row r="19" spans="2:5" ht="15.75">
      <c r="B19" s="735" t="s">
        <v>984</v>
      </c>
      <c r="C19" s="67">
        <v>0</v>
      </c>
      <c r="D19" s="67">
        <v>4200</v>
      </c>
      <c r="E19" s="67">
        <v>2500</v>
      </c>
    </row>
    <row r="20" spans="2:5" ht="15.75">
      <c r="B20" s="735" t="s">
        <v>985</v>
      </c>
      <c r="C20" s="67">
        <v>16500</v>
      </c>
      <c r="D20" s="67">
        <v>17150</v>
      </c>
      <c r="E20" s="67">
        <v>0</v>
      </c>
    </row>
    <row r="21" spans="2:5" ht="15.75">
      <c r="B21" s="272" t="s">
        <v>1203</v>
      </c>
      <c r="C21" s="67">
        <v>0</v>
      </c>
      <c r="D21" s="256">
        <v>0</v>
      </c>
      <c r="E21" s="256">
        <v>0</v>
      </c>
    </row>
    <row r="22" spans="2:5" ht="15.75">
      <c r="B22" s="272" t="s">
        <v>1153</v>
      </c>
      <c r="C22" s="297">
        <f>IF(C23*0.1&lt;C21,"Exceed 10% Rule","")</f>
      </c>
      <c r="D22" s="261">
        <f>IF(D23*0.1&lt;D21,"Exceed 10% Rule","")</f>
      </c>
      <c r="E22" s="261">
        <f>IF(E23*0.1&lt;E21,"Exceed 10% Rule","")</f>
      </c>
    </row>
    <row r="23" spans="2:5" ht="15.75">
      <c r="B23" s="262" t="s">
        <v>454</v>
      </c>
      <c r="C23" s="265">
        <f>SUM(C16:C21)</f>
        <v>23360</v>
      </c>
      <c r="D23" s="265">
        <f>SUM(D16:D21)</f>
        <v>28350</v>
      </c>
      <c r="E23" s="265">
        <f>SUM(E16:E21)</f>
        <v>16472</v>
      </c>
    </row>
    <row r="24" spans="2:5" ht="15.75">
      <c r="B24" s="150" t="s">
        <v>565</v>
      </c>
      <c r="C24" s="82">
        <f>C14-C23</f>
        <v>18530</v>
      </c>
      <c r="D24" s="82">
        <f>D14-D23</f>
        <v>5412</v>
      </c>
      <c r="E24" s="82">
        <f>E14-E23</f>
        <v>0</v>
      </c>
    </row>
    <row r="25" spans="2:5" ht="15.75">
      <c r="B25" s="136" t="str">
        <f>CONCATENATE("",E1-2,"/",E1-1," Budget Authority Amount:")</f>
        <v>2011/2012 Budget Authority Amount:</v>
      </c>
      <c r="C25" s="239">
        <f>inputOth!B81</f>
        <v>34448</v>
      </c>
      <c r="D25" s="239">
        <f>inputPrYr!D42</f>
        <v>28581</v>
      </c>
      <c r="E25" s="375">
        <f>IF(E24&lt;0,"See Tab E","")</f>
      </c>
    </row>
    <row r="26" spans="2:5" ht="15.75">
      <c r="B26" s="136"/>
      <c r="C26" s="275">
        <f>IF(C23&gt;C25,"See Tab A","")</f>
      </c>
      <c r="D26" s="275">
        <f>IF(D23&gt;D25,"See Tab C","")</f>
      </c>
      <c r="E26" s="97"/>
    </row>
    <row r="27" spans="2:5" ht="15.75">
      <c r="B27" s="136"/>
      <c r="C27" s="275">
        <f>IF(C24&lt;0,"See Tab B","")</f>
      </c>
      <c r="D27" s="275">
        <f>IF(D24&lt;0,"See Tab D","")</f>
      </c>
      <c r="E27" s="97"/>
    </row>
    <row r="28" spans="2:5" ht="15.75">
      <c r="B28" s="47"/>
      <c r="C28" s="97"/>
      <c r="D28" s="97"/>
      <c r="E28" s="97"/>
    </row>
    <row r="29" spans="2:5" ht="15.75">
      <c r="B29" s="52" t="s">
        <v>435</v>
      </c>
      <c r="C29" s="292"/>
      <c r="D29" s="292"/>
      <c r="E29" s="292"/>
    </row>
    <row r="30" spans="2:5" ht="15.75">
      <c r="B30" s="47"/>
      <c r="C30" s="704" t="s">
        <v>388</v>
      </c>
      <c r="D30" s="705" t="s">
        <v>389</v>
      </c>
      <c r="E30" s="144" t="s">
        <v>390</v>
      </c>
    </row>
    <row r="31" spans="2:5" ht="15.75">
      <c r="B31" s="529" t="str">
        <f>inputPrYr!B43</f>
        <v>Water Treatment Plant - Fund 15</v>
      </c>
      <c r="C31" s="223" t="str">
        <f>CONCATENATE("Actual for ",$E$1-2,"")</f>
        <v>Actual for 2011</v>
      </c>
      <c r="D31" s="223" t="str">
        <f>CONCATENATE("Estimate for ",$E$1-1,"")</f>
        <v>Estimate for 2012</v>
      </c>
      <c r="E31" s="208" t="str">
        <f>CONCATENATE("Year for ",$E$1,"")</f>
        <v>Year for 2013</v>
      </c>
    </row>
    <row r="32" spans="2:5" ht="15.75">
      <c r="B32" s="250" t="s">
        <v>564</v>
      </c>
      <c r="C32" s="67">
        <v>263954</v>
      </c>
      <c r="D32" s="226">
        <f>C49</f>
        <v>265619</v>
      </c>
      <c r="E32" s="226">
        <f>D49</f>
        <v>267119</v>
      </c>
    </row>
    <row r="33" spans="2:5" ht="15.75">
      <c r="B33" s="254" t="s">
        <v>566</v>
      </c>
      <c r="C33" s="87"/>
      <c r="D33" s="87"/>
      <c r="E33" s="87"/>
    </row>
    <row r="34" spans="2:5" ht="15.75">
      <c r="B34" s="755" t="s">
        <v>1044</v>
      </c>
      <c r="C34" s="67">
        <v>0</v>
      </c>
      <c r="D34" s="67">
        <v>0</v>
      </c>
      <c r="E34" s="67">
        <v>0</v>
      </c>
    </row>
    <row r="35" spans="2:5" ht="15.75">
      <c r="B35" s="735" t="s">
        <v>1045</v>
      </c>
      <c r="C35" s="67">
        <v>0</v>
      </c>
      <c r="D35" s="67">
        <v>0</v>
      </c>
      <c r="E35" s="67">
        <v>0</v>
      </c>
    </row>
    <row r="36" spans="2:5" ht="15.75">
      <c r="B36" s="259" t="s">
        <v>442</v>
      </c>
      <c r="C36" s="67">
        <v>1665</v>
      </c>
      <c r="D36" s="67">
        <v>1500</v>
      </c>
      <c r="E36" s="67">
        <v>1600</v>
      </c>
    </row>
    <row r="37" spans="2:5" ht="15.75">
      <c r="B37" s="159" t="s">
        <v>1203</v>
      </c>
      <c r="C37" s="67">
        <v>0</v>
      </c>
      <c r="D37" s="256">
        <v>0</v>
      </c>
      <c r="E37" s="256">
        <v>0</v>
      </c>
    </row>
    <row r="38" spans="2:5" ht="15.75">
      <c r="B38" s="250" t="s">
        <v>1152</v>
      </c>
      <c r="C38" s="297">
        <f>IF(C39*0.1&lt;C37,"Exceed 10% Rule","")</f>
      </c>
      <c r="D38" s="261">
        <f>IF(D39*0.1&lt;D37,"Exceed 10% Rule","")</f>
      </c>
      <c r="E38" s="261">
        <f>IF(E39*0.1&lt;E37,"Exceed 10% Rule","")</f>
      </c>
    </row>
    <row r="39" spans="2:5" ht="15.75">
      <c r="B39" s="262" t="s">
        <v>443</v>
      </c>
      <c r="C39" s="265">
        <f>SUM(C34:C37)</f>
        <v>1665</v>
      </c>
      <c r="D39" s="265">
        <f>SUM(D34:D37)</f>
        <v>1500</v>
      </c>
      <c r="E39" s="265">
        <f>SUM(E34:E37)</f>
        <v>1600</v>
      </c>
    </row>
    <row r="40" spans="2:5" ht="15.75">
      <c r="B40" s="262" t="s">
        <v>448</v>
      </c>
      <c r="C40" s="265">
        <f>C32+C39</f>
        <v>265619</v>
      </c>
      <c r="D40" s="265">
        <f>D32+D39</f>
        <v>267119</v>
      </c>
      <c r="E40" s="265">
        <f>E32+E39</f>
        <v>268719</v>
      </c>
    </row>
    <row r="41" spans="2:5" ht="15.75">
      <c r="B41" s="150" t="s">
        <v>450</v>
      </c>
      <c r="C41" s="226"/>
      <c r="D41" s="226"/>
      <c r="E41" s="226"/>
    </row>
    <row r="42" spans="2:5" ht="15.75">
      <c r="B42" s="735" t="s">
        <v>613</v>
      </c>
      <c r="C42" s="67">
        <v>0</v>
      </c>
      <c r="D42" s="67">
        <v>0</v>
      </c>
      <c r="E42" s="67">
        <v>0</v>
      </c>
    </row>
    <row r="43" spans="2:5" ht="15.75">
      <c r="B43" s="735" t="s">
        <v>1046</v>
      </c>
      <c r="C43" s="67">
        <v>0</v>
      </c>
      <c r="D43" s="67">
        <v>0</v>
      </c>
      <c r="E43" s="67">
        <v>0</v>
      </c>
    </row>
    <row r="44" spans="2:5" ht="15.75">
      <c r="B44" s="735" t="s">
        <v>985</v>
      </c>
      <c r="C44" s="67">
        <v>0</v>
      </c>
      <c r="D44" s="67">
        <v>0</v>
      </c>
      <c r="E44" s="67">
        <v>268719</v>
      </c>
    </row>
    <row r="45" spans="2:5" ht="15.75">
      <c r="B45" s="735" t="s">
        <v>1047</v>
      </c>
      <c r="C45" s="67">
        <v>0</v>
      </c>
      <c r="D45" s="67">
        <v>0</v>
      </c>
      <c r="E45" s="67">
        <v>0</v>
      </c>
    </row>
    <row r="46" spans="2:5" ht="15.75">
      <c r="B46" s="272" t="s">
        <v>1203</v>
      </c>
      <c r="C46" s="67">
        <v>0</v>
      </c>
      <c r="D46" s="256">
        <v>0</v>
      </c>
      <c r="E46" s="256">
        <v>0</v>
      </c>
    </row>
    <row r="47" spans="2:5" ht="15.75">
      <c r="B47" s="272" t="s">
        <v>1153</v>
      </c>
      <c r="C47" s="297">
        <f>IF(C48*0.1&lt;C46,"Exceed 10% Rule","")</f>
      </c>
      <c r="D47" s="261">
        <f>IF(D48*0.1&lt;D46,"Exceed 10% Rule","")</f>
      </c>
      <c r="E47" s="261">
        <f>IF(E48*0.1&lt;E46,"Exceed 10% Rule","")</f>
      </c>
    </row>
    <row r="48" spans="2:5" ht="15.75">
      <c r="B48" s="262" t="s">
        <v>454</v>
      </c>
      <c r="C48" s="265">
        <f>SUM(C42:C46)</f>
        <v>0</v>
      </c>
      <c r="D48" s="265">
        <f>SUM(D42:D46)</f>
        <v>0</v>
      </c>
      <c r="E48" s="265">
        <f>SUM(E42:E46)</f>
        <v>268719</v>
      </c>
    </row>
    <row r="49" spans="2:5" ht="15.75">
      <c r="B49" s="150" t="s">
        <v>565</v>
      </c>
      <c r="C49" s="82">
        <f>C40-C48</f>
        <v>265619</v>
      </c>
      <c r="D49" s="82">
        <f>D40-D48</f>
        <v>267119</v>
      </c>
      <c r="E49" s="82">
        <f>E40-E48</f>
        <v>0</v>
      </c>
    </row>
    <row r="50" spans="2:5" ht="15.75">
      <c r="B50" s="136" t="str">
        <f>CONCATENATE("",E1-2,"/",E1-1," Budget Authority Amount:")</f>
        <v>2011/2012 Budget Authority Amount:</v>
      </c>
      <c r="C50" s="239">
        <f>inputOth!B82</f>
        <v>266789</v>
      </c>
      <c r="D50" s="239">
        <f>inputPrYr!D43</f>
        <v>267954</v>
      </c>
      <c r="E50" s="375">
        <f>IF(E49&lt;0,"See Tab E","")</f>
      </c>
    </row>
    <row r="51" spans="2:5" ht="15.75">
      <c r="B51" s="136"/>
      <c r="C51" s="275">
        <f>IF(C48&gt;C50,"See Tab A","")</f>
      </c>
      <c r="D51" s="275">
        <f>IF(D48&gt;D50,"See Tab C","")</f>
      </c>
      <c r="E51" s="47"/>
    </row>
    <row r="52" spans="2:5" ht="15.75">
      <c r="B52" s="136"/>
      <c r="C52" s="275">
        <f>IF(C49&lt;0,"See Tab B","")</f>
      </c>
      <c r="D52" s="275">
        <f>IF(D49&lt;0,"See Tab D","")</f>
      </c>
      <c r="E52" s="47"/>
    </row>
    <row r="53" spans="2:5" ht="15.75">
      <c r="B53" s="47"/>
      <c r="C53" s="47"/>
      <c r="D53" s="47"/>
      <c r="E53" s="47"/>
    </row>
    <row r="54" spans="2:5" ht="15.75">
      <c r="B54" s="399" t="s">
        <v>457</v>
      </c>
      <c r="C54" s="280">
        <v>15</v>
      </c>
      <c r="D54" s="47"/>
      <c r="E54" s="47"/>
    </row>
  </sheetData>
  <sheetProtection/>
  <conditionalFormatting sqref="C46">
    <cfRule type="cellIs" priority="15" dxfId="305" operator="greaterThan" stopIfTrue="1">
      <formula>$C$48*0.1</formula>
    </cfRule>
  </conditionalFormatting>
  <conditionalFormatting sqref="D46">
    <cfRule type="cellIs" priority="16" dxfId="305" operator="greaterThan" stopIfTrue="1">
      <formula>$D$48*0.1</formula>
    </cfRule>
  </conditionalFormatting>
  <conditionalFormatting sqref="E46">
    <cfRule type="cellIs" priority="17" dxfId="305" operator="greaterThan" stopIfTrue="1">
      <formula>$E$48*0.1</formula>
    </cfRule>
  </conditionalFormatting>
  <conditionalFormatting sqref="D48">
    <cfRule type="cellIs" priority="18" dxfId="3" operator="greaterThan" stopIfTrue="1">
      <formula>$D$50</formula>
    </cfRule>
  </conditionalFormatting>
  <conditionalFormatting sqref="C48">
    <cfRule type="cellIs" priority="19" dxfId="3" operator="greaterThan" stopIfTrue="1">
      <formula>$C$50</formula>
    </cfRule>
  </conditionalFormatting>
  <conditionalFormatting sqref="C49:E49 C24:E24">
    <cfRule type="cellIs" priority="20" dxfId="3" operator="lessThan" stopIfTrue="1">
      <formula>0</formula>
    </cfRule>
  </conditionalFormatting>
  <conditionalFormatting sqref="C37">
    <cfRule type="cellIs" priority="12" dxfId="305" operator="greaterThan" stopIfTrue="1">
      <formula>$C$39*0.1</formula>
    </cfRule>
  </conditionalFormatting>
  <conditionalFormatting sqref="D37">
    <cfRule type="cellIs" priority="13" dxfId="305" operator="greaterThan" stopIfTrue="1">
      <formula>$D$39*0.1</formula>
    </cfRule>
  </conditionalFormatting>
  <conditionalFormatting sqref="E37">
    <cfRule type="cellIs" priority="14" dxfId="305" operator="greaterThan" stopIfTrue="1">
      <formula>$E$39*0.1</formula>
    </cfRule>
  </conditionalFormatting>
  <conditionalFormatting sqref="C21">
    <cfRule type="cellIs" priority="9" dxfId="305" operator="greaterThan" stopIfTrue="1">
      <formula>$C$23*0.1</formula>
    </cfRule>
  </conditionalFormatting>
  <conditionalFormatting sqref="D21">
    <cfRule type="cellIs" priority="10" dxfId="305" operator="greaterThan" stopIfTrue="1">
      <formula>$D$23*0.1</formula>
    </cfRule>
  </conditionalFormatting>
  <conditionalFormatting sqref="E21">
    <cfRule type="cellIs" priority="11" dxfId="305" operator="greaterThan" stopIfTrue="1">
      <formula>$E$23*0.1</formula>
    </cfRule>
  </conditionalFormatting>
  <conditionalFormatting sqref="C23">
    <cfRule type="cellIs" priority="22" dxfId="3" operator="greaterThan" stopIfTrue="1">
      <formula>$C$25</formula>
    </cfRule>
  </conditionalFormatting>
  <conditionalFormatting sqref="D23">
    <cfRule type="cellIs" priority="1" dxfId="0" operator="greaterThan" stopIfTrue="1">
      <formula>$D$25</formula>
    </cfRule>
  </conditionalFormatting>
  <conditionalFormatting sqref="C11">
    <cfRule type="cellIs" priority="6" dxfId="305" operator="greaterThan" stopIfTrue="1">
      <formula>$C$13*0.1</formula>
    </cfRule>
  </conditionalFormatting>
  <conditionalFormatting sqref="D11">
    <cfRule type="cellIs" priority="7" dxfId="305" operator="greaterThan" stopIfTrue="1">
      <formula>$D$13*0.1</formula>
    </cfRule>
  </conditionalFormatting>
  <conditionalFormatting sqref="E11">
    <cfRule type="cellIs" priority="8" dxfId="305" operator="greaterThan" stopIfTrue="1">
      <formula>$E$13*0.1</formula>
    </cfRule>
  </conditionalFormatting>
  <printOptions horizontalCentered="1"/>
  <pageMargins left="0.84" right="0.5" top="1" bottom="0.5" header="0.5" footer="0.5"/>
  <pageSetup blackAndWhite="1" fitToHeight="1" fitToWidth="1" horizontalDpi="120" verticalDpi="120" orientation="portrait" scale="8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1"/>
  <sheetViews>
    <sheetView zoomScalePageLayoutView="0" workbookViewId="0" topLeftCell="A7">
      <selection activeCell="C17" sqref="C17"/>
    </sheetView>
  </sheetViews>
  <sheetFormatPr defaultColWidth="8.796875" defaultRowHeight="15"/>
  <cols>
    <col min="1" max="1" width="2.3984375" style="32" customWidth="1"/>
    <col min="2" max="2" width="34.796875" style="32" customWidth="1"/>
    <col min="3" max="4" width="15.796875" style="32" customWidth="1"/>
    <col min="5" max="5" width="16.09765625" style="32" customWidth="1"/>
    <col min="6" max="16384" width="8.8984375" style="32"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t="str">
        <f>inputPrYr!B44</f>
        <v>Waste Water TP - Fund 16 </v>
      </c>
      <c r="C5" s="223" t="str">
        <f>CONCATENATE("Actual for ",E1-2,"")</f>
        <v>Actual for 2011</v>
      </c>
      <c r="D5" s="223" t="str">
        <f>CONCATENATE("Estimate for ",E1-1,"")</f>
        <v>Estimate for 2012</v>
      </c>
      <c r="E5" s="208" t="str">
        <f>CONCATENATE("Year for ",E1,"")</f>
        <v>Year for 2013</v>
      </c>
    </row>
    <row r="6" spans="2:5" ht="15.75">
      <c r="B6" s="250" t="s">
        <v>564</v>
      </c>
      <c r="C6" s="67">
        <v>584230</v>
      </c>
      <c r="D6" s="226">
        <f>C31</f>
        <v>625662</v>
      </c>
      <c r="E6" s="226">
        <f>D31</f>
        <v>644369</v>
      </c>
    </row>
    <row r="7" spans="2:5" s="45" customFormat="1" ht="15.75">
      <c r="B7" s="254" t="s">
        <v>566</v>
      </c>
      <c r="C7" s="87"/>
      <c r="D7" s="87"/>
      <c r="E7" s="87"/>
    </row>
    <row r="8" spans="2:5" ht="15.75">
      <c r="B8" s="755" t="s">
        <v>1048</v>
      </c>
      <c r="C8" s="67">
        <v>3300</v>
      </c>
      <c r="D8" s="67">
        <v>9900</v>
      </c>
      <c r="E8" s="67">
        <v>6600</v>
      </c>
    </row>
    <row r="9" spans="2:5" ht="15.75">
      <c r="B9" s="735" t="s">
        <v>1049</v>
      </c>
      <c r="C9" s="67">
        <v>420378</v>
      </c>
      <c r="D9" s="67">
        <v>420000</v>
      </c>
      <c r="E9" s="67">
        <v>430000</v>
      </c>
    </row>
    <row r="10" spans="2:5" ht="15.75">
      <c r="B10" s="735" t="s">
        <v>973</v>
      </c>
      <c r="C10" s="67">
        <v>0</v>
      </c>
      <c r="D10" s="67">
        <v>0</v>
      </c>
      <c r="E10" s="67">
        <v>0</v>
      </c>
    </row>
    <row r="11" spans="2:5" ht="15.75">
      <c r="B11" s="259" t="s">
        <v>442</v>
      </c>
      <c r="C11" s="67">
        <v>3556</v>
      </c>
      <c r="D11" s="67">
        <v>3000</v>
      </c>
      <c r="E11" s="67">
        <v>3000</v>
      </c>
    </row>
    <row r="12" spans="2:5" ht="15.75">
      <c r="B12" s="159" t="s">
        <v>1203</v>
      </c>
      <c r="C12" s="67">
        <v>0</v>
      </c>
      <c r="D12" s="256">
        <v>0</v>
      </c>
      <c r="E12" s="256">
        <v>0</v>
      </c>
    </row>
    <row r="13" spans="2:5" ht="15.75">
      <c r="B13" s="250" t="s">
        <v>1152</v>
      </c>
      <c r="C13" s="297">
        <f>IF(C14*0.1&lt;C12,"Exceed 10% Rule","")</f>
      </c>
      <c r="D13" s="261">
        <f>IF(D14*0.1&lt;D12,"Exceed 10% Rule","")</f>
      </c>
      <c r="E13" s="261">
        <f>IF(E14*0.1&lt;E12,"Exceed 10% Rule","")</f>
      </c>
    </row>
    <row r="14" spans="2:5" ht="15.75">
      <c r="B14" s="262" t="s">
        <v>443</v>
      </c>
      <c r="C14" s="265">
        <f>SUM(C8:C12)</f>
        <v>427234</v>
      </c>
      <c r="D14" s="265">
        <f>SUM(D8:D12)</f>
        <v>432900</v>
      </c>
      <c r="E14" s="265">
        <f>SUM(E8:E12)</f>
        <v>439600</v>
      </c>
    </row>
    <row r="15" spans="2:5" ht="15.75">
      <c r="B15" s="262" t="s">
        <v>448</v>
      </c>
      <c r="C15" s="265">
        <f>C6+C14</f>
        <v>1011464</v>
      </c>
      <c r="D15" s="265">
        <f>D6+D14</f>
        <v>1058562</v>
      </c>
      <c r="E15" s="265">
        <f>E6+E14</f>
        <v>1083969</v>
      </c>
    </row>
    <row r="16" spans="2:5" ht="15.75">
      <c r="B16" s="150" t="s">
        <v>450</v>
      </c>
      <c r="C16" s="226"/>
      <c r="D16" s="226"/>
      <c r="E16" s="226"/>
    </row>
    <row r="17" spans="2:5" ht="15.75">
      <c r="B17" s="735" t="s">
        <v>982</v>
      </c>
      <c r="C17" s="67">
        <f>29410+2113</f>
        <v>31523</v>
      </c>
      <c r="D17" s="67">
        <v>35000</v>
      </c>
      <c r="E17" s="67">
        <v>61000</v>
      </c>
    </row>
    <row r="18" spans="2:5" ht="15.75">
      <c r="B18" s="735" t="s">
        <v>1010</v>
      </c>
      <c r="C18" s="67">
        <v>0</v>
      </c>
      <c r="D18" s="67">
        <v>10000</v>
      </c>
      <c r="E18" s="67">
        <v>20000</v>
      </c>
    </row>
    <row r="19" spans="2:5" ht="15.75">
      <c r="B19" s="735" t="s">
        <v>984</v>
      </c>
      <c r="C19" s="67">
        <v>4279</v>
      </c>
      <c r="D19" s="67">
        <v>10000</v>
      </c>
      <c r="E19" s="67">
        <v>10000</v>
      </c>
    </row>
    <row r="20" spans="2:5" ht="15.75">
      <c r="B20" s="735" t="s">
        <v>985</v>
      </c>
      <c r="C20" s="67">
        <v>0</v>
      </c>
      <c r="D20" s="67">
        <v>35000</v>
      </c>
      <c r="E20" s="67">
        <v>58000</v>
      </c>
    </row>
    <row r="21" spans="2:5" ht="15.75">
      <c r="B21" s="735" t="s">
        <v>1050</v>
      </c>
      <c r="C21" s="67">
        <v>300000</v>
      </c>
      <c r="D21" s="67">
        <v>200000</v>
      </c>
      <c r="E21" s="67">
        <v>0</v>
      </c>
    </row>
    <row r="22" spans="2:5" ht="15.75">
      <c r="B22" s="735" t="s">
        <v>1025</v>
      </c>
      <c r="C22" s="67">
        <v>0</v>
      </c>
      <c r="D22" s="67">
        <v>0</v>
      </c>
      <c r="E22" s="67">
        <v>0</v>
      </c>
    </row>
    <row r="23" spans="2:5" ht="15.75">
      <c r="B23" s="735" t="s">
        <v>978</v>
      </c>
      <c r="C23" s="67">
        <v>0</v>
      </c>
      <c r="D23" s="67">
        <v>0</v>
      </c>
      <c r="E23" s="67">
        <v>543011</v>
      </c>
    </row>
    <row r="24" spans="2:5" ht="15.75">
      <c r="B24" s="735" t="s">
        <v>190</v>
      </c>
      <c r="C24" s="67">
        <v>0</v>
      </c>
      <c r="D24" s="67">
        <v>0</v>
      </c>
      <c r="E24" s="67">
        <v>15000</v>
      </c>
    </row>
    <row r="25" spans="2:5" ht="15.75">
      <c r="B25" s="735" t="s">
        <v>1051</v>
      </c>
      <c r="C25" s="67">
        <v>0</v>
      </c>
      <c r="D25" s="67">
        <v>0</v>
      </c>
      <c r="E25" s="67">
        <v>30000</v>
      </c>
    </row>
    <row r="26" spans="2:5" ht="15.75">
      <c r="B26" s="271" t="s">
        <v>1017</v>
      </c>
      <c r="C26" s="67">
        <v>5000</v>
      </c>
      <c r="D26" s="67">
        <v>10000</v>
      </c>
      <c r="E26" s="67">
        <v>10000</v>
      </c>
    </row>
    <row r="27" spans="2:5" ht="15.75">
      <c r="B27" s="735" t="s">
        <v>1036</v>
      </c>
      <c r="C27" s="67">
        <v>25000</v>
      </c>
      <c r="D27" s="67">
        <f>89193+25000</f>
        <v>114193</v>
      </c>
      <c r="E27" s="67">
        <f>296958+25000</f>
        <v>321958</v>
      </c>
    </row>
    <row r="28" spans="2:5" ht="15.75">
      <c r="B28" s="272" t="s">
        <v>1203</v>
      </c>
      <c r="C28" s="67">
        <v>20000</v>
      </c>
      <c r="D28" s="256">
        <v>0</v>
      </c>
      <c r="E28" s="256">
        <v>15000</v>
      </c>
    </row>
    <row r="29" spans="2:5" ht="15.75">
      <c r="B29" s="272" t="s">
        <v>1153</v>
      </c>
      <c r="C29" s="297">
        <f>IF(C30*0.1&lt;C28,"Exceed 10% Rule","")</f>
      </c>
      <c r="D29" s="261">
        <f>IF(D30*0.1&lt;D28,"Exceed 10% Rule","")</f>
      </c>
      <c r="E29" s="261">
        <f>IF(E30*0.1&lt;E28,"Exceed 10% Rule","")</f>
      </c>
    </row>
    <row r="30" spans="2:5" ht="15.75">
      <c r="B30" s="262" t="s">
        <v>454</v>
      </c>
      <c r="C30" s="265">
        <f>SUM(C17:C28)</f>
        <v>385802</v>
      </c>
      <c r="D30" s="265">
        <f>SUM(D17:D28)</f>
        <v>414193</v>
      </c>
      <c r="E30" s="265">
        <f>SUM(E17:E28)</f>
        <v>1083969</v>
      </c>
    </row>
    <row r="31" spans="2:5" ht="15.75">
      <c r="B31" s="150" t="s">
        <v>565</v>
      </c>
      <c r="C31" s="82">
        <f>C15-C30</f>
        <v>625662</v>
      </c>
      <c r="D31" s="82">
        <f>D15-D30</f>
        <v>644369</v>
      </c>
      <c r="E31" s="82">
        <f>E15-E30</f>
        <v>0</v>
      </c>
    </row>
    <row r="32" spans="2:5" ht="15.75">
      <c r="B32" s="136" t="str">
        <f>CONCATENATE("",E1-2,"/",E1-1," Budget Authority Amount:")</f>
        <v>2011/2012 Budget Authority Amount:</v>
      </c>
      <c r="C32" s="239">
        <f>inputOth!B83</f>
        <v>905440</v>
      </c>
      <c r="D32" s="239">
        <f>inputPrYr!D44</f>
        <v>1035830</v>
      </c>
      <c r="E32" s="375">
        <f>IF(E31&lt;0,"See Tab E","")</f>
      </c>
    </row>
    <row r="33" spans="2:5" ht="15.75">
      <c r="B33" s="136"/>
      <c r="C33" s="275">
        <f>IF(C30&gt;C32,"See Tab A","")</f>
      </c>
      <c r="D33" s="275">
        <f>IF(D30&gt;D32,"See Tab C","")</f>
      </c>
      <c r="E33" s="97"/>
    </row>
    <row r="34" spans="2:5" ht="15.75">
      <c r="B34" s="136"/>
      <c r="C34" s="275">
        <f>IF(C31&lt;0,"See Tab B","")</f>
      </c>
      <c r="D34" s="275">
        <f>IF(D31&lt;0,"See Tab D","")</f>
      </c>
      <c r="E34" s="97"/>
    </row>
    <row r="35" spans="2:5" ht="15.75">
      <c r="B35" s="47"/>
      <c r="C35" s="97"/>
      <c r="D35" s="97"/>
      <c r="E35" s="97"/>
    </row>
    <row r="36" spans="2:5" ht="15.75">
      <c r="B36" s="52" t="s">
        <v>435</v>
      </c>
      <c r="C36" s="292"/>
      <c r="D36" s="292"/>
      <c r="E36" s="292"/>
    </row>
    <row r="37" spans="2:5" ht="15.75">
      <c r="B37" s="47"/>
      <c r="C37" s="704" t="s">
        <v>388</v>
      </c>
      <c r="D37" s="705" t="s">
        <v>389</v>
      </c>
      <c r="E37" s="144" t="s">
        <v>390</v>
      </c>
    </row>
    <row r="38" spans="2:5" ht="15.75">
      <c r="B38" s="529" t="str">
        <f>inputPrYr!B45</f>
        <v>Transient Guest Tax - Fund 20</v>
      </c>
      <c r="C38" s="223" t="str">
        <f>CONCATENATE("Actual for ",$E$1-2,"")</f>
        <v>Actual for 2011</v>
      </c>
      <c r="D38" s="223" t="str">
        <f>CONCATENATE("Estimate for ",$E$1-1,"")</f>
        <v>Estimate for 2012</v>
      </c>
      <c r="E38" s="208" t="str">
        <f>CONCATENATE("Year for ",$E$1,"")</f>
        <v>Year for 2013</v>
      </c>
    </row>
    <row r="39" spans="2:5" ht="15.75">
      <c r="B39" s="250" t="s">
        <v>564</v>
      </c>
      <c r="C39" s="67">
        <v>86186</v>
      </c>
      <c r="D39" s="226">
        <f>C56</f>
        <v>89300</v>
      </c>
      <c r="E39" s="226">
        <f>D56</f>
        <v>90300</v>
      </c>
    </row>
    <row r="40" spans="2:5" s="45" customFormat="1" ht="15.75">
      <c r="B40" s="254" t="s">
        <v>566</v>
      </c>
      <c r="C40" s="87"/>
      <c r="D40" s="87"/>
      <c r="E40" s="87"/>
    </row>
    <row r="41" spans="2:5" ht="15.75">
      <c r="B41" s="735" t="s">
        <v>1052</v>
      </c>
      <c r="C41" s="67">
        <v>32755</v>
      </c>
      <c r="D41" s="67">
        <v>33000</v>
      </c>
      <c r="E41" s="67">
        <v>33000</v>
      </c>
    </row>
    <row r="42" spans="2:5" ht="15.75">
      <c r="B42" s="735" t="s">
        <v>1053</v>
      </c>
      <c r="C42" s="67">
        <v>0</v>
      </c>
      <c r="D42" s="67">
        <v>0</v>
      </c>
      <c r="E42" s="67">
        <v>0</v>
      </c>
    </row>
    <row r="43" spans="2:5" ht="15.75">
      <c r="B43" s="259" t="s">
        <v>442</v>
      </c>
      <c r="C43" s="67">
        <v>554</v>
      </c>
      <c r="D43" s="67">
        <v>500</v>
      </c>
      <c r="E43" s="67">
        <v>500</v>
      </c>
    </row>
    <row r="44" spans="2:5" ht="15.75">
      <c r="B44" s="159" t="s">
        <v>1203</v>
      </c>
      <c r="C44" s="67">
        <v>0</v>
      </c>
      <c r="D44" s="256">
        <v>0</v>
      </c>
      <c r="E44" s="256">
        <v>0</v>
      </c>
    </row>
    <row r="45" spans="2:5" ht="15.75">
      <c r="B45" s="250" t="s">
        <v>1152</v>
      </c>
      <c r="C45" s="297">
        <f>IF(C46*0.1&lt;C44,"Exceed 10% Rule","")</f>
      </c>
      <c r="D45" s="261">
        <f>IF(D46*0.1&lt;D44,"Exceed 10% Rule","")</f>
      </c>
      <c r="E45" s="261">
        <f>IF(E46*0.1&lt;E44,"Exceed 10% Rule","")</f>
      </c>
    </row>
    <row r="46" spans="2:5" ht="15.75">
      <c r="B46" s="262" t="s">
        <v>443</v>
      </c>
      <c r="C46" s="265">
        <f>SUM(C41:C44)</f>
        <v>33309</v>
      </c>
      <c r="D46" s="265">
        <f>SUM(D41:D44)</f>
        <v>33500</v>
      </c>
      <c r="E46" s="265">
        <f>SUM(E41:E44)</f>
        <v>33500</v>
      </c>
    </row>
    <row r="47" spans="2:5" ht="15.75">
      <c r="B47" s="262" t="s">
        <v>448</v>
      </c>
      <c r="C47" s="265">
        <f>C39+C46</f>
        <v>119495</v>
      </c>
      <c r="D47" s="265">
        <f>D39+D46</f>
        <v>122800</v>
      </c>
      <c r="E47" s="265">
        <f>E39+E46</f>
        <v>123800</v>
      </c>
    </row>
    <row r="48" spans="2:5" ht="15.75">
      <c r="B48" s="150" t="s">
        <v>450</v>
      </c>
      <c r="C48" s="226"/>
      <c r="D48" s="226"/>
      <c r="E48" s="226"/>
    </row>
    <row r="49" spans="2:5" ht="15.75">
      <c r="B49" s="735" t="s">
        <v>1010</v>
      </c>
      <c r="C49" s="67">
        <v>0</v>
      </c>
      <c r="D49" s="67">
        <v>1000</v>
      </c>
      <c r="E49" s="67">
        <v>48800</v>
      </c>
    </row>
    <row r="50" spans="2:5" ht="15.75">
      <c r="B50" s="735" t="s">
        <v>1054</v>
      </c>
      <c r="C50" s="67">
        <v>10000</v>
      </c>
      <c r="D50" s="67">
        <v>10000</v>
      </c>
      <c r="E50" s="67">
        <v>10000</v>
      </c>
    </row>
    <row r="51" spans="2:5" ht="15.75">
      <c r="B51" s="271" t="s">
        <v>1055</v>
      </c>
      <c r="C51" s="67">
        <f>18728+1467</f>
        <v>20195</v>
      </c>
      <c r="D51" s="67">
        <v>19000</v>
      </c>
      <c r="E51" s="67">
        <v>20000</v>
      </c>
    </row>
    <row r="52" spans="2:5" ht="15.75">
      <c r="B52" s="271" t="s">
        <v>950</v>
      </c>
      <c r="C52" s="67">
        <v>0</v>
      </c>
      <c r="D52" s="67">
        <v>0</v>
      </c>
      <c r="E52" s="67">
        <v>40000</v>
      </c>
    </row>
    <row r="53" spans="2:5" ht="15.75">
      <c r="B53" s="272" t="s">
        <v>1203</v>
      </c>
      <c r="C53" s="67">
        <v>0</v>
      </c>
      <c r="D53" s="256">
        <v>2500</v>
      </c>
      <c r="E53" s="256">
        <v>5000</v>
      </c>
    </row>
    <row r="54" spans="2:5" ht="15.75">
      <c r="B54" s="272" t="s">
        <v>1153</v>
      </c>
      <c r="C54" s="297">
        <f>IF(C55*0.1&lt;C53,"Exceed 10% Rule","")</f>
      </c>
      <c r="D54" s="261">
        <f>IF(D55*0.1&lt;D53,"Exceed 10% Rule","")</f>
      </c>
      <c r="E54" s="261">
        <f>IF(E55*0.1&lt;E53,"Exceed 10% Rule","")</f>
      </c>
    </row>
    <row r="55" spans="2:5" ht="15.75">
      <c r="B55" s="262" t="s">
        <v>454</v>
      </c>
      <c r="C55" s="265">
        <f>SUM(C49:C53)</f>
        <v>30195</v>
      </c>
      <c r="D55" s="265">
        <f>SUM(D49:D53)</f>
        <v>32500</v>
      </c>
      <c r="E55" s="265">
        <f>SUM(E49:E53)</f>
        <v>123800</v>
      </c>
    </row>
    <row r="56" spans="2:5" ht="15.75">
      <c r="B56" s="150" t="s">
        <v>565</v>
      </c>
      <c r="C56" s="82">
        <f>C47-C55</f>
        <v>89300</v>
      </c>
      <c r="D56" s="82">
        <f>D47-D55</f>
        <v>90300</v>
      </c>
      <c r="E56" s="82">
        <f>E47-E55</f>
        <v>0</v>
      </c>
    </row>
    <row r="57" spans="2:5" ht="15.75">
      <c r="B57" s="136" t="str">
        <f>CONCATENATE("",E1-2,"/",E1-1," Budget Authority Amount:")</f>
        <v>2011/2012 Budget Authority Amount:</v>
      </c>
      <c r="C57" s="239">
        <f>inputOth!B84</f>
        <v>112635</v>
      </c>
      <c r="D57" s="239">
        <f>inputPrYr!D45</f>
        <v>81686</v>
      </c>
      <c r="E57" s="375">
        <f>IF(E56&lt;0,"See Tab E","")</f>
      </c>
    </row>
    <row r="58" spans="2:5" ht="15.75">
      <c r="B58" s="136"/>
      <c r="C58" s="275">
        <f>IF(C55&gt;C57,"See Tab A","")</f>
      </c>
      <c r="D58" s="275">
        <f>IF(D55&gt;D57,"See Tab C","")</f>
      </c>
      <c r="E58" s="47"/>
    </row>
    <row r="59" spans="2:5" ht="15.75">
      <c r="B59" s="136"/>
      <c r="C59" s="275">
        <f>IF(C56&lt;0,"See Tab B","")</f>
      </c>
      <c r="D59" s="275">
        <f>IF(D56&lt;0,"See Tab D","")</f>
      </c>
      <c r="E59" s="47"/>
    </row>
    <row r="60" spans="2:5" ht="15.75">
      <c r="B60" s="47"/>
      <c r="C60" s="47"/>
      <c r="D60" s="47"/>
      <c r="E60" s="47"/>
    </row>
    <row r="61" spans="2:5" ht="15.75">
      <c r="B61" s="399" t="s">
        <v>457</v>
      </c>
      <c r="C61" s="280">
        <v>16</v>
      </c>
      <c r="D61" s="47"/>
      <c r="E61" s="47"/>
    </row>
  </sheetData>
  <sheetProtection/>
  <conditionalFormatting sqref="C53">
    <cfRule type="cellIs" priority="12" dxfId="305" operator="greaterThan" stopIfTrue="1">
      <formula>$C$55*0.1</formula>
    </cfRule>
  </conditionalFormatting>
  <conditionalFormatting sqref="D53">
    <cfRule type="cellIs" priority="13" dxfId="305" operator="greaterThan" stopIfTrue="1">
      <formula>$D$55*0.1</formula>
    </cfRule>
  </conditionalFormatting>
  <conditionalFormatting sqref="E53">
    <cfRule type="cellIs" priority="14" dxfId="305" operator="greaterThan" stopIfTrue="1">
      <formula>$E$55*0.1</formula>
    </cfRule>
  </conditionalFormatting>
  <conditionalFormatting sqref="C55:D55">
    <cfRule type="cellIs" priority="15" dxfId="3" operator="greaterThan" stopIfTrue="1">
      <formula>$D$57</formula>
    </cfRule>
  </conditionalFormatting>
  <conditionalFormatting sqref="C56:E56 C31:E31">
    <cfRule type="cellIs" priority="16" dxfId="3" operator="lessThan" stopIfTrue="1">
      <formula>0</formula>
    </cfRule>
  </conditionalFormatting>
  <conditionalFormatting sqref="C44">
    <cfRule type="cellIs" priority="9" dxfId="305" operator="greaterThan" stopIfTrue="1">
      <formula>$C$46*0.1</formula>
    </cfRule>
  </conditionalFormatting>
  <conditionalFormatting sqref="D44">
    <cfRule type="cellIs" priority="10" dxfId="305" operator="greaterThan" stopIfTrue="1">
      <formula>$D$46*0.1</formula>
    </cfRule>
  </conditionalFormatting>
  <conditionalFormatting sqref="E44">
    <cfRule type="cellIs" priority="11" dxfId="305" operator="greaterThan" stopIfTrue="1">
      <formula>$E$46*0.1</formula>
    </cfRule>
  </conditionalFormatting>
  <conditionalFormatting sqref="C12">
    <cfRule type="cellIs" priority="3" dxfId="305" operator="greaterThan" stopIfTrue="1">
      <formula>$C$14*0.1</formula>
    </cfRule>
  </conditionalFormatting>
  <conditionalFormatting sqref="D12">
    <cfRule type="cellIs" priority="4" dxfId="305" operator="greaterThan" stopIfTrue="1">
      <formula>$D$14*0.1</formula>
    </cfRule>
  </conditionalFormatting>
  <conditionalFormatting sqref="E12">
    <cfRule type="cellIs" priority="5" dxfId="305" operator="greaterThan" stopIfTrue="1">
      <formula>$E$14*0.1</formula>
    </cfRule>
  </conditionalFormatting>
  <conditionalFormatting sqref="C28">
    <cfRule type="cellIs" priority="6" dxfId="305" operator="greaterThan" stopIfTrue="1">
      <formula>$C$30*0.1</formula>
    </cfRule>
  </conditionalFormatting>
  <conditionalFormatting sqref="D28">
    <cfRule type="cellIs" priority="7" dxfId="305" operator="greaterThan" stopIfTrue="1">
      <formula>$D$30*0.1</formula>
    </cfRule>
  </conditionalFormatting>
  <conditionalFormatting sqref="E28">
    <cfRule type="cellIs" priority="8" dxfId="305" operator="greaterThan" stopIfTrue="1">
      <formula>$E$30*0.1</formula>
    </cfRule>
  </conditionalFormatting>
  <conditionalFormatting sqref="D30">
    <cfRule type="cellIs" priority="17" dxfId="3" operator="greaterThan" stopIfTrue="1">
      <formula>$D$32</formula>
    </cfRule>
  </conditionalFormatting>
  <conditionalFormatting sqref="C30">
    <cfRule type="cellIs" priority="18" dxfId="3" operator="greaterThan" stopIfTrue="1">
      <formula>$C$32</formula>
    </cfRule>
  </conditionalFormatting>
  <printOptions horizontalCentered="1"/>
  <pageMargins left="0.63" right="0.5" top="1" bottom="0.5" header="0.5" footer="0.5"/>
  <pageSetup blackAndWhite="1" fitToHeight="1" fitToWidth="1" horizontalDpi="120" verticalDpi="120" orientation="portrait" scale="80"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5" sqref="B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f>inputPrYr!B46</f>
        <v>0</v>
      </c>
      <c r="C5" s="223" t="str">
        <f>CONCATENATE("Actual for ",E1-2,"")</f>
        <v>Actual for 2011</v>
      </c>
      <c r="D5" s="223" t="str">
        <f>CONCATENATE("Estimate for ",E1-1,"")</f>
        <v>Estimate for 2012</v>
      </c>
      <c r="E5" s="208" t="str">
        <f>CONCATENATE("Year for ",E1,"")</f>
        <v>Year for 2013</v>
      </c>
    </row>
    <row r="6" spans="2:5" ht="15.75">
      <c r="B6" s="250" t="s">
        <v>564</v>
      </c>
      <c r="C6" s="67"/>
      <c r="D6" s="226">
        <f>C29</f>
        <v>0</v>
      </c>
      <c r="E6" s="226">
        <f>D29</f>
        <v>0</v>
      </c>
    </row>
    <row r="7" spans="2:5" s="45" customFormat="1" ht="15.75">
      <c r="B7" s="254" t="s">
        <v>566</v>
      </c>
      <c r="C7" s="87"/>
      <c r="D7" s="87"/>
      <c r="E7" s="87"/>
    </row>
    <row r="8" spans="2:5" ht="15.75">
      <c r="B8" s="271"/>
      <c r="C8" s="67"/>
      <c r="D8" s="67"/>
      <c r="E8" s="67"/>
    </row>
    <row r="9" spans="2:5" ht="15.75">
      <c r="B9" s="271"/>
      <c r="C9" s="67"/>
      <c r="D9" s="67"/>
      <c r="E9" s="67"/>
    </row>
    <row r="10" spans="2:5" ht="15.75">
      <c r="B10" s="271"/>
      <c r="C10" s="67"/>
      <c r="D10" s="67"/>
      <c r="E10" s="67"/>
    </row>
    <row r="11" spans="2:5" ht="15.75">
      <c r="B11" s="271"/>
      <c r="C11" s="67"/>
      <c r="D11" s="67"/>
      <c r="E11" s="67"/>
    </row>
    <row r="12" spans="2:5" ht="15.75">
      <c r="B12" s="259" t="s">
        <v>442</v>
      </c>
      <c r="C12" s="67"/>
      <c r="D12" s="67"/>
      <c r="E12" s="67"/>
    </row>
    <row r="13" spans="2:5" ht="15.75">
      <c r="B13" s="159" t="s">
        <v>1203</v>
      </c>
      <c r="C13" s="67"/>
      <c r="D13" s="256"/>
      <c r="E13" s="256"/>
    </row>
    <row r="14" spans="2:5" ht="15.75">
      <c r="B14" s="250" t="s">
        <v>1152</v>
      </c>
      <c r="C14" s="297">
        <f>IF(C15*0.1&lt;C13,"Exceed 10% Rule","")</f>
      </c>
      <c r="D14" s="261">
        <f>IF(D15*0.1&lt;D13,"Exceed 10% Rule","")</f>
      </c>
      <c r="E14" s="261">
        <f>IF(E15*0.1&lt;E13,"Exceed 10% Rule","")</f>
      </c>
    </row>
    <row r="15" spans="2:5" ht="15.75">
      <c r="B15" s="262" t="s">
        <v>443</v>
      </c>
      <c r="C15" s="265">
        <f>SUM(C8:C13)</f>
        <v>0</v>
      </c>
      <c r="D15" s="265">
        <f>SUM(D8:D13)</f>
        <v>0</v>
      </c>
      <c r="E15" s="265">
        <f>SUM(E8:E13)</f>
        <v>0</v>
      </c>
    </row>
    <row r="16" spans="2:5" ht="15.75">
      <c r="B16" s="262" t="s">
        <v>448</v>
      </c>
      <c r="C16" s="265">
        <f>C6+C15</f>
        <v>0</v>
      </c>
      <c r="D16" s="265">
        <f>D6+D15</f>
        <v>0</v>
      </c>
      <c r="E16" s="265">
        <f>E6+E15</f>
        <v>0</v>
      </c>
    </row>
    <row r="17" spans="2:5" ht="15.75">
      <c r="B17" s="150" t="s">
        <v>450</v>
      </c>
      <c r="C17" s="226"/>
      <c r="D17" s="226"/>
      <c r="E17" s="226"/>
    </row>
    <row r="18" spans="2:5" ht="15.75">
      <c r="B18" s="271"/>
      <c r="C18" s="67"/>
      <c r="D18" s="67"/>
      <c r="E18" s="67"/>
    </row>
    <row r="19" spans="2:5" ht="15.75">
      <c r="B19" s="271"/>
      <c r="C19" s="67"/>
      <c r="D19" s="67"/>
      <c r="E19" s="67"/>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1203</v>
      </c>
      <c r="C26" s="67"/>
      <c r="D26" s="256"/>
      <c r="E26" s="256"/>
    </row>
    <row r="27" spans="2:5" ht="15.75">
      <c r="B27" s="272" t="s">
        <v>1153</v>
      </c>
      <c r="C27" s="297">
        <f>IF(C28*0.1&lt;C26,"Exceed 10% Rule","")</f>
      </c>
      <c r="D27" s="261">
        <f>IF(D28*0.1&lt;D26,"Exceed 10% Rule","")</f>
      </c>
      <c r="E27" s="261">
        <f>IF(E28*0.1&lt;E26,"Exceed 10% Rule","")</f>
      </c>
    </row>
    <row r="28" spans="2:5" ht="15.75">
      <c r="B28" s="262" t="s">
        <v>454</v>
      </c>
      <c r="C28" s="265">
        <f>SUM(C18:C26)</f>
        <v>0</v>
      </c>
      <c r="D28" s="265">
        <f>SUM(D18:D26)</f>
        <v>0</v>
      </c>
      <c r="E28" s="265">
        <f>SUM(E18:E26)</f>
        <v>0</v>
      </c>
    </row>
    <row r="29" spans="2:5" ht="15.75">
      <c r="B29" s="150" t="s">
        <v>565</v>
      </c>
      <c r="C29" s="82">
        <f>C16-C28</f>
        <v>0</v>
      </c>
      <c r="D29" s="82">
        <f>D16-D28</f>
        <v>0</v>
      </c>
      <c r="E29" s="82">
        <f>E16-E28</f>
        <v>0</v>
      </c>
    </row>
    <row r="30" spans="2:5" ht="15.75">
      <c r="B30" s="136" t="str">
        <f>CONCATENATE("",E1-2,"/",E1-1," Budget Authority Amount:")</f>
        <v>2011/2012 Budget Authority Amount:</v>
      </c>
      <c r="C30" s="239">
        <f>inputOth!B85</f>
        <v>0</v>
      </c>
      <c r="D30" s="239">
        <f>inputPrYr!D46</f>
        <v>0</v>
      </c>
      <c r="E30" s="375">
        <f>IF(E29&lt;0,"See Tab E","")</f>
      </c>
    </row>
    <row r="31" spans="2:5" ht="15.75">
      <c r="B31" s="136"/>
      <c r="C31" s="275">
        <f>IF(C28&gt;C30,"See Tab A","")</f>
      </c>
      <c r="D31" s="275">
        <f>IF(D28&gt;D30,"See Tab C","")</f>
      </c>
      <c r="E31" s="97"/>
    </row>
    <row r="32" spans="2:5" ht="15.75">
      <c r="B32" s="136"/>
      <c r="C32" s="275">
        <f>IF(C29&lt;0,"See Tab B","")</f>
      </c>
      <c r="D32" s="275">
        <f>IF(D29&lt;0,"See Tab D","")</f>
      </c>
      <c r="E32" s="97"/>
    </row>
    <row r="33" spans="2:5" ht="15.75">
      <c r="B33" s="47"/>
      <c r="C33" s="97"/>
      <c r="D33" s="97"/>
      <c r="E33" s="97"/>
    </row>
    <row r="34" spans="2:5" ht="15.75">
      <c r="B34" s="52" t="s">
        <v>435</v>
      </c>
      <c r="C34" s="292"/>
      <c r="D34" s="292"/>
      <c r="E34" s="292"/>
    </row>
    <row r="35" spans="2:5" ht="15.75">
      <c r="B35" s="47"/>
      <c r="C35" s="704" t="s">
        <v>388</v>
      </c>
      <c r="D35" s="705" t="s">
        <v>389</v>
      </c>
      <c r="E35" s="144" t="s">
        <v>390</v>
      </c>
    </row>
    <row r="36" spans="2:5" ht="15.75">
      <c r="B36" s="529">
        <f>inputPrYr!B47</f>
        <v>0</v>
      </c>
      <c r="C36" s="223" t="str">
        <f>CONCATENATE("Actual for ",$E$1-2,"")</f>
        <v>Actual for 2011</v>
      </c>
      <c r="D36" s="223" t="str">
        <f>CONCATENATE("Estimate for ",$E$1-1,"")</f>
        <v>Estimate for 2012</v>
      </c>
      <c r="E36" s="208" t="str">
        <f>CONCATENATE("Year for ",$E$1,"")</f>
        <v>Year for 2013</v>
      </c>
    </row>
    <row r="37" spans="2:5" ht="15.75">
      <c r="B37" s="250" t="s">
        <v>564</v>
      </c>
      <c r="C37" s="67"/>
      <c r="D37" s="226">
        <f>C60</f>
        <v>0</v>
      </c>
      <c r="E37" s="226">
        <f>D60</f>
        <v>0</v>
      </c>
    </row>
    <row r="38" spans="2:5" s="45" customFormat="1" ht="15.75">
      <c r="B38" s="254" t="s">
        <v>566</v>
      </c>
      <c r="C38" s="87"/>
      <c r="D38" s="87"/>
      <c r="E38" s="87"/>
    </row>
    <row r="39" spans="2:5" ht="15.75">
      <c r="B39" s="271"/>
      <c r="C39" s="67"/>
      <c r="D39" s="67"/>
      <c r="E39" s="67"/>
    </row>
    <row r="40" spans="2:5" ht="15.75">
      <c r="B40" s="271"/>
      <c r="C40" s="67"/>
      <c r="D40" s="67"/>
      <c r="E40" s="67"/>
    </row>
    <row r="41" spans="2:5" ht="15.75">
      <c r="B41" s="271"/>
      <c r="C41" s="67"/>
      <c r="D41" s="67"/>
      <c r="E41" s="67"/>
    </row>
    <row r="42" spans="2:5" ht="15.75">
      <c r="B42" s="271"/>
      <c r="C42" s="67"/>
      <c r="D42" s="67"/>
      <c r="E42" s="67"/>
    </row>
    <row r="43" spans="2:5" ht="15.75">
      <c r="B43" s="259" t="s">
        <v>442</v>
      </c>
      <c r="C43" s="67"/>
      <c r="D43" s="67"/>
      <c r="E43" s="67"/>
    </row>
    <row r="44" spans="2:5" ht="15.75">
      <c r="B44" s="159" t="s">
        <v>1203</v>
      </c>
      <c r="C44" s="67"/>
      <c r="D44" s="256"/>
      <c r="E44" s="256"/>
    </row>
    <row r="45" spans="2:5" ht="15.75">
      <c r="B45" s="250" t="s">
        <v>1152</v>
      </c>
      <c r="C45" s="297">
        <f>IF(C46*0.1&lt;C44,"Exceed 10% Rule","")</f>
      </c>
      <c r="D45" s="261">
        <f>IF(D46*0.1&lt;D44,"Exceed 10% Rule","")</f>
      </c>
      <c r="E45" s="261">
        <f>IF(E46*0.1&lt;E44,"Exceed 10% Rule","")</f>
      </c>
    </row>
    <row r="46" spans="2:5" ht="15.75">
      <c r="B46" s="262" t="s">
        <v>443</v>
      </c>
      <c r="C46" s="265">
        <f>SUM(C39:C44)</f>
        <v>0</v>
      </c>
      <c r="D46" s="265">
        <f>SUM(D39:D44)</f>
        <v>0</v>
      </c>
      <c r="E46" s="265">
        <f>SUM(E39:E44)</f>
        <v>0</v>
      </c>
    </row>
    <row r="47" spans="2:5" ht="15.75">
      <c r="B47" s="262" t="s">
        <v>448</v>
      </c>
      <c r="C47" s="265">
        <f>C37+C46</f>
        <v>0</v>
      </c>
      <c r="D47" s="265">
        <f>D37+D46</f>
        <v>0</v>
      </c>
      <c r="E47" s="265">
        <f>E37+E46</f>
        <v>0</v>
      </c>
    </row>
    <row r="48" spans="2:5" ht="15.75">
      <c r="B48" s="150" t="s">
        <v>450</v>
      </c>
      <c r="C48" s="226"/>
      <c r="D48" s="226"/>
      <c r="E48" s="226"/>
    </row>
    <row r="49" spans="2:5" ht="15.75">
      <c r="B49" s="271"/>
      <c r="C49" s="67"/>
      <c r="D49" s="67"/>
      <c r="E49" s="67"/>
    </row>
    <row r="50" spans="2:5" ht="15.75">
      <c r="B50" s="271"/>
      <c r="C50" s="67"/>
      <c r="D50" s="67"/>
      <c r="E50" s="67"/>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1203</v>
      </c>
      <c r="C57" s="67"/>
      <c r="D57" s="256"/>
      <c r="E57" s="256"/>
    </row>
    <row r="58" spans="2:5" ht="15.75">
      <c r="B58" s="272" t="s">
        <v>1153</v>
      </c>
      <c r="C58" s="297">
        <f>IF(C59*0.1&lt;C57,"Exceed 10% Rule","")</f>
      </c>
      <c r="D58" s="261">
        <f>IF(D59*0.1&lt;D57,"Exceed 10% Rule","")</f>
      </c>
      <c r="E58" s="261">
        <f>IF(E59*0.1&lt;E57,"Exceed 10% Rule","")</f>
      </c>
    </row>
    <row r="59" spans="2:5" ht="15.75">
      <c r="B59" s="262" t="s">
        <v>454</v>
      </c>
      <c r="C59" s="265">
        <f>SUM(C49:C57)</f>
        <v>0</v>
      </c>
      <c r="D59" s="265">
        <f>SUM(D49:D57)</f>
        <v>0</v>
      </c>
      <c r="E59" s="265">
        <f>SUM(E49:E57)</f>
        <v>0</v>
      </c>
    </row>
    <row r="60" spans="2:5" ht="15.75">
      <c r="B60" s="150" t="s">
        <v>565</v>
      </c>
      <c r="C60" s="82">
        <f>C47-C59</f>
        <v>0</v>
      </c>
      <c r="D60" s="82">
        <f>D47-D59</f>
        <v>0</v>
      </c>
      <c r="E60" s="82">
        <f>E47-E59</f>
        <v>0</v>
      </c>
    </row>
    <row r="61" spans="2:5" ht="15.75">
      <c r="B61" s="136" t="str">
        <f>CONCATENATE("",E1-2,"/",E1-1," Budget Authority Amount:")</f>
        <v>2011/2012 Budget Authority Amount:</v>
      </c>
      <c r="C61" s="239">
        <f>inputOth!B86</f>
        <v>0</v>
      </c>
      <c r="D61" s="239">
        <f>inputPrYr!D47</f>
        <v>0</v>
      </c>
      <c r="E61" s="375">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399" t="s">
        <v>457</v>
      </c>
      <c r="C65" s="280"/>
      <c r="D65" s="47"/>
      <c r="E65" s="47"/>
    </row>
  </sheetData>
  <sheetProtection sheet="1"/>
  <conditionalFormatting sqref="C13">
    <cfRule type="cellIs" priority="18" dxfId="305" operator="greaterThan" stopIfTrue="1">
      <formula>$C$15*0.1</formula>
    </cfRule>
  </conditionalFormatting>
  <conditionalFormatting sqref="D13">
    <cfRule type="cellIs" priority="17" dxfId="305" operator="greaterThan" stopIfTrue="1">
      <formula>$D$15*0.1</formula>
    </cfRule>
  </conditionalFormatting>
  <conditionalFormatting sqref="E13">
    <cfRule type="cellIs" priority="16" dxfId="305" operator="greaterThan" stopIfTrue="1">
      <formula>$E$15*0.1</formula>
    </cfRule>
  </conditionalFormatting>
  <conditionalFormatting sqref="C26">
    <cfRule type="cellIs" priority="15" dxfId="305" operator="greaterThan" stopIfTrue="1">
      <formula>$C$28*0.1</formula>
    </cfRule>
  </conditionalFormatting>
  <conditionalFormatting sqref="D26">
    <cfRule type="cellIs" priority="14" dxfId="305" operator="greaterThan" stopIfTrue="1">
      <formula>$D$28*0.1</formula>
    </cfRule>
  </conditionalFormatting>
  <conditionalFormatting sqref="E26">
    <cfRule type="cellIs" priority="13" dxfId="305" operator="greaterThan" stopIfTrue="1">
      <formula>$E$28*0.1</formula>
    </cfRule>
  </conditionalFormatting>
  <conditionalFormatting sqref="C44">
    <cfRule type="cellIs" priority="12" dxfId="305" operator="greaterThan" stopIfTrue="1">
      <formula>$C$46*0.1</formula>
    </cfRule>
  </conditionalFormatting>
  <conditionalFormatting sqref="D44">
    <cfRule type="cellIs" priority="11" dxfId="305" operator="greaterThan" stopIfTrue="1">
      <formula>$D$46*0.1</formula>
    </cfRule>
  </conditionalFormatting>
  <conditionalFormatting sqref="E44">
    <cfRule type="cellIs" priority="10" dxfId="305" operator="greaterThan" stopIfTrue="1">
      <formula>$E$46*0.1</formula>
    </cfRule>
  </conditionalFormatting>
  <conditionalFormatting sqref="C57">
    <cfRule type="cellIs" priority="9" dxfId="305" operator="greaterThan" stopIfTrue="1">
      <formula>$C$59*0.1</formula>
    </cfRule>
  </conditionalFormatting>
  <conditionalFormatting sqref="D57">
    <cfRule type="cellIs" priority="8" dxfId="305" operator="greaterThan" stopIfTrue="1">
      <formula>$D$59*0.1</formula>
    </cfRule>
  </conditionalFormatting>
  <conditionalFormatting sqref="E57">
    <cfRule type="cellIs" priority="7" dxfId="305"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5"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Paola</v>
      </c>
      <c r="C1" s="47"/>
      <c r="D1" s="47"/>
      <c r="E1" s="246">
        <f>inputPrYr!C5</f>
        <v>2013</v>
      </c>
    </row>
    <row r="2" spans="2:5" ht="15.75">
      <c r="B2" s="47"/>
      <c r="C2" s="47"/>
      <c r="D2" s="47"/>
      <c r="E2" s="169"/>
    </row>
    <row r="3" spans="2:5" ht="15.75">
      <c r="B3" s="247" t="s">
        <v>506</v>
      </c>
      <c r="C3" s="287"/>
      <c r="D3" s="287"/>
      <c r="E3" s="287"/>
    </row>
    <row r="4" spans="2:5" ht="15.75">
      <c r="B4" s="52" t="s">
        <v>435</v>
      </c>
      <c r="C4" s="704" t="s">
        <v>388</v>
      </c>
      <c r="D4" s="705" t="s">
        <v>389</v>
      </c>
      <c r="E4" s="144" t="s">
        <v>390</v>
      </c>
    </row>
    <row r="5" spans="2:5" ht="15.75">
      <c r="B5" s="529">
        <f>inputPrYr!B48</f>
        <v>0</v>
      </c>
      <c r="C5" s="223" t="str">
        <f>CONCATENATE("Actual for ",E1-2,"")</f>
        <v>Actual for 2011</v>
      </c>
      <c r="D5" s="223" t="str">
        <f>CONCATENATE("Estimate for ",E1-1,"")</f>
        <v>Estimate for 2012</v>
      </c>
      <c r="E5" s="208" t="str">
        <f>CONCATENATE("Year for ",E1,"")</f>
        <v>Year for 2013</v>
      </c>
    </row>
    <row r="6" spans="2:5" ht="15.75">
      <c r="B6" s="250" t="s">
        <v>564</v>
      </c>
      <c r="C6" s="67"/>
      <c r="D6" s="226">
        <f>C29</f>
        <v>0</v>
      </c>
      <c r="E6" s="226">
        <f>D29</f>
        <v>0</v>
      </c>
    </row>
    <row r="7" spans="2:5" s="45" customFormat="1" ht="15.75">
      <c r="B7" s="254" t="s">
        <v>566</v>
      </c>
      <c r="C7" s="87"/>
      <c r="D7" s="87"/>
      <c r="E7" s="87"/>
    </row>
    <row r="8" spans="2:5" ht="15.75">
      <c r="B8" s="271"/>
      <c r="C8" s="67"/>
      <c r="D8" s="67"/>
      <c r="E8" s="67"/>
    </row>
    <row r="9" spans="2:5" ht="15.75">
      <c r="B9" s="271"/>
      <c r="C9" s="67"/>
      <c r="D9" s="67"/>
      <c r="E9" s="67"/>
    </row>
    <row r="10" spans="2:5" ht="15.75">
      <c r="B10" s="271"/>
      <c r="C10" s="67"/>
      <c r="D10" s="67"/>
      <c r="E10" s="67"/>
    </row>
    <row r="11" spans="2:5" ht="15.75">
      <c r="B11" s="271"/>
      <c r="C11" s="67"/>
      <c r="D11" s="67"/>
      <c r="E11" s="67"/>
    </row>
    <row r="12" spans="2:5" ht="15.75">
      <c r="B12" s="259" t="s">
        <v>442</v>
      </c>
      <c r="C12" s="67"/>
      <c r="D12" s="67"/>
      <c r="E12" s="67"/>
    </row>
    <row r="13" spans="2:5" ht="15.75">
      <c r="B13" s="159" t="s">
        <v>1203</v>
      </c>
      <c r="C13" s="67"/>
      <c r="D13" s="256"/>
      <c r="E13" s="256"/>
    </row>
    <row r="14" spans="2:5" ht="15.75">
      <c r="B14" s="250" t="s">
        <v>1152</v>
      </c>
      <c r="C14" s="297">
        <f>IF(C15*0.1&lt;C13,"Exceed 10% Rule","")</f>
      </c>
      <c r="D14" s="261">
        <f>IF(D15*0.1&lt;D13,"Exceed 10% Rule","")</f>
      </c>
      <c r="E14" s="261">
        <f>IF(E15*0.1&lt;E13,"Exceed 10% Rule","")</f>
      </c>
    </row>
    <row r="15" spans="2:5" ht="15.75">
      <c r="B15" s="262" t="s">
        <v>443</v>
      </c>
      <c r="C15" s="265">
        <f>SUM(C8:C13)</f>
        <v>0</v>
      </c>
      <c r="D15" s="265">
        <f>SUM(D8:D13)</f>
        <v>0</v>
      </c>
      <c r="E15" s="265">
        <f>SUM(E8:E13)</f>
        <v>0</v>
      </c>
    </row>
    <row r="16" spans="2:5" ht="15.75">
      <c r="B16" s="262" t="s">
        <v>448</v>
      </c>
      <c r="C16" s="265">
        <f>C6+C15</f>
        <v>0</v>
      </c>
      <c r="D16" s="265">
        <f>D6+D15</f>
        <v>0</v>
      </c>
      <c r="E16" s="265">
        <f>E6+E15</f>
        <v>0</v>
      </c>
    </row>
    <row r="17" spans="2:5" ht="15.75">
      <c r="B17" s="150" t="s">
        <v>450</v>
      </c>
      <c r="C17" s="226"/>
      <c r="D17" s="226"/>
      <c r="E17" s="226"/>
    </row>
    <row r="18" spans="2:5" ht="15.75">
      <c r="B18" s="271"/>
      <c r="C18" s="67"/>
      <c r="D18" s="67"/>
      <c r="E18" s="67"/>
    </row>
    <row r="19" spans="2:5" ht="15.75">
      <c r="B19" s="271"/>
      <c r="C19" s="67"/>
      <c r="D19" s="67"/>
      <c r="E19" s="67"/>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1203</v>
      </c>
      <c r="C26" s="67"/>
      <c r="D26" s="256"/>
      <c r="E26" s="256"/>
    </row>
    <row r="27" spans="2:5" ht="15.75">
      <c r="B27" s="272" t="s">
        <v>1155</v>
      </c>
      <c r="C27" s="297">
        <f>IF(C28*0.1&lt;C26,"Exceed 10% Rule","")</f>
      </c>
      <c r="D27" s="261">
        <f>IF(D28*0.1&lt;D26,"Exceed 10% Rule","")</f>
      </c>
      <c r="E27" s="261">
        <f>IF(E28*0.1&lt;E26,"Exceed 10% Rule","")</f>
      </c>
    </row>
    <row r="28" spans="2:5" ht="15.75">
      <c r="B28" s="262" t="s">
        <v>454</v>
      </c>
      <c r="C28" s="265">
        <f>SUM(C18:C26)</f>
        <v>0</v>
      </c>
      <c r="D28" s="265">
        <f>SUM(D18:D26)</f>
        <v>0</v>
      </c>
      <c r="E28" s="265">
        <f>SUM(E18:E26)</f>
        <v>0</v>
      </c>
    </row>
    <row r="29" spans="2:5" ht="15.75">
      <c r="B29" s="150" t="s">
        <v>565</v>
      </c>
      <c r="C29" s="82">
        <f>C16-C28</f>
        <v>0</v>
      </c>
      <c r="D29" s="82">
        <f>D16-D28</f>
        <v>0</v>
      </c>
      <c r="E29" s="82">
        <f>E16-E28</f>
        <v>0</v>
      </c>
    </row>
    <row r="30" spans="2:5" ht="15.75">
      <c r="B30" s="136" t="str">
        <f>CONCATENATE("",E1-2,"/",E1-1," Budget Authority Amount:")</f>
        <v>2011/2012 Budget Authority Amount:</v>
      </c>
      <c r="C30" s="239">
        <f>inputOth!B87</f>
        <v>0</v>
      </c>
      <c r="D30" s="239">
        <f>inputPrYr!D48</f>
        <v>0</v>
      </c>
      <c r="E30" s="375">
        <f>IF(E29&lt;0,"See Tab E","")</f>
      </c>
    </row>
    <row r="31" spans="2:5" ht="15.75">
      <c r="B31" s="136"/>
      <c r="C31" s="376">
        <f>IF(C28&gt;C30,"See Tab A","")</f>
      </c>
      <c r="D31" s="275">
        <f>IF(D28&gt;D30,"See Tab C","")</f>
      </c>
      <c r="E31" s="97"/>
    </row>
    <row r="32" spans="2:5" ht="15.75">
      <c r="B32" s="136"/>
      <c r="C32" s="376">
        <f>IF(C29&lt;0,"See Tab B","")</f>
      </c>
      <c r="D32" s="275">
        <f>IF(D29&lt;0,"See Tab D","")</f>
      </c>
      <c r="E32" s="97"/>
    </row>
    <row r="33" spans="2:5" ht="15.75">
      <c r="B33" s="47"/>
      <c r="C33" s="377"/>
      <c r="D33" s="97"/>
      <c r="E33" s="97"/>
    </row>
    <row r="34" spans="2:5" ht="15.75">
      <c r="B34" s="52" t="s">
        <v>435</v>
      </c>
      <c r="C34" s="378"/>
      <c r="D34" s="292"/>
      <c r="E34" s="292"/>
    </row>
    <row r="35" spans="2:5" ht="15.75">
      <c r="B35" s="47"/>
      <c r="C35" s="704" t="s">
        <v>388</v>
      </c>
      <c r="D35" s="705" t="s">
        <v>389</v>
      </c>
      <c r="E35" s="144" t="s">
        <v>390</v>
      </c>
    </row>
    <row r="36" spans="2:5" ht="15.75">
      <c r="B36" s="529">
        <f>inputPrYr!B49</f>
        <v>0</v>
      </c>
      <c r="C36" s="223" t="str">
        <f>CONCATENATE("Actual for ",$E$1-2,"")</f>
        <v>Actual for 2011</v>
      </c>
      <c r="D36" s="223" t="str">
        <f>CONCATENATE("Estimate for ",$E$1-1,"")</f>
        <v>Estimate for 2012</v>
      </c>
      <c r="E36" s="208" t="str">
        <f>CONCATENATE("Year for ",$E$1,"")</f>
        <v>Year for 2013</v>
      </c>
    </row>
    <row r="37" spans="2:5" ht="15.75">
      <c r="B37" s="250" t="s">
        <v>564</v>
      </c>
      <c r="C37" s="67"/>
      <c r="D37" s="226">
        <f>C60</f>
        <v>0</v>
      </c>
      <c r="E37" s="226">
        <f>D60</f>
        <v>0</v>
      </c>
    </row>
    <row r="38" spans="2:5" s="45" customFormat="1" ht="15.75">
      <c r="B38" s="254" t="s">
        <v>566</v>
      </c>
      <c r="C38" s="87"/>
      <c r="D38" s="87"/>
      <c r="E38" s="87"/>
    </row>
    <row r="39" spans="2:5" ht="15.75">
      <c r="B39" s="271"/>
      <c r="C39" s="67"/>
      <c r="D39" s="67"/>
      <c r="E39" s="67"/>
    </row>
    <row r="40" spans="2:5" ht="15.75">
      <c r="B40" s="271"/>
      <c r="C40" s="67"/>
      <c r="D40" s="67"/>
      <c r="E40" s="67"/>
    </row>
    <row r="41" spans="2:5" ht="15.75">
      <c r="B41" s="271"/>
      <c r="C41" s="67"/>
      <c r="D41" s="67"/>
      <c r="E41" s="67"/>
    </row>
    <row r="42" spans="2:5" ht="15.75">
      <c r="B42" s="271"/>
      <c r="C42" s="67"/>
      <c r="D42" s="67"/>
      <c r="E42" s="67"/>
    </row>
    <row r="43" spans="2:5" ht="15.75">
      <c r="B43" s="259" t="s">
        <v>442</v>
      </c>
      <c r="C43" s="67"/>
      <c r="D43" s="67"/>
      <c r="E43" s="67"/>
    </row>
    <row r="44" spans="2:5" ht="15.75">
      <c r="B44" s="159" t="s">
        <v>1203</v>
      </c>
      <c r="C44" s="67"/>
      <c r="D44" s="256"/>
      <c r="E44" s="256"/>
    </row>
    <row r="45" spans="2:5" ht="15.75">
      <c r="B45" s="250" t="s">
        <v>1152</v>
      </c>
      <c r="C45" s="297">
        <f>IF(C46*0.1&lt;C44,"Exceed 10% Rule","")</f>
      </c>
      <c r="D45" s="261">
        <f>IF(D46*0.1&lt;D44,"Exceed 10% Rule","")</f>
      </c>
      <c r="E45" s="261">
        <f>IF(E46*0.1&lt;E44,"Exceed 10% Rule","")</f>
      </c>
    </row>
    <row r="46" spans="2:5" ht="15.75">
      <c r="B46" s="262" t="s">
        <v>443</v>
      </c>
      <c r="C46" s="265">
        <f>SUM(C39:C44)</f>
        <v>0</v>
      </c>
      <c r="D46" s="265">
        <f>SUM(D39:D44)</f>
        <v>0</v>
      </c>
      <c r="E46" s="265">
        <f>SUM(E39:E44)</f>
        <v>0</v>
      </c>
    </row>
    <row r="47" spans="2:5" ht="15.75">
      <c r="B47" s="262" t="s">
        <v>448</v>
      </c>
      <c r="C47" s="265">
        <f>C37+C46</f>
        <v>0</v>
      </c>
      <c r="D47" s="265">
        <f>D37+D46</f>
        <v>0</v>
      </c>
      <c r="E47" s="265">
        <f>E37+E46</f>
        <v>0</v>
      </c>
    </row>
    <row r="48" spans="2:5" ht="15.75">
      <c r="B48" s="150" t="s">
        <v>450</v>
      </c>
      <c r="C48" s="226"/>
      <c r="D48" s="226"/>
      <c r="E48" s="226"/>
    </row>
    <row r="49" spans="2:5" ht="15.75">
      <c r="B49" s="271"/>
      <c r="C49" s="67"/>
      <c r="D49" s="67"/>
      <c r="E49" s="67"/>
    </row>
    <row r="50" spans="2:5" ht="15.75">
      <c r="B50" s="271"/>
      <c r="C50" s="67"/>
      <c r="D50" s="67"/>
      <c r="E50" s="67"/>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1203</v>
      </c>
      <c r="C57" s="67"/>
      <c r="D57" s="256"/>
      <c r="E57" s="256"/>
    </row>
    <row r="58" spans="2:5" ht="15.75">
      <c r="B58" s="272" t="s">
        <v>1153</v>
      </c>
      <c r="C58" s="297">
        <f>IF(C59*0.1&lt;C57,"Exceed 10% Rule","")</f>
      </c>
      <c r="D58" s="261">
        <f>IF(D59*0.1&lt;D57,"Exceed 10% Rule","")</f>
      </c>
      <c r="E58" s="261">
        <f>IF(E59*0.1&lt;E57,"Exceed 10% Rule","")</f>
      </c>
    </row>
    <row r="59" spans="2:5" ht="15.75">
      <c r="B59" s="262" t="s">
        <v>454</v>
      </c>
      <c r="C59" s="265">
        <f>SUM(C49:C57)</f>
        <v>0</v>
      </c>
      <c r="D59" s="265">
        <f>SUM(D49:D57)</f>
        <v>0</v>
      </c>
      <c r="E59" s="265">
        <f>SUM(E49:E57)</f>
        <v>0</v>
      </c>
    </row>
    <row r="60" spans="2:5" ht="15.75">
      <c r="B60" s="150" t="s">
        <v>565</v>
      </c>
      <c r="C60" s="82">
        <f>C47-C59</f>
        <v>0</v>
      </c>
      <c r="D60" s="82">
        <f>D47-D59</f>
        <v>0</v>
      </c>
      <c r="E60" s="82">
        <f>E47-E59</f>
        <v>0</v>
      </c>
    </row>
    <row r="61" spans="2:5" ht="15.75">
      <c r="B61" s="136" t="str">
        <f>CONCATENATE("",E1-2,"/",E1-1," Budget Authority Amount:")</f>
        <v>2011/2012 Budget Authority Amount:</v>
      </c>
      <c r="C61" s="239">
        <f>inputOth!B88</f>
        <v>0</v>
      </c>
      <c r="D61" s="239">
        <f>inputPrYr!D49</f>
        <v>0</v>
      </c>
      <c r="E61" s="375">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399" t="s">
        <v>457</v>
      </c>
      <c r="C65" s="280"/>
      <c r="D65" s="47"/>
      <c r="E65" s="47"/>
    </row>
  </sheetData>
  <sheetProtection sheet="1"/>
  <conditionalFormatting sqref="C13">
    <cfRule type="cellIs" priority="18" dxfId="305" operator="greaterThan" stopIfTrue="1">
      <formula>$C$15*0.1</formula>
    </cfRule>
  </conditionalFormatting>
  <conditionalFormatting sqref="D13">
    <cfRule type="cellIs" priority="17" dxfId="305" operator="greaterThan" stopIfTrue="1">
      <formula>$D$15*0.1</formula>
    </cfRule>
  </conditionalFormatting>
  <conditionalFormatting sqref="E13">
    <cfRule type="cellIs" priority="16" dxfId="305" operator="greaterThan" stopIfTrue="1">
      <formula>$E$15*0.1</formula>
    </cfRule>
  </conditionalFormatting>
  <conditionalFormatting sqref="C26">
    <cfRule type="cellIs" priority="15" dxfId="305" operator="greaterThan" stopIfTrue="1">
      <formula>$C$28*0.1</formula>
    </cfRule>
  </conditionalFormatting>
  <conditionalFormatting sqref="D26">
    <cfRule type="cellIs" priority="14" dxfId="305" operator="greaterThan" stopIfTrue="1">
      <formula>$D$28*0.1</formula>
    </cfRule>
  </conditionalFormatting>
  <conditionalFormatting sqref="E26">
    <cfRule type="cellIs" priority="13" dxfId="305" operator="greaterThan" stopIfTrue="1">
      <formula>$E$28*0.1</formula>
    </cfRule>
  </conditionalFormatting>
  <conditionalFormatting sqref="C44">
    <cfRule type="cellIs" priority="12" dxfId="305" operator="greaterThan" stopIfTrue="1">
      <formula>$C$46*0.1</formula>
    </cfRule>
  </conditionalFormatting>
  <conditionalFormatting sqref="D44">
    <cfRule type="cellIs" priority="11" dxfId="305" operator="greaterThan" stopIfTrue="1">
      <formula>$D$46*0.1</formula>
    </cfRule>
  </conditionalFormatting>
  <conditionalFormatting sqref="E44">
    <cfRule type="cellIs" priority="10" dxfId="305" operator="greaterThan" stopIfTrue="1">
      <formula>$E$46*0.1</formula>
    </cfRule>
  </conditionalFormatting>
  <conditionalFormatting sqref="C57">
    <cfRule type="cellIs" priority="9" dxfId="305" operator="greaterThan" stopIfTrue="1">
      <formula>$C$59*0.1</formula>
    </cfRule>
  </conditionalFormatting>
  <conditionalFormatting sqref="D57">
    <cfRule type="cellIs" priority="8" dxfId="305" operator="greaterThan" stopIfTrue="1">
      <formula>$D$59*0.1</formula>
    </cfRule>
  </conditionalFormatting>
  <conditionalFormatting sqref="E57">
    <cfRule type="cellIs" priority="7" dxfId="305"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5"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106" customWidth="1"/>
    <col min="2" max="2" width="31.09765625" style="106" customWidth="1"/>
    <col min="3" max="4" width="15.796875" style="106" customWidth="1"/>
    <col min="5" max="5" width="16.296875" style="106" customWidth="1"/>
    <col min="6" max="16384" width="8.8984375" style="106" customWidth="1"/>
  </cols>
  <sheetData>
    <row r="1" spans="2:5" ht="15.75">
      <c r="B1" s="197" t="str">
        <f>(inputPrYr!D2)</f>
        <v>City of Paola</v>
      </c>
      <c r="C1" s="47"/>
      <c r="D1" s="47"/>
      <c r="E1" s="217">
        <f>inputPrYr!$C$5</f>
        <v>2013</v>
      </c>
    </row>
    <row r="2" spans="2:5" ht="15.75">
      <c r="B2" s="47"/>
      <c r="C2" s="47"/>
      <c r="D2" s="47"/>
      <c r="E2" s="169"/>
    </row>
    <row r="3" spans="2:5" ht="15.75">
      <c r="B3" s="247" t="s">
        <v>506</v>
      </c>
      <c r="C3" s="294"/>
      <c r="D3" s="294"/>
      <c r="E3" s="295"/>
    </row>
    <row r="4" spans="2:5" ht="15.75">
      <c r="B4" s="52" t="s">
        <v>435</v>
      </c>
      <c r="C4" s="704" t="s">
        <v>388</v>
      </c>
      <c r="D4" s="705" t="s">
        <v>389</v>
      </c>
      <c r="E4" s="144" t="s">
        <v>390</v>
      </c>
    </row>
    <row r="5" spans="2:5" ht="15.75">
      <c r="B5" s="529">
        <f>(inputPrYr!B51)</f>
        <v>0</v>
      </c>
      <c r="C5" s="223" t="str">
        <f>CONCATENATE("Actual for ",E1-2,"")</f>
        <v>Actual for 2011</v>
      </c>
      <c r="D5" s="223" t="str">
        <f>CONCATENATE("Estimate for ",E1-1,"")</f>
        <v>Estimate for 2012</v>
      </c>
      <c r="E5" s="208" t="str">
        <f>CONCATENATE("Year for ",E1,"")</f>
        <v>Year for 2013</v>
      </c>
    </row>
    <row r="6" spans="2:5" ht="15.75">
      <c r="B6" s="150" t="s">
        <v>564</v>
      </c>
      <c r="C6" s="255"/>
      <c r="D6" s="253">
        <f>C48</f>
        <v>0</v>
      </c>
      <c r="E6" s="226">
        <f>D48</f>
        <v>0</v>
      </c>
    </row>
    <row r="7" spans="2:5" ht="15.75">
      <c r="B7" s="283" t="s">
        <v>566</v>
      </c>
      <c r="C7" s="159"/>
      <c r="D7" s="159"/>
      <c r="E7" s="87"/>
    </row>
    <row r="8" spans="2:5" ht="15.75">
      <c r="B8" s="271"/>
      <c r="C8" s="255"/>
      <c r="D8" s="255"/>
      <c r="E8" s="258"/>
    </row>
    <row r="9" spans="2:5" ht="15.75">
      <c r="B9" s="271"/>
      <c r="C9" s="255"/>
      <c r="D9" s="255"/>
      <c r="E9" s="258"/>
    </row>
    <row r="10" spans="2:5" ht="15.75">
      <c r="B10" s="271"/>
      <c r="C10" s="255"/>
      <c r="D10" s="255"/>
      <c r="E10" s="258"/>
    </row>
    <row r="11" spans="2:5" ht="15.75">
      <c r="B11" s="271"/>
      <c r="C11" s="255"/>
      <c r="D11" s="255"/>
      <c r="E11" s="258"/>
    </row>
    <row r="12" spans="2:5" ht="15.75">
      <c r="B12" s="271"/>
      <c r="C12" s="255"/>
      <c r="D12" s="255"/>
      <c r="E12" s="258"/>
    </row>
    <row r="13" spans="2:5" ht="15.75">
      <c r="B13" s="271"/>
      <c r="C13" s="255"/>
      <c r="D13" s="255"/>
      <c r="E13" s="258"/>
    </row>
    <row r="14" spans="2:5" ht="15.75">
      <c r="B14" s="289"/>
      <c r="C14" s="255"/>
      <c r="D14" s="255"/>
      <c r="E14" s="108"/>
    </row>
    <row r="15" spans="2:5" ht="15.75">
      <c r="B15" s="271"/>
      <c r="C15" s="255"/>
      <c r="D15" s="255"/>
      <c r="E15" s="258"/>
    </row>
    <row r="16" spans="2:5" ht="15.75">
      <c r="B16" s="296" t="s">
        <v>442</v>
      </c>
      <c r="C16" s="255"/>
      <c r="D16" s="255"/>
      <c r="E16" s="258"/>
    </row>
    <row r="17" spans="2:5" ht="15.75">
      <c r="B17" s="159" t="s">
        <v>1203</v>
      </c>
      <c r="C17" s="255"/>
      <c r="D17" s="255"/>
      <c r="E17" s="258"/>
    </row>
    <row r="18" spans="2:5" ht="15.75">
      <c r="B18" s="250" t="s">
        <v>1152</v>
      </c>
      <c r="C18" s="260">
        <f>IF(C19*0.1&lt;C17,"Exceed 10% Rule","")</f>
      </c>
      <c r="D18" s="260">
        <f>IF(D19*0.1&lt;D17,"Exceed 10% Rule","")</f>
      </c>
      <c r="E18" s="297">
        <f>IF(E19*0.1&lt;E17,"Exceed 10% Rule","")</f>
      </c>
    </row>
    <row r="19" spans="2:5" ht="15.75">
      <c r="B19" s="262" t="s">
        <v>443</v>
      </c>
      <c r="C19" s="264">
        <f>SUM(C8:C17)</f>
        <v>0</v>
      </c>
      <c r="D19" s="264">
        <f>SUM(D8:D17)</f>
        <v>0</v>
      </c>
      <c r="E19" s="265">
        <f>SUM(E8:E17)</f>
        <v>0</v>
      </c>
    </row>
    <row r="20" spans="2:5" ht="15.75">
      <c r="B20" s="262" t="s">
        <v>448</v>
      </c>
      <c r="C20" s="264">
        <f>C6+C19</f>
        <v>0</v>
      </c>
      <c r="D20" s="264">
        <f>D6+D19</f>
        <v>0</v>
      </c>
      <c r="E20" s="265">
        <f>E6+E19</f>
        <v>0</v>
      </c>
    </row>
    <row r="21" spans="2:5" ht="15.75">
      <c r="B21" s="150" t="s">
        <v>450</v>
      </c>
      <c r="C21" s="159"/>
      <c r="D21" s="159"/>
      <c r="E21" s="87"/>
    </row>
    <row r="22" spans="2:5" ht="15.75">
      <c r="B22" s="271" t="s">
        <v>613</v>
      </c>
      <c r="C22" s="255"/>
      <c r="D22" s="255"/>
      <c r="E22" s="258"/>
    </row>
    <row r="23" spans="2:5" ht="15.75">
      <c r="B23" s="271" t="s">
        <v>1212</v>
      </c>
      <c r="C23" s="255"/>
      <c r="D23" s="255"/>
      <c r="E23" s="258"/>
    </row>
    <row r="24" spans="2:5" ht="15.75">
      <c r="B24" s="271"/>
      <c r="C24" s="255"/>
      <c r="D24" s="255"/>
      <c r="E24" s="108"/>
    </row>
    <row r="25" spans="2:5" ht="15.75">
      <c r="B25" s="271"/>
      <c r="C25" s="255"/>
      <c r="D25" s="255"/>
      <c r="E25" s="108"/>
    </row>
    <row r="26" spans="2:5" ht="15.75">
      <c r="B26" s="271"/>
      <c r="C26" s="255"/>
      <c r="D26" s="255"/>
      <c r="E26" s="108"/>
    </row>
    <row r="27" spans="2:5" ht="15.75">
      <c r="B27" s="271"/>
      <c r="C27" s="255"/>
      <c r="D27" s="255"/>
      <c r="E27" s="108"/>
    </row>
    <row r="28" spans="2:5" ht="15.75">
      <c r="B28" s="271"/>
      <c r="C28" s="255"/>
      <c r="D28" s="255"/>
      <c r="E28" s="108"/>
    </row>
    <row r="29" spans="2:5" ht="15.75">
      <c r="B29" s="271"/>
      <c r="C29" s="255"/>
      <c r="D29" s="255"/>
      <c r="E29" s="108"/>
    </row>
    <row r="30" spans="2:5" ht="15.75">
      <c r="B30" s="271"/>
      <c r="C30" s="255"/>
      <c r="D30" s="255"/>
      <c r="E30" s="108"/>
    </row>
    <row r="31" spans="2:5" ht="15.75">
      <c r="B31" s="271"/>
      <c r="C31" s="255"/>
      <c r="D31" s="255"/>
      <c r="E31" s="108"/>
    </row>
    <row r="32" spans="2:5" ht="15.75">
      <c r="B32" s="271"/>
      <c r="C32" s="255"/>
      <c r="D32" s="255"/>
      <c r="E32" s="108"/>
    </row>
    <row r="33" spans="2:5" ht="15.75">
      <c r="B33" s="271"/>
      <c r="C33" s="255"/>
      <c r="D33" s="255"/>
      <c r="E33" s="108"/>
    </row>
    <row r="34" spans="2:5" ht="15.75">
      <c r="B34" s="271"/>
      <c r="C34" s="255"/>
      <c r="D34" s="255"/>
      <c r="E34" s="108"/>
    </row>
    <row r="35" spans="2:5" ht="15.75">
      <c r="B35" s="271"/>
      <c r="C35" s="255"/>
      <c r="D35" s="255"/>
      <c r="E35" s="258"/>
    </row>
    <row r="36" spans="2:5" ht="15.75">
      <c r="B36" s="271"/>
      <c r="C36" s="255"/>
      <c r="D36" s="255"/>
      <c r="E36" s="258"/>
    </row>
    <row r="37" spans="2:5" ht="15.75">
      <c r="B37" s="271"/>
      <c r="C37" s="255"/>
      <c r="D37" s="255"/>
      <c r="E37" s="258"/>
    </row>
    <row r="38" spans="2:5" ht="15.75">
      <c r="B38" s="271"/>
      <c r="C38" s="255"/>
      <c r="D38" s="255"/>
      <c r="E38" s="258"/>
    </row>
    <row r="39" spans="2:5" ht="15.75">
      <c r="B39" s="271"/>
      <c r="C39" s="255"/>
      <c r="D39" s="255"/>
      <c r="E39" s="258"/>
    </row>
    <row r="40" spans="2:5" ht="15.75">
      <c r="B40" s="271"/>
      <c r="C40" s="255"/>
      <c r="D40" s="255"/>
      <c r="E40" s="258"/>
    </row>
    <row r="41" spans="2:5" ht="15.75">
      <c r="B41" s="271"/>
      <c r="C41" s="255"/>
      <c r="D41" s="255"/>
      <c r="E41" s="258"/>
    </row>
    <row r="42" spans="2:5" ht="15.75">
      <c r="B42" s="271"/>
      <c r="C42" s="255"/>
      <c r="D42" s="255"/>
      <c r="E42" s="258"/>
    </row>
    <row r="43" spans="2:5" ht="15.75">
      <c r="B43" s="271"/>
      <c r="C43" s="255"/>
      <c r="D43" s="255"/>
      <c r="E43" s="258"/>
    </row>
    <row r="44" spans="2:5" ht="15.75">
      <c r="B44" s="271"/>
      <c r="C44" s="255"/>
      <c r="D44" s="255"/>
      <c r="E44" s="258"/>
    </row>
    <row r="45" spans="2:5" ht="15.75">
      <c r="B45" s="272" t="s">
        <v>1203</v>
      </c>
      <c r="C45" s="255"/>
      <c r="D45" s="255"/>
      <c r="E45" s="258"/>
    </row>
    <row r="46" spans="2:5" ht="15.75">
      <c r="B46" s="272" t="s">
        <v>1153</v>
      </c>
      <c r="C46" s="260">
        <f>IF(C47*0.1&lt;C45,"Exceed 10% Rule","")</f>
      </c>
      <c r="D46" s="260">
        <f>IF(D47*0.1&lt;D45,"Exceed 10% Rule","")</f>
      </c>
      <c r="E46" s="297">
        <f>IF(E47*0.1&lt;E45,"Exceed 10% Rule","")</f>
      </c>
    </row>
    <row r="47" spans="2:5" ht="15.75">
      <c r="B47" s="262" t="s">
        <v>454</v>
      </c>
      <c r="C47" s="264">
        <f>SUM(C22:C45)</f>
        <v>0</v>
      </c>
      <c r="D47" s="264">
        <f>SUM(D22:D45)</f>
        <v>0</v>
      </c>
      <c r="E47" s="265">
        <f>SUM(E22:E45)</f>
        <v>0</v>
      </c>
    </row>
    <row r="48" spans="2:5" ht="15.75">
      <c r="B48" s="150" t="s">
        <v>565</v>
      </c>
      <c r="C48" s="268">
        <f>C20-C47</f>
        <v>0</v>
      </c>
      <c r="D48" s="268">
        <f>D20-D47</f>
        <v>0</v>
      </c>
      <c r="E48" s="82">
        <f>E20-E47</f>
        <v>0</v>
      </c>
    </row>
    <row r="49" spans="2:5" ht="15.75">
      <c r="B49" s="136" t="str">
        <f>CONCATENATE("",E1-2," Budget Authority Limited Amount:")</f>
        <v>2011 Budget Authority Limited Amount:</v>
      </c>
      <c r="C49" s="239">
        <f>inputOth!B89</f>
        <v>0</v>
      </c>
      <c r="D49" s="239">
        <f>inputPrYr!D51</f>
        <v>0</v>
      </c>
      <c r="E49" s="375">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399" t="s">
        <v>457</v>
      </c>
      <c r="C53" s="280"/>
      <c r="D53" s="68"/>
      <c r="E53" s="68"/>
    </row>
  </sheetData>
  <sheetProtection sheet="1"/>
  <conditionalFormatting sqref="E17">
    <cfRule type="cellIs" priority="4" dxfId="305" operator="greaterThan" stopIfTrue="1">
      <formula>$E$19*0.1</formula>
    </cfRule>
  </conditionalFormatting>
  <conditionalFormatting sqref="E45">
    <cfRule type="cellIs" priority="5" dxfId="305"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E17" sqref="E17"/>
    </sheetView>
  </sheetViews>
  <sheetFormatPr defaultColWidth="8.796875" defaultRowHeight="15"/>
  <cols>
    <col min="1" max="1" width="23.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Paola</v>
      </c>
      <c r="B1" s="68"/>
      <c r="C1" s="68"/>
      <c r="D1" s="68"/>
      <c r="E1" s="173">
        <f>inputPrYr!C5</f>
        <v>2013</v>
      </c>
    </row>
    <row r="2" spans="1:5" ht="15">
      <c r="A2" s="68"/>
      <c r="B2" s="68"/>
      <c r="C2" s="68"/>
      <c r="D2" s="68"/>
      <c r="E2" s="68"/>
    </row>
    <row r="3" spans="1:5" ht="15.75">
      <c r="A3" s="773" t="s">
        <v>675</v>
      </c>
      <c r="B3" s="774"/>
      <c r="C3" s="774"/>
      <c r="D3" s="774"/>
      <c r="E3" s="774"/>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45634271</v>
      </c>
    </row>
    <row r="8" spans="1:5" ht="15.75">
      <c r="A8" s="107" t="str">
        <f>CONCATENATE("New Improvements for ",E1-1,"")</f>
        <v>New Improvements for 2012</v>
      </c>
      <c r="B8" s="72"/>
      <c r="C8" s="72"/>
      <c r="D8" s="72"/>
      <c r="E8" s="108">
        <v>261330</v>
      </c>
    </row>
    <row r="9" spans="1:5" ht="15.75">
      <c r="A9" s="107" t="str">
        <f>CONCATENATE("Personal Property excluding oil, gas, mobile homes - ",E1-1,"")</f>
        <v>Personal Property excluding oil, gas, mobile homes - 2012</v>
      </c>
      <c r="B9" s="72"/>
      <c r="C9" s="72"/>
      <c r="D9" s="72"/>
      <c r="E9" s="108">
        <v>1648455</v>
      </c>
    </row>
    <row r="10" spans="1:5" ht="15.75">
      <c r="A10" s="109" t="s">
        <v>599</v>
      </c>
      <c r="B10" s="72"/>
      <c r="C10" s="72"/>
      <c r="D10" s="72"/>
      <c r="E10" s="87"/>
    </row>
    <row r="11" spans="1:5" ht="15.75">
      <c r="A11" s="107" t="s">
        <v>552</v>
      </c>
      <c r="B11" s="72"/>
      <c r="C11" s="72"/>
      <c r="D11" s="72"/>
      <c r="E11" s="108">
        <v>0</v>
      </c>
    </row>
    <row r="12" spans="1:5" ht="15.75">
      <c r="A12" s="107" t="s">
        <v>553</v>
      </c>
      <c r="B12" s="72"/>
      <c r="C12" s="72"/>
      <c r="D12" s="72"/>
      <c r="E12" s="108">
        <v>0</v>
      </c>
    </row>
    <row r="13" spans="1:5" ht="15.75">
      <c r="A13" s="107" t="s">
        <v>554</v>
      </c>
      <c r="B13" s="72"/>
      <c r="C13" s="72"/>
      <c r="D13" s="72"/>
      <c r="E13" s="108">
        <v>0</v>
      </c>
    </row>
    <row r="14" spans="1:5" ht="15.75">
      <c r="A14" s="107" t="str">
        <f>CONCATENATE("Property that has changed in use for ",E1-1,"")</f>
        <v>Property that has changed in use for 2012</v>
      </c>
      <c r="B14" s="72"/>
      <c r="C14" s="72"/>
      <c r="D14" s="72"/>
      <c r="E14" s="108">
        <v>869</v>
      </c>
    </row>
    <row r="15" spans="1:5" ht="15.75">
      <c r="A15" s="107" t="str">
        <f>CONCATENATE("Personal Property  excluding oil, gas, mobile homes- ",E1-2,"")</f>
        <v>Personal Property  excluding oil, gas, mobile homes- 2011</v>
      </c>
      <c r="B15" s="72"/>
      <c r="C15" s="72"/>
      <c r="D15" s="72"/>
      <c r="E15" s="108">
        <v>1823044</v>
      </c>
    </row>
    <row r="16" spans="1:5" ht="15.75">
      <c r="A16" s="107" t="str">
        <f>CONCATENATE("Gross earnings (intangible) tax estimate for ",E1,"")</f>
        <v>Gross earnings (intangible) tax estimate for 2013</v>
      </c>
      <c r="B16" s="72"/>
      <c r="C16" s="72"/>
      <c r="D16" s="93"/>
      <c r="E16" s="67">
        <v>0</v>
      </c>
    </row>
    <row r="17" spans="1:5" ht="15.75">
      <c r="A17" s="107" t="s">
        <v>600</v>
      </c>
      <c r="B17" s="72"/>
      <c r="C17" s="72"/>
      <c r="D17" s="72"/>
      <c r="E17" s="103"/>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82" t="s">
        <v>422</v>
      </c>
      <c r="B20" s="783"/>
      <c r="C20" s="68"/>
      <c r="D20" s="110" t="s">
        <v>478</v>
      </c>
      <c r="E20" s="84"/>
    </row>
    <row r="21" spans="1:5" ht="15.75">
      <c r="A21" s="70" t="str">
        <f>IF(inputPrYr!B17&gt;" ",(inputPrYr!B17)," ")</f>
        <v>General - Fund 01</v>
      </c>
      <c r="B21" s="71"/>
      <c r="C21" s="76"/>
      <c r="D21" s="111">
        <v>25.009</v>
      </c>
      <c r="E21" s="84"/>
    </row>
    <row r="22" spans="1:5" ht="15.75">
      <c r="A22" s="107" t="str">
        <f>IF(inputPrYr!B18&gt;" ",(inputPrYr!B18)," ")</f>
        <v>Bond &amp; Interest - Fund 06</v>
      </c>
      <c r="B22" s="72"/>
      <c r="C22" s="76"/>
      <c r="D22" s="112">
        <v>4.749</v>
      </c>
      <c r="E22" s="84"/>
    </row>
    <row r="23" spans="1:5" ht="15.75">
      <c r="A23" s="107" t="str">
        <f>IF(inputPrYr!B19&gt;" ",(inputPrYr!B19)," ")</f>
        <v>Library - Fund 02</v>
      </c>
      <c r="B23" s="72"/>
      <c r="C23" s="76"/>
      <c r="D23" s="112">
        <v>4.728</v>
      </c>
      <c r="E23" s="84"/>
    </row>
    <row r="24" spans="1:5" ht="15.75">
      <c r="A24" s="107" t="str">
        <f>IF(inputPrYr!B21&gt;" ",(inputPrYr!B21)," ")</f>
        <v>Employee Benefits - Fund 05</v>
      </c>
      <c r="B24" s="72"/>
      <c r="C24" s="76"/>
      <c r="D24" s="112">
        <v>6.823</v>
      </c>
      <c r="E24" s="84"/>
    </row>
    <row r="25" spans="1:5" ht="15.75">
      <c r="A25" s="107" t="str">
        <f>IF(inputPrYr!B22&gt;" ",(inputPrYr!B22)," ")</f>
        <v> </v>
      </c>
      <c r="B25" s="72"/>
      <c r="C25" s="76"/>
      <c r="D25" s="112"/>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2" t="s">
        <v>408</v>
      </c>
      <c r="D34" s="604">
        <f>SUM(D21:D33)</f>
        <v>41.309</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46449708</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409</v>
      </c>
      <c r="B39" s="71"/>
      <c r="C39" s="71"/>
      <c r="D39" s="119"/>
      <c r="E39" s="67">
        <f>175886+319</f>
        <v>176205</v>
      </c>
    </row>
    <row r="40" spans="1:5" ht="15.75">
      <c r="A40" s="107" t="s">
        <v>410</v>
      </c>
      <c r="B40" s="72"/>
      <c r="C40" s="72"/>
      <c r="D40" s="120"/>
      <c r="E40" s="67">
        <v>2324</v>
      </c>
    </row>
    <row r="41" spans="1:5" ht="15.75">
      <c r="A41" s="107" t="s">
        <v>601</v>
      </c>
      <c r="B41" s="72"/>
      <c r="C41" s="72"/>
      <c r="D41" s="120"/>
      <c r="E41" s="67">
        <v>1087</v>
      </c>
    </row>
    <row r="42" spans="1:5" ht="15.75">
      <c r="A42" s="107" t="s">
        <v>602</v>
      </c>
      <c r="B42" s="72"/>
      <c r="C42" s="72"/>
      <c r="D42" s="120"/>
      <c r="E42" s="67">
        <v>0</v>
      </c>
    </row>
    <row r="43" spans="1:5" ht="15.75">
      <c r="A43" s="107" t="s">
        <v>603</v>
      </c>
      <c r="B43" s="72"/>
      <c r="C43" s="72"/>
      <c r="D43" s="120"/>
      <c r="E43" s="67">
        <v>0</v>
      </c>
    </row>
    <row r="44" spans="1:5" ht="15.75">
      <c r="A44" s="47" t="s">
        <v>604</v>
      </c>
      <c r="B44" s="47"/>
      <c r="C44" s="47"/>
      <c r="D44" s="47"/>
      <c r="E44" s="47"/>
    </row>
    <row r="45" spans="1:5" ht="15.75">
      <c r="A45" s="46" t="s">
        <v>429</v>
      </c>
      <c r="B45" s="56"/>
      <c r="C45" s="56"/>
      <c r="D45" s="47"/>
      <c r="E45" s="47"/>
    </row>
    <row r="46" spans="1:5" ht="15.75">
      <c r="A46" s="70" t="str">
        <f>CONCATENATE("Actual Delinquency for ",E1-3," Tax - (rate .01213 = 1.213%, key in 1.2)")</f>
        <v>Actual Delinquency for 2010 Tax - (rate .01213 = 1.213%, key in 1.2)</v>
      </c>
      <c r="B46" s="71"/>
      <c r="C46" s="71"/>
      <c r="D46" s="81"/>
      <c r="E46" s="603">
        <v>0.03</v>
      </c>
    </row>
    <row r="47" spans="1:5" ht="15.75">
      <c r="A47" s="107" t="s">
        <v>272</v>
      </c>
      <c r="B47" s="107"/>
      <c r="C47" s="72"/>
      <c r="D47" s="72"/>
      <c r="E47" s="603">
        <v>0.06</v>
      </c>
    </row>
    <row r="48" spans="1:5" ht="15.75">
      <c r="A48" s="47"/>
      <c r="B48" s="47"/>
      <c r="C48" s="47"/>
      <c r="D48" s="47"/>
      <c r="E48" s="47"/>
    </row>
    <row r="49" spans="1:5" ht="15.75">
      <c r="A49" s="121" t="s">
        <v>1193</v>
      </c>
      <c r="B49" s="122"/>
      <c r="C49" s="123"/>
      <c r="D49" s="123"/>
      <c r="E49" s="123"/>
    </row>
    <row r="50" spans="1:5" ht="15.75">
      <c r="A50" s="124" t="str">
        <f>CONCATENATE("",E1," State Distribution for Kansas Gas Tax")</f>
        <v>2013 State Distribution for Kansas Gas Tax</v>
      </c>
      <c r="B50" s="125"/>
      <c r="C50" s="125"/>
      <c r="D50" s="126"/>
      <c r="E50" s="103">
        <v>145800</v>
      </c>
    </row>
    <row r="51" spans="1:5" ht="15.75">
      <c r="A51" s="127" t="str">
        <f>CONCATENATE("",E1," County Transfers for Gas**")</f>
        <v>2013 County Transfers for Gas**</v>
      </c>
      <c r="B51" s="128"/>
      <c r="C51" s="128"/>
      <c r="D51" s="129"/>
      <c r="E51" s="103">
        <v>0</v>
      </c>
    </row>
    <row r="52" spans="1:5" ht="15.75">
      <c r="A52" s="127" t="str">
        <f>CONCATENATE("Adjusted ",E1-1," State Distribution for Kansas Gas Tax")</f>
        <v>Adjusted 2012 State Distribution for Kansas Gas Tax</v>
      </c>
      <c r="B52" s="128"/>
      <c r="C52" s="128"/>
      <c r="D52" s="129"/>
      <c r="E52" s="103">
        <v>144690</v>
      </c>
    </row>
    <row r="53" spans="1:5" ht="15.75">
      <c r="A53" s="127" t="str">
        <f>CONCATENATE("Adjusted ",E1-1," County Transfers for Gas**")</f>
        <v>Adjusted 2012 County Transfers for Gas**</v>
      </c>
      <c r="B53" s="128"/>
      <c r="C53" s="128"/>
      <c r="D53" s="129"/>
      <c r="E53" s="103">
        <v>0</v>
      </c>
    </row>
    <row r="54" spans="1:5" ht="15">
      <c r="A54" s="784" t="s">
        <v>670</v>
      </c>
      <c r="B54" s="785"/>
      <c r="C54" s="785"/>
      <c r="D54" s="785"/>
      <c r="E54" s="785"/>
    </row>
    <row r="55" spans="1:5" ht="15">
      <c r="A55" s="130" t="s">
        <v>671</v>
      </c>
      <c r="B55" s="130"/>
      <c r="C55" s="130"/>
      <c r="D55" s="130"/>
      <c r="E55" s="130"/>
    </row>
    <row r="56" spans="1:5" ht="15">
      <c r="A56" s="68"/>
      <c r="B56" s="68"/>
      <c r="C56" s="68"/>
      <c r="D56" s="68"/>
      <c r="E56" s="68"/>
    </row>
    <row r="57" spans="1:5" ht="15.75">
      <c r="A57" s="786" t="str">
        <f>CONCATENATE("From the ",E1-2," Budget Certificate Page")</f>
        <v>From the 2011 Budget Certificate Page</v>
      </c>
      <c r="B57" s="787"/>
      <c r="C57" s="68"/>
      <c r="D57" s="68"/>
      <c r="E57" s="68"/>
    </row>
    <row r="58" spans="1:5" ht="15.75">
      <c r="A58" s="131"/>
      <c r="B58" s="131" t="str">
        <f>CONCATENATE("",E1-2," Expenditure Amounts")</f>
        <v>2011 Expenditure Amounts</v>
      </c>
      <c r="C58" s="780" t="str">
        <f>CONCATENATE("Note: If the ",E1-2," budget was amended, then the")</f>
        <v>Note: If the 2011 budget was amended, then the</v>
      </c>
      <c r="D58" s="781"/>
      <c r="E58" s="781"/>
    </row>
    <row r="59" spans="1:5" ht="15.75">
      <c r="A59" s="132" t="s">
        <v>1198</v>
      </c>
      <c r="B59" s="132" t="s">
        <v>1199</v>
      </c>
      <c r="C59" s="133" t="s">
        <v>1200</v>
      </c>
      <c r="D59" s="134"/>
      <c r="E59" s="134"/>
    </row>
    <row r="60" spans="1:5" ht="15.75">
      <c r="A60" s="135" t="str">
        <f>inputPrYr!B17</f>
        <v>General - Fund 01</v>
      </c>
      <c r="B60" s="103">
        <v>4017134</v>
      </c>
      <c r="C60" s="133" t="s">
        <v>1201</v>
      </c>
      <c r="D60" s="134"/>
      <c r="E60" s="134"/>
    </row>
    <row r="61" spans="1:5" ht="15.75">
      <c r="A61" s="135" t="str">
        <f>inputPrYr!B18</f>
        <v>Bond &amp; Interest - Fund 06</v>
      </c>
      <c r="B61" s="103">
        <v>2108092</v>
      </c>
      <c r="C61" s="133"/>
      <c r="D61" s="134"/>
      <c r="E61" s="134"/>
    </row>
    <row r="62" spans="1:5" ht="15.75">
      <c r="A62" s="135" t="str">
        <f>inputPrYr!B19</f>
        <v>Library - Fund 02</v>
      </c>
      <c r="B62" s="103">
        <v>297403</v>
      </c>
      <c r="C62" s="68"/>
      <c r="D62" s="68"/>
      <c r="E62" s="68"/>
    </row>
    <row r="63" spans="1:5" ht="15.75">
      <c r="A63" s="135" t="str">
        <f>inputPrYr!B21</f>
        <v>Employee Benefits - Fund 05</v>
      </c>
      <c r="B63" s="103">
        <v>1213890</v>
      </c>
      <c r="C63" s="68"/>
      <c r="D63" s="68"/>
      <c r="E63" s="68"/>
    </row>
    <row r="64" spans="1:5" ht="15.75">
      <c r="A64" s="135">
        <f>inputPrYr!B22</f>
        <v>0</v>
      </c>
      <c r="B64" s="103"/>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 - Fund 17</v>
      </c>
      <c r="B73" s="103">
        <v>211227</v>
      </c>
      <c r="C73" s="68"/>
      <c r="D73" s="68"/>
      <c r="E73" s="68"/>
    </row>
    <row r="74" spans="1:5" ht="15.75">
      <c r="A74" s="135" t="str">
        <f>inputPrYr!B35</f>
        <v>Sewer Service - Fund 04</v>
      </c>
      <c r="B74" s="103">
        <v>764643</v>
      </c>
      <c r="C74" s="68"/>
      <c r="D74" s="68"/>
      <c r="E74" s="68"/>
    </row>
    <row r="75" spans="1:5" ht="15.75">
      <c r="A75" s="135" t="str">
        <f>inputPrYr!B36</f>
        <v>Aquatics Center - Fund 07</v>
      </c>
      <c r="B75" s="103">
        <v>360909</v>
      </c>
      <c r="C75" s="68"/>
      <c r="D75" s="68"/>
      <c r="E75" s="68"/>
    </row>
    <row r="76" spans="1:5" ht="15.75">
      <c r="A76" s="135" t="str">
        <f>inputPrYr!B37</f>
        <v>Community Center - Fund 08</v>
      </c>
      <c r="B76" s="103">
        <v>152766</v>
      </c>
      <c r="C76" s="68"/>
      <c r="D76" s="68"/>
      <c r="E76" s="68"/>
    </row>
    <row r="77" spans="1:5" ht="15.75">
      <c r="A77" s="135" t="str">
        <f>inputPrYr!B38</f>
        <v>Water Utility - Fund 09</v>
      </c>
      <c r="B77" s="103">
        <v>1999749</v>
      </c>
      <c r="C77" s="68"/>
      <c r="D77" s="68"/>
      <c r="E77" s="68"/>
    </row>
    <row r="78" spans="1:5" ht="15.75">
      <c r="A78" s="135" t="str">
        <f>inputPrYr!B39</f>
        <v>Sewer Reserve - Fund 11</v>
      </c>
      <c r="B78" s="103">
        <v>144640</v>
      </c>
      <c r="C78" s="68"/>
      <c r="D78" s="68"/>
      <c r="E78" s="68"/>
    </row>
    <row r="79" spans="1:5" ht="15.75">
      <c r="A79" s="135" t="str">
        <f>inputPrYr!B40</f>
        <v>Stormwater - Fund 12</v>
      </c>
      <c r="B79" s="103">
        <v>216373</v>
      </c>
      <c r="C79" s="68"/>
      <c r="D79" s="68"/>
      <c r="E79" s="68"/>
    </row>
    <row r="80" spans="1:5" ht="15.75">
      <c r="A80" s="135" t="str">
        <f>inputPrYr!B41</f>
        <v>Health &amp; Sanitation - Fund 13</v>
      </c>
      <c r="B80" s="103">
        <v>349467</v>
      </c>
      <c r="C80" s="68"/>
      <c r="D80" s="68"/>
      <c r="E80" s="68"/>
    </row>
    <row r="81" spans="1:5" ht="15.75">
      <c r="A81" s="135" t="str">
        <f>inputPrYr!B42</f>
        <v>Special Parks &amp; Rec - Fund 14</v>
      </c>
      <c r="B81" s="103">
        <v>34448</v>
      </c>
      <c r="C81" s="68"/>
      <c r="D81" s="68"/>
      <c r="E81" s="68"/>
    </row>
    <row r="82" spans="1:5" ht="15.75">
      <c r="A82" s="135" t="str">
        <f>inputPrYr!B43</f>
        <v>Water Treatment Plant - Fund 15</v>
      </c>
      <c r="B82" s="103">
        <v>266789</v>
      </c>
      <c r="C82" s="68"/>
      <c r="D82" s="68"/>
      <c r="E82" s="68"/>
    </row>
    <row r="83" spans="1:5" ht="15.75">
      <c r="A83" s="135" t="str">
        <f>inputPrYr!B44</f>
        <v>Waste Water TP - Fund 16 </v>
      </c>
      <c r="B83" s="103">
        <v>905440</v>
      </c>
      <c r="C83" s="68"/>
      <c r="D83" s="68"/>
      <c r="E83" s="68"/>
    </row>
    <row r="84" spans="1:5" ht="15.75">
      <c r="A84" s="135" t="str">
        <f>inputPrYr!B45</f>
        <v>Transient Guest Tax - Fund 20</v>
      </c>
      <c r="B84" s="103">
        <v>112635</v>
      </c>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row r="93" ht="15">
      <c r="B93" s="734"/>
    </row>
  </sheetData>
  <sheetProtection/>
  <mergeCells count="5">
    <mergeCell ref="C58:E58"/>
    <mergeCell ref="A20:B20"/>
    <mergeCell ref="A54:E54"/>
    <mergeCell ref="A3:E3"/>
    <mergeCell ref="A57:B57"/>
  </mergeCells>
  <printOptions horizontalCentered="1"/>
  <pageMargins left="0.75" right="0.75" top="0.55" bottom="0.59" header="0.5" footer="0.5"/>
  <pageSetup blackAndWhite="1" fitToHeight="1" fitToWidth="1" horizontalDpi="600" verticalDpi="600" orientation="portrait" scale="55"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19921875" style="106" customWidth="1"/>
    <col min="6" max="16384" width="8.8984375" style="106" customWidth="1"/>
  </cols>
  <sheetData>
    <row r="1" spans="2:5" ht="15.75">
      <c r="B1" s="197" t="str">
        <f>(inputPrYr!D2)</f>
        <v>City of Paola</v>
      </c>
      <c r="C1" s="47"/>
      <c r="D1" s="47"/>
      <c r="E1" s="217">
        <f>inputPrYr!$C$5</f>
        <v>2013</v>
      </c>
    </row>
    <row r="2" spans="2:5" ht="15.75">
      <c r="B2" s="47"/>
      <c r="C2" s="47"/>
      <c r="D2" s="47"/>
      <c r="E2" s="169"/>
    </row>
    <row r="3" spans="2:5" ht="15.75">
      <c r="B3" s="247" t="s">
        <v>506</v>
      </c>
      <c r="C3" s="294"/>
      <c r="D3" s="294"/>
      <c r="E3" s="295"/>
    </row>
    <row r="4" spans="2:5" ht="15.75">
      <c r="B4" s="52" t="s">
        <v>435</v>
      </c>
      <c r="C4" s="704" t="s">
        <v>388</v>
      </c>
      <c r="D4" s="705" t="s">
        <v>389</v>
      </c>
      <c r="E4" s="144" t="s">
        <v>390</v>
      </c>
    </row>
    <row r="5" spans="2:5" ht="15.75">
      <c r="B5" s="529">
        <f>(inputPrYr!B52)</f>
        <v>0</v>
      </c>
      <c r="C5" s="223" t="str">
        <f>CONCATENATE("Actual for ",E1-2,"")</f>
        <v>Actual for 2011</v>
      </c>
      <c r="D5" s="223" t="str">
        <f>CONCATENATE("Estimate for ",E1-1,"")</f>
        <v>Estimate for 2012</v>
      </c>
      <c r="E5" s="208" t="str">
        <f>CONCATENATE("Year for ",E1,"")</f>
        <v>Year for 2013</v>
      </c>
    </row>
    <row r="6" spans="2:5" ht="15.75">
      <c r="B6" s="150" t="s">
        <v>564</v>
      </c>
      <c r="C6" s="67"/>
      <c r="D6" s="226">
        <f>C48</f>
        <v>0</v>
      </c>
      <c r="E6" s="226">
        <f>D48</f>
        <v>0</v>
      </c>
    </row>
    <row r="7" spans="2:5" ht="15.75">
      <c r="B7" s="283" t="s">
        <v>566</v>
      </c>
      <c r="C7" s="87"/>
      <c r="D7" s="87"/>
      <c r="E7" s="87"/>
    </row>
    <row r="8" spans="2:5" ht="15.75">
      <c r="B8" s="271"/>
      <c r="C8" s="258"/>
      <c r="D8" s="258"/>
      <c r="E8" s="258"/>
    </row>
    <row r="9" spans="2:5" ht="15.75">
      <c r="B9" s="271"/>
      <c r="C9" s="258"/>
      <c r="D9" s="258"/>
      <c r="E9" s="258"/>
    </row>
    <row r="10" spans="2:5" ht="15.75">
      <c r="B10" s="271"/>
      <c r="C10" s="258"/>
      <c r="D10" s="258"/>
      <c r="E10" s="258"/>
    </row>
    <row r="11" spans="2:5" ht="15.75">
      <c r="B11" s="271"/>
      <c r="C11" s="258"/>
      <c r="D11" s="258"/>
      <c r="E11" s="258"/>
    </row>
    <row r="12" spans="2:5" ht="15.75">
      <c r="B12" s="271"/>
      <c r="C12" s="258"/>
      <c r="D12" s="258"/>
      <c r="E12" s="258"/>
    </row>
    <row r="13" spans="2:5" ht="15.75">
      <c r="B13" s="271"/>
      <c r="C13" s="258"/>
      <c r="D13" s="258"/>
      <c r="E13" s="258"/>
    </row>
    <row r="14" spans="2:5" ht="15.75">
      <c r="B14" s="289"/>
      <c r="C14" s="108"/>
      <c r="D14" s="108"/>
      <c r="E14" s="108"/>
    </row>
    <row r="15" spans="2:5" ht="15.75">
      <c r="B15" s="271"/>
      <c r="C15" s="258"/>
      <c r="D15" s="258"/>
      <c r="E15" s="258"/>
    </row>
    <row r="16" spans="2:5" ht="15.75">
      <c r="B16" s="296" t="s">
        <v>442</v>
      </c>
      <c r="C16" s="258"/>
      <c r="D16" s="258"/>
      <c r="E16" s="258"/>
    </row>
    <row r="17" spans="2:5" ht="15.75">
      <c r="B17" s="159" t="s">
        <v>1203</v>
      </c>
      <c r="C17" s="258"/>
      <c r="D17" s="252"/>
      <c r="E17" s="252"/>
    </row>
    <row r="18" spans="2:5" ht="15.75">
      <c r="B18" s="250" t="s">
        <v>1152</v>
      </c>
      <c r="C18" s="297">
        <f>IF(C19*0.1&lt;C17,"Exceed 10% Rule","")</f>
      </c>
      <c r="D18" s="261">
        <f>IF(D19*0.1&lt;D17,"Exceed 10% Rule","")</f>
      </c>
      <c r="E18" s="261">
        <f>IF(E19*0.1&lt;E17,"Exceed 10% Rule","")</f>
      </c>
    </row>
    <row r="19" spans="2:5" ht="15.75">
      <c r="B19" s="262" t="s">
        <v>443</v>
      </c>
      <c r="C19" s="265">
        <f>SUM(C8:C17)</f>
        <v>0</v>
      </c>
      <c r="D19" s="265">
        <f>SUM(D8:D17)</f>
        <v>0</v>
      </c>
      <c r="E19" s="265">
        <f>SUM(E8:E17)</f>
        <v>0</v>
      </c>
    </row>
    <row r="20" spans="2:5" ht="15.75">
      <c r="B20" s="262" t="s">
        <v>448</v>
      </c>
      <c r="C20" s="265">
        <f>C6+C19</f>
        <v>0</v>
      </c>
      <c r="D20" s="265">
        <f>D6+D19</f>
        <v>0</v>
      </c>
      <c r="E20" s="265">
        <f>E6+E19</f>
        <v>0</v>
      </c>
    </row>
    <row r="21" spans="2:5" ht="15.75">
      <c r="B21" s="150" t="s">
        <v>450</v>
      </c>
      <c r="C21" s="87"/>
      <c r="D21" s="87"/>
      <c r="E21" s="87"/>
    </row>
    <row r="22" spans="2:5" ht="15.75">
      <c r="B22" s="271" t="s">
        <v>613</v>
      </c>
      <c r="C22" s="258"/>
      <c r="D22" s="258"/>
      <c r="E22" s="258"/>
    </row>
    <row r="23" spans="2:5" ht="15.75">
      <c r="B23" s="271" t="s">
        <v>1213</v>
      </c>
      <c r="C23" s="258"/>
      <c r="D23" s="258"/>
      <c r="E23" s="258"/>
    </row>
    <row r="24" spans="2:5" ht="15.75">
      <c r="B24" s="271"/>
      <c r="C24" s="108"/>
      <c r="D24" s="108"/>
      <c r="E24" s="108"/>
    </row>
    <row r="25" spans="2:5" ht="15.75">
      <c r="B25" s="271"/>
      <c r="C25" s="108"/>
      <c r="D25" s="108"/>
      <c r="E25" s="108"/>
    </row>
    <row r="26" spans="2:5" ht="15.75">
      <c r="B26" s="271"/>
      <c r="C26" s="108"/>
      <c r="D26" s="108"/>
      <c r="E26" s="108"/>
    </row>
    <row r="27" spans="2:5" ht="15.75">
      <c r="B27" s="271"/>
      <c r="C27" s="108"/>
      <c r="D27" s="108"/>
      <c r="E27" s="108"/>
    </row>
    <row r="28" spans="2:5" ht="15.75">
      <c r="B28" s="271"/>
      <c r="C28" s="108"/>
      <c r="D28" s="108"/>
      <c r="E28" s="108"/>
    </row>
    <row r="29" spans="2:5" ht="15.75">
      <c r="B29" s="271"/>
      <c r="C29" s="108"/>
      <c r="D29" s="108"/>
      <c r="E29" s="108"/>
    </row>
    <row r="30" spans="2:5" ht="15.75">
      <c r="B30" s="271"/>
      <c r="C30" s="108"/>
      <c r="D30" s="108"/>
      <c r="E30" s="108"/>
    </row>
    <row r="31" spans="2:5" ht="15.75">
      <c r="B31" s="271"/>
      <c r="C31" s="108"/>
      <c r="D31" s="108"/>
      <c r="E31" s="108"/>
    </row>
    <row r="32" spans="2:5" ht="15.75">
      <c r="B32" s="271"/>
      <c r="C32" s="108"/>
      <c r="D32" s="108"/>
      <c r="E32" s="108"/>
    </row>
    <row r="33" spans="2:5" ht="15.75">
      <c r="B33" s="271"/>
      <c r="C33" s="108"/>
      <c r="D33" s="108"/>
      <c r="E33" s="108"/>
    </row>
    <row r="34" spans="2:5" ht="15.75">
      <c r="B34" s="271"/>
      <c r="C34" s="108"/>
      <c r="D34" s="108"/>
      <c r="E34" s="108"/>
    </row>
    <row r="35" spans="2:5" ht="15.75">
      <c r="B35" s="271"/>
      <c r="C35" s="258"/>
      <c r="D35" s="258"/>
      <c r="E35" s="258"/>
    </row>
    <row r="36" spans="2:5" ht="15.75">
      <c r="B36" s="271"/>
      <c r="C36" s="258"/>
      <c r="D36" s="258"/>
      <c r="E36" s="258"/>
    </row>
    <row r="37" spans="2:5" ht="15.75">
      <c r="B37" s="271"/>
      <c r="C37" s="258"/>
      <c r="D37" s="258"/>
      <c r="E37" s="258"/>
    </row>
    <row r="38" spans="2:5" ht="15.75">
      <c r="B38" s="271"/>
      <c r="C38" s="258"/>
      <c r="D38" s="258"/>
      <c r="E38" s="258"/>
    </row>
    <row r="39" spans="2:5" ht="15.75">
      <c r="B39" s="271"/>
      <c r="C39" s="258"/>
      <c r="D39" s="258"/>
      <c r="E39" s="258"/>
    </row>
    <row r="40" spans="2:5" ht="15.75">
      <c r="B40" s="271"/>
      <c r="C40" s="258"/>
      <c r="D40" s="258"/>
      <c r="E40" s="258"/>
    </row>
    <row r="41" spans="2:5" ht="15.75">
      <c r="B41" s="271"/>
      <c r="C41" s="258"/>
      <c r="D41" s="258"/>
      <c r="E41" s="258"/>
    </row>
    <row r="42" spans="2:5" ht="15.75">
      <c r="B42" s="271"/>
      <c r="C42" s="258"/>
      <c r="D42" s="258"/>
      <c r="E42" s="258"/>
    </row>
    <row r="43" spans="2:5" ht="15.75">
      <c r="B43" s="271"/>
      <c r="C43" s="258"/>
      <c r="D43" s="258"/>
      <c r="E43" s="258"/>
    </row>
    <row r="44" spans="2:5" ht="15.75">
      <c r="B44" s="271"/>
      <c r="C44" s="258"/>
      <c r="D44" s="258"/>
      <c r="E44" s="258"/>
    </row>
    <row r="45" spans="2:5" ht="15.75">
      <c r="B45" s="272" t="s">
        <v>1203</v>
      </c>
      <c r="C45" s="258"/>
      <c r="D45" s="252"/>
      <c r="E45" s="252"/>
    </row>
    <row r="46" spans="2:5" ht="15.75">
      <c r="B46" s="272" t="s">
        <v>1153</v>
      </c>
      <c r="C46" s="297">
        <f>IF(C47*0.1&lt;C45,"Exceed 10% Rule","")</f>
      </c>
      <c r="D46" s="261">
        <f>IF(D47*0.1&lt;D45,"Exceed 10% Rule","")</f>
      </c>
      <c r="E46" s="261">
        <f>IF(E47*0.1&lt;E45,"Exceed 10% Rule","")</f>
      </c>
    </row>
    <row r="47" spans="2:5" ht="15.75">
      <c r="B47" s="262" t="s">
        <v>454</v>
      </c>
      <c r="C47" s="265">
        <f>SUM(C22:C45)</f>
        <v>0</v>
      </c>
      <c r="D47" s="265">
        <f>SUM(D22:D45)</f>
        <v>0</v>
      </c>
      <c r="E47" s="265">
        <f>SUM(E22:E45)</f>
        <v>0</v>
      </c>
    </row>
    <row r="48" spans="2:5" ht="15.75">
      <c r="B48" s="150" t="s">
        <v>565</v>
      </c>
      <c r="C48" s="82">
        <f>C20-C47</f>
        <v>0</v>
      </c>
      <c r="D48" s="82">
        <f>D20-D47</f>
        <v>0</v>
      </c>
      <c r="E48" s="82">
        <f>E20-E47</f>
        <v>0</v>
      </c>
    </row>
    <row r="49" spans="2:5" ht="15.75">
      <c r="B49" s="136" t="str">
        <f>CONCATENATE("",E1-2," Budget Authority Limited Amount:")</f>
        <v>2011 Budget Authority Limited Amount:</v>
      </c>
      <c r="C49" s="239">
        <f>inputOth!B90</f>
        <v>0</v>
      </c>
      <c r="D49" s="239">
        <f>inputPrYr!D52</f>
        <v>0</v>
      </c>
      <c r="E49" s="375">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399" t="s">
        <v>457</v>
      </c>
      <c r="C53" s="280"/>
      <c r="D53" s="68"/>
      <c r="E53" s="68"/>
    </row>
  </sheetData>
  <sheetProtection sheet="1"/>
  <conditionalFormatting sqref="E17">
    <cfRule type="cellIs" priority="2" dxfId="305" operator="greaterThan" stopIfTrue="1">
      <formula>$E$19*0.1</formula>
    </cfRule>
  </conditionalFormatting>
  <conditionalFormatting sqref="E45">
    <cfRule type="cellIs" priority="3" dxfId="305" operator="greaterThan" stopIfTrue="1">
      <formula>$E$47*0.1</formula>
    </cfRule>
  </conditionalFormatting>
  <conditionalFormatting sqref="D17">
    <cfRule type="cellIs" priority="4" dxfId="305" operator="greaterThan" stopIfTrue="1">
      <formula>$D$19*0.1</formula>
    </cfRule>
  </conditionalFormatting>
  <conditionalFormatting sqref="D45">
    <cfRule type="cellIs" priority="5" dxfId="305" operator="greaterThan" stopIfTrue="1">
      <formula>$D$47*0.1</formula>
    </cfRule>
  </conditionalFormatting>
  <conditionalFormatting sqref="C17">
    <cfRule type="cellIs" priority="6" dxfId="305" operator="greaterThan" stopIfTrue="1">
      <formula>$C$19*0.1</formula>
    </cfRule>
  </conditionalFormatting>
  <conditionalFormatting sqref="C45">
    <cfRule type="cellIs" priority="7" dxfId="305"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9" sqref="G9"/>
    </sheetView>
  </sheetViews>
  <sheetFormatPr defaultColWidth="8.796875" defaultRowHeight="15"/>
  <cols>
    <col min="1" max="1" width="2.3984375" style="106" customWidth="1"/>
    <col min="2" max="2" width="31.09765625" style="106" customWidth="1"/>
    <col min="3" max="4" width="15.796875" style="106" customWidth="1"/>
    <col min="5" max="5" width="16.3984375" style="106" customWidth="1"/>
    <col min="6" max="16384" width="8.8984375" style="106" customWidth="1"/>
  </cols>
  <sheetData>
    <row r="1" spans="2:5" ht="15.75">
      <c r="B1" s="197" t="str">
        <f>(inputPrYr!D2)</f>
        <v>City of Paola</v>
      </c>
      <c r="C1" s="47"/>
      <c r="D1" s="47"/>
      <c r="E1" s="217">
        <f>inputPrYr!$C$5</f>
        <v>2013</v>
      </c>
    </row>
    <row r="2" spans="2:5" ht="15.75">
      <c r="B2" s="47"/>
      <c r="C2" s="47"/>
      <c r="D2" s="47"/>
      <c r="E2" s="169"/>
    </row>
    <row r="3" spans="2:5" ht="15.75">
      <c r="B3" s="247" t="s">
        <v>506</v>
      </c>
      <c r="C3" s="294"/>
      <c r="D3" s="294"/>
      <c r="E3" s="295"/>
    </row>
    <row r="4" spans="2:5" ht="15.75">
      <c r="B4" s="52" t="s">
        <v>435</v>
      </c>
      <c r="C4" s="704" t="s">
        <v>388</v>
      </c>
      <c r="D4" s="705" t="s">
        <v>389</v>
      </c>
      <c r="E4" s="144" t="s">
        <v>390</v>
      </c>
    </row>
    <row r="5" spans="2:5" ht="15.75">
      <c r="B5" s="529">
        <f>(inputPrYr!B53)</f>
        <v>0</v>
      </c>
      <c r="C5" s="223" t="str">
        <f>CONCATENATE("Actual for ",E1-2,"")</f>
        <v>Actual for 2011</v>
      </c>
      <c r="D5" s="223" t="str">
        <f>CONCATENATE("Estimate for ",E1-1,"")</f>
        <v>Estimate for 2012</v>
      </c>
      <c r="E5" s="208" t="str">
        <f>CONCATENATE("Year for ",E1,"")</f>
        <v>Year for 2013</v>
      </c>
    </row>
    <row r="6" spans="2:5" ht="15.75">
      <c r="B6" s="150" t="s">
        <v>564</v>
      </c>
      <c r="C6" s="255"/>
      <c r="D6" s="253">
        <f>C48</f>
        <v>0</v>
      </c>
      <c r="E6" s="226">
        <f>D48</f>
        <v>0</v>
      </c>
    </row>
    <row r="7" spans="2:5" ht="15.75">
      <c r="B7" s="283" t="s">
        <v>566</v>
      </c>
      <c r="C7" s="159"/>
      <c r="D7" s="159"/>
      <c r="E7" s="87"/>
    </row>
    <row r="8" spans="2:5" ht="15.75">
      <c r="B8" s="271"/>
      <c r="C8" s="255"/>
      <c r="D8" s="255"/>
      <c r="E8" s="258"/>
    </row>
    <row r="9" spans="2:5" ht="15.75">
      <c r="B9" s="271"/>
      <c r="C9" s="255"/>
      <c r="D9" s="255"/>
      <c r="E9" s="258"/>
    </row>
    <row r="10" spans="2:5" ht="15.75">
      <c r="B10" s="271"/>
      <c r="C10" s="255"/>
      <c r="D10" s="255"/>
      <c r="E10" s="258"/>
    </row>
    <row r="11" spans="2:5" ht="15.75">
      <c r="B11" s="271"/>
      <c r="C11" s="255"/>
      <c r="D11" s="255"/>
      <c r="E11" s="258"/>
    </row>
    <row r="12" spans="2:5" ht="15.75">
      <c r="B12" s="271"/>
      <c r="C12" s="255"/>
      <c r="D12" s="255"/>
      <c r="E12" s="258"/>
    </row>
    <row r="13" spans="2:5" ht="15.75">
      <c r="B13" s="271"/>
      <c r="C13" s="255"/>
      <c r="D13" s="255"/>
      <c r="E13" s="258"/>
    </row>
    <row r="14" spans="2:5" ht="15.75">
      <c r="B14" s="289"/>
      <c r="C14" s="255"/>
      <c r="D14" s="255"/>
      <c r="E14" s="108"/>
    </row>
    <row r="15" spans="2:5" ht="15.75">
      <c r="B15" s="271"/>
      <c r="C15" s="255"/>
      <c r="D15" s="255"/>
      <c r="E15" s="258"/>
    </row>
    <row r="16" spans="2:5" ht="15.75">
      <c r="B16" s="296" t="s">
        <v>442</v>
      </c>
      <c r="C16" s="255"/>
      <c r="D16" s="255"/>
      <c r="E16" s="258"/>
    </row>
    <row r="17" spans="2:5" ht="15.75">
      <c r="B17" s="159" t="s">
        <v>1203</v>
      </c>
      <c r="C17" s="255"/>
      <c r="D17" s="255"/>
      <c r="E17" s="258"/>
    </row>
    <row r="18" spans="2:5" ht="15.75">
      <c r="B18" s="250" t="s">
        <v>1152</v>
      </c>
      <c r="C18" s="260">
        <f>IF(C19*0.1&lt;C17,"Exceed 10% Rule","")</f>
      </c>
      <c r="D18" s="260">
        <f>IF(D19*0.1&lt;D17,"Exceed 10% Rule","")</f>
      </c>
      <c r="E18" s="297">
        <f>IF(E19*0.1&lt;E17,"Exceed 10% Rule","")</f>
      </c>
    </row>
    <row r="19" spans="2:5" ht="15.75">
      <c r="B19" s="262" t="s">
        <v>443</v>
      </c>
      <c r="C19" s="264">
        <f>SUM(C8:C17)</f>
        <v>0</v>
      </c>
      <c r="D19" s="264">
        <f>SUM(D8:D17)</f>
        <v>0</v>
      </c>
      <c r="E19" s="265">
        <f>SUM(E8:E17)</f>
        <v>0</v>
      </c>
    </row>
    <row r="20" spans="2:5" ht="15.75">
      <c r="B20" s="262" t="s">
        <v>448</v>
      </c>
      <c r="C20" s="264">
        <f>C6+C19</f>
        <v>0</v>
      </c>
      <c r="D20" s="264">
        <f>D6+D19</f>
        <v>0</v>
      </c>
      <c r="E20" s="265">
        <f>E6+E19</f>
        <v>0</v>
      </c>
    </row>
    <row r="21" spans="2:5" ht="15.75">
      <c r="B21" s="150" t="s">
        <v>450</v>
      </c>
      <c r="C21" s="159"/>
      <c r="D21" s="159"/>
      <c r="E21" s="87"/>
    </row>
    <row r="22" spans="2:5" ht="15.75">
      <c r="B22" s="271" t="s">
        <v>613</v>
      </c>
      <c r="C22" s="255"/>
      <c r="D22" s="255"/>
      <c r="E22" s="258"/>
    </row>
    <row r="23" spans="2:5" ht="15.75">
      <c r="B23" s="271" t="s">
        <v>1212</v>
      </c>
      <c r="C23" s="255"/>
      <c r="D23" s="255"/>
      <c r="E23" s="258"/>
    </row>
    <row r="24" spans="2:5" ht="15.75">
      <c r="B24" s="271"/>
      <c r="C24" s="255"/>
      <c r="D24" s="255"/>
      <c r="E24" s="108"/>
    </row>
    <row r="25" spans="2:5" ht="15.75">
      <c r="B25" s="271"/>
      <c r="C25" s="255"/>
      <c r="D25" s="255"/>
      <c r="E25" s="108"/>
    </row>
    <row r="26" spans="2:5" ht="15.75">
      <c r="B26" s="271"/>
      <c r="C26" s="255"/>
      <c r="D26" s="255"/>
      <c r="E26" s="108"/>
    </row>
    <row r="27" spans="2:5" ht="15.75">
      <c r="B27" s="271"/>
      <c r="C27" s="255"/>
      <c r="D27" s="255"/>
      <c r="E27" s="108"/>
    </row>
    <row r="28" spans="2:5" ht="15.75">
      <c r="B28" s="271"/>
      <c r="C28" s="255"/>
      <c r="D28" s="255"/>
      <c r="E28" s="108"/>
    </row>
    <row r="29" spans="2:5" ht="15.75">
      <c r="B29" s="271"/>
      <c r="C29" s="255"/>
      <c r="D29" s="255"/>
      <c r="E29" s="108"/>
    </row>
    <row r="30" spans="2:5" ht="15.75">
      <c r="B30" s="271"/>
      <c r="C30" s="255"/>
      <c r="D30" s="255"/>
      <c r="E30" s="108"/>
    </row>
    <row r="31" spans="2:5" ht="15.75">
      <c r="B31" s="271"/>
      <c r="C31" s="255"/>
      <c r="D31" s="255"/>
      <c r="E31" s="108"/>
    </row>
    <row r="32" spans="2:5" ht="15.75">
      <c r="B32" s="271"/>
      <c r="C32" s="255"/>
      <c r="D32" s="255"/>
      <c r="E32" s="108"/>
    </row>
    <row r="33" spans="2:5" ht="15.75">
      <c r="B33" s="271"/>
      <c r="C33" s="255"/>
      <c r="D33" s="255"/>
      <c r="E33" s="108"/>
    </row>
    <row r="34" spans="2:5" ht="15.75">
      <c r="B34" s="271"/>
      <c r="C34" s="255"/>
      <c r="D34" s="255"/>
      <c r="E34" s="108"/>
    </row>
    <row r="35" spans="2:5" ht="15.75">
      <c r="B35" s="271"/>
      <c r="C35" s="255"/>
      <c r="D35" s="255"/>
      <c r="E35" s="258"/>
    </row>
    <row r="36" spans="2:5" ht="15.75">
      <c r="B36" s="271"/>
      <c r="C36" s="255"/>
      <c r="D36" s="255"/>
      <c r="E36" s="258"/>
    </row>
    <row r="37" spans="2:5" ht="15.75">
      <c r="B37" s="271"/>
      <c r="C37" s="255"/>
      <c r="D37" s="255"/>
      <c r="E37" s="258"/>
    </row>
    <row r="38" spans="2:5" ht="15.75">
      <c r="B38" s="271"/>
      <c r="C38" s="255"/>
      <c r="D38" s="255"/>
      <c r="E38" s="258"/>
    </row>
    <row r="39" spans="2:5" ht="15.75">
      <c r="B39" s="271"/>
      <c r="C39" s="255"/>
      <c r="D39" s="255"/>
      <c r="E39" s="258"/>
    </row>
    <row r="40" spans="2:5" ht="15.75">
      <c r="B40" s="271"/>
      <c r="C40" s="255"/>
      <c r="D40" s="255"/>
      <c r="E40" s="258"/>
    </row>
    <row r="41" spans="2:5" ht="15.75">
      <c r="B41" s="271"/>
      <c r="C41" s="255"/>
      <c r="D41" s="255"/>
      <c r="E41" s="258"/>
    </row>
    <row r="42" spans="2:5" ht="15.75">
      <c r="B42" s="271"/>
      <c r="C42" s="255"/>
      <c r="D42" s="255"/>
      <c r="E42" s="258"/>
    </row>
    <row r="43" spans="2:5" ht="15.75">
      <c r="B43" s="271"/>
      <c r="C43" s="255"/>
      <c r="D43" s="255"/>
      <c r="E43" s="258"/>
    </row>
    <row r="44" spans="2:5" ht="15.75">
      <c r="B44" s="271"/>
      <c r="C44" s="255"/>
      <c r="D44" s="255"/>
      <c r="E44" s="258"/>
    </row>
    <row r="45" spans="2:5" ht="15.75">
      <c r="B45" s="272" t="s">
        <v>1203</v>
      </c>
      <c r="C45" s="255"/>
      <c r="D45" s="255"/>
      <c r="E45" s="258"/>
    </row>
    <row r="46" spans="2:5" ht="15.75">
      <c r="B46" s="272" t="s">
        <v>1153</v>
      </c>
      <c r="C46" s="260">
        <f>IF(C47*0.1&lt;C45,"Exceed 10% Rule","")</f>
      </c>
      <c r="D46" s="260">
        <f>IF(D47*0.1&lt;D45,"Exceed 10% Rule","")</f>
      </c>
      <c r="E46" s="297">
        <f>IF(E47*0.1&lt;E45,"Exceed 10% Rule","")</f>
      </c>
    </row>
    <row r="47" spans="2:5" ht="15.75">
      <c r="B47" s="262" t="s">
        <v>454</v>
      </c>
      <c r="C47" s="264">
        <f>SUM(C22:C45)</f>
        <v>0</v>
      </c>
      <c r="D47" s="264">
        <f>SUM(D22:D45)</f>
        <v>0</v>
      </c>
      <c r="E47" s="265">
        <f>SUM(E22:E45)</f>
        <v>0</v>
      </c>
    </row>
    <row r="48" spans="2:5" ht="15.75">
      <c r="B48" s="150" t="s">
        <v>565</v>
      </c>
      <c r="C48" s="268">
        <f>C20-C47</f>
        <v>0</v>
      </c>
      <c r="D48" s="268">
        <f>D20-D47</f>
        <v>0</v>
      </c>
      <c r="E48" s="82">
        <f>E20-E47</f>
        <v>0</v>
      </c>
    </row>
    <row r="49" spans="2:5" ht="15.75">
      <c r="B49" s="136" t="str">
        <f>CONCATENATE("",E1-2,"/",E1-1," Budget Authority Amount:")</f>
        <v>2011/2012 Budget Authority Amount:</v>
      </c>
      <c r="C49" s="239">
        <f>inputOth!B91</f>
        <v>0</v>
      </c>
      <c r="D49" s="239">
        <f>inputPrYr!D53</f>
        <v>0</v>
      </c>
      <c r="E49" s="375">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399" t="s">
        <v>457</v>
      </c>
      <c r="C53" s="280"/>
      <c r="D53" s="68"/>
      <c r="E53" s="68"/>
    </row>
  </sheetData>
  <sheetProtection sheet="1"/>
  <conditionalFormatting sqref="E17">
    <cfRule type="cellIs" priority="4" dxfId="305" operator="greaterThan" stopIfTrue="1">
      <formula>$E$19*0.1</formula>
    </cfRule>
  </conditionalFormatting>
  <conditionalFormatting sqref="E45">
    <cfRule type="cellIs" priority="5" dxfId="305"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59765625" style="106" customWidth="1"/>
    <col min="6" max="16384" width="8.8984375" style="106" customWidth="1"/>
  </cols>
  <sheetData>
    <row r="1" spans="2:5" ht="15.75">
      <c r="B1" s="197" t="str">
        <f>(inputPrYr!D2)</f>
        <v>City of Paola</v>
      </c>
      <c r="C1" s="47"/>
      <c r="D1" s="47"/>
      <c r="E1" s="217">
        <f>inputPrYr!$C$5</f>
        <v>2013</v>
      </c>
    </row>
    <row r="2" spans="2:5" ht="15.75">
      <c r="B2" s="47"/>
      <c r="C2" s="47"/>
      <c r="D2" s="47"/>
      <c r="E2" s="169"/>
    </row>
    <row r="3" spans="2:5" ht="15.75">
      <c r="B3" s="247" t="s">
        <v>506</v>
      </c>
      <c r="C3" s="294"/>
      <c r="D3" s="294"/>
      <c r="E3" s="295"/>
    </row>
    <row r="4" spans="2:5" ht="15.75">
      <c r="B4" s="52" t="s">
        <v>435</v>
      </c>
      <c r="C4" s="704" t="s">
        <v>388</v>
      </c>
      <c r="D4" s="705" t="s">
        <v>389</v>
      </c>
      <c r="E4" s="144" t="s">
        <v>390</v>
      </c>
    </row>
    <row r="5" spans="2:5" ht="15.75">
      <c r="B5" s="529">
        <f>(inputPrYr!B54)</f>
        <v>0</v>
      </c>
      <c r="C5" s="223" t="str">
        <f>CONCATENATE("Actual for ",E1-2,"")</f>
        <v>Actual for 2011</v>
      </c>
      <c r="D5" s="223" t="str">
        <f>CONCATENATE("Estimate for ",E1-1,"")</f>
        <v>Estimate for 2012</v>
      </c>
      <c r="E5" s="208" t="str">
        <f>CONCATENATE("Year for ",E1,"")</f>
        <v>Year for 2013</v>
      </c>
    </row>
    <row r="6" spans="2:5" ht="15.75">
      <c r="B6" s="150" t="s">
        <v>564</v>
      </c>
      <c r="C6" s="255"/>
      <c r="D6" s="253">
        <f>C48</f>
        <v>0</v>
      </c>
      <c r="E6" s="226">
        <f>D48</f>
        <v>0</v>
      </c>
    </row>
    <row r="7" spans="2:5" ht="15.75">
      <c r="B7" s="283" t="s">
        <v>566</v>
      </c>
      <c r="C7" s="159"/>
      <c r="D7" s="159"/>
      <c r="E7" s="87"/>
    </row>
    <row r="8" spans="2:5" ht="15.75">
      <c r="B8" s="271"/>
      <c r="C8" s="255"/>
      <c r="D8" s="255"/>
      <c r="E8" s="258"/>
    </row>
    <row r="9" spans="2:5" ht="15.75">
      <c r="B9" s="271"/>
      <c r="C9" s="255"/>
      <c r="D9" s="255"/>
      <c r="E9" s="258"/>
    </row>
    <row r="10" spans="2:5" ht="15.75">
      <c r="B10" s="271"/>
      <c r="C10" s="255"/>
      <c r="D10" s="255"/>
      <c r="E10" s="258"/>
    </row>
    <row r="11" spans="2:5" ht="15.75">
      <c r="B11" s="271"/>
      <c r="C11" s="255"/>
      <c r="D11" s="255"/>
      <c r="E11" s="258"/>
    </row>
    <row r="12" spans="2:5" ht="15.75">
      <c r="B12" s="271"/>
      <c r="C12" s="255"/>
      <c r="D12" s="255"/>
      <c r="E12" s="258"/>
    </row>
    <row r="13" spans="2:5" ht="15.75">
      <c r="B13" s="271"/>
      <c r="C13" s="255"/>
      <c r="D13" s="255"/>
      <c r="E13" s="258"/>
    </row>
    <row r="14" spans="2:5" ht="15.75">
      <c r="B14" s="289"/>
      <c r="C14" s="255"/>
      <c r="D14" s="255"/>
      <c r="E14" s="108"/>
    </row>
    <row r="15" spans="2:5" ht="15.75">
      <c r="B15" s="271"/>
      <c r="C15" s="255"/>
      <c r="D15" s="255"/>
      <c r="E15" s="258"/>
    </row>
    <row r="16" spans="2:5" ht="15.75">
      <c r="B16" s="296" t="s">
        <v>442</v>
      </c>
      <c r="C16" s="255"/>
      <c r="D16" s="255"/>
      <c r="E16" s="258"/>
    </row>
    <row r="17" spans="2:5" ht="15.75">
      <c r="B17" s="159" t="s">
        <v>1203</v>
      </c>
      <c r="C17" s="255"/>
      <c r="D17" s="255"/>
      <c r="E17" s="258"/>
    </row>
    <row r="18" spans="2:5" ht="15.75">
      <c r="B18" s="250" t="s">
        <v>1152</v>
      </c>
      <c r="C18" s="260">
        <f>IF(C19*0.1&lt;C17,"Exceed 10% Rule","")</f>
      </c>
      <c r="D18" s="260">
        <f>IF(D19*0.1&lt;D17,"Exceed 10% Rule","")</f>
      </c>
      <c r="E18" s="297">
        <f>IF(E19*0.1&lt;E17,"Exceed 10% Rule","")</f>
      </c>
    </row>
    <row r="19" spans="2:5" ht="15.75">
      <c r="B19" s="262" t="s">
        <v>443</v>
      </c>
      <c r="C19" s="264">
        <f>SUM(C8:C17)</f>
        <v>0</v>
      </c>
      <c r="D19" s="264">
        <f>SUM(D8:D17)</f>
        <v>0</v>
      </c>
      <c r="E19" s="265">
        <f>SUM(E8:E17)</f>
        <v>0</v>
      </c>
    </row>
    <row r="20" spans="2:5" ht="15.75">
      <c r="B20" s="262" t="s">
        <v>448</v>
      </c>
      <c r="C20" s="264">
        <f>C6+C19</f>
        <v>0</v>
      </c>
      <c r="D20" s="264">
        <f>D6+D19</f>
        <v>0</v>
      </c>
      <c r="E20" s="265">
        <f>E6+E19</f>
        <v>0</v>
      </c>
    </row>
    <row r="21" spans="2:5" ht="15.75">
      <c r="B21" s="150" t="s">
        <v>450</v>
      </c>
      <c r="C21" s="159"/>
      <c r="D21" s="159"/>
      <c r="E21" s="87"/>
    </row>
    <row r="22" spans="2:5" ht="15.75">
      <c r="B22" s="271" t="s">
        <v>613</v>
      </c>
      <c r="C22" s="255"/>
      <c r="D22" s="255"/>
      <c r="E22" s="258"/>
    </row>
    <row r="23" spans="2:5" ht="15.75">
      <c r="B23" s="271" t="s">
        <v>1213</v>
      </c>
      <c r="C23" s="255"/>
      <c r="D23" s="255"/>
      <c r="E23" s="258"/>
    </row>
    <row r="24" spans="2:5" ht="15.75">
      <c r="B24" s="271"/>
      <c r="C24" s="255"/>
      <c r="D24" s="255"/>
      <c r="E24" s="108"/>
    </row>
    <row r="25" spans="2:5" ht="15.75">
      <c r="B25" s="271"/>
      <c r="C25" s="255"/>
      <c r="D25" s="255"/>
      <c r="E25" s="108"/>
    </row>
    <row r="26" spans="2:5" ht="15.75">
      <c r="B26" s="271"/>
      <c r="C26" s="255"/>
      <c r="D26" s="255"/>
      <c r="E26" s="108"/>
    </row>
    <row r="27" spans="2:5" ht="15.75">
      <c r="B27" s="271"/>
      <c r="C27" s="255"/>
      <c r="D27" s="255"/>
      <c r="E27" s="108"/>
    </row>
    <row r="28" spans="2:5" ht="15.75">
      <c r="B28" s="271"/>
      <c r="C28" s="255"/>
      <c r="D28" s="255"/>
      <c r="E28" s="108"/>
    </row>
    <row r="29" spans="2:5" ht="15.75">
      <c r="B29" s="271"/>
      <c r="C29" s="255"/>
      <c r="D29" s="255"/>
      <c r="E29" s="108"/>
    </row>
    <row r="30" spans="2:5" ht="15.75">
      <c r="B30" s="271"/>
      <c r="C30" s="255"/>
      <c r="D30" s="255"/>
      <c r="E30" s="108"/>
    </row>
    <row r="31" spans="2:5" ht="15.75">
      <c r="B31" s="271"/>
      <c r="C31" s="255"/>
      <c r="D31" s="255"/>
      <c r="E31" s="108"/>
    </row>
    <row r="32" spans="2:5" ht="15.75">
      <c r="B32" s="271"/>
      <c r="C32" s="255"/>
      <c r="D32" s="255"/>
      <c r="E32" s="108"/>
    </row>
    <row r="33" spans="2:5" ht="15.75">
      <c r="B33" s="271"/>
      <c r="C33" s="255"/>
      <c r="D33" s="255"/>
      <c r="E33" s="108"/>
    </row>
    <row r="34" spans="2:5" ht="15.75">
      <c r="B34" s="271"/>
      <c r="C34" s="255"/>
      <c r="D34" s="255"/>
      <c r="E34" s="108"/>
    </row>
    <row r="35" spans="2:5" ht="15.75">
      <c r="B35" s="271"/>
      <c r="C35" s="255"/>
      <c r="D35" s="255"/>
      <c r="E35" s="258"/>
    </row>
    <row r="36" spans="2:5" ht="15.75">
      <c r="B36" s="271"/>
      <c r="C36" s="255"/>
      <c r="D36" s="255"/>
      <c r="E36" s="258"/>
    </row>
    <row r="37" spans="2:5" ht="15.75">
      <c r="B37" s="271"/>
      <c r="C37" s="255"/>
      <c r="D37" s="255"/>
      <c r="E37" s="258"/>
    </row>
    <row r="38" spans="2:5" ht="15.75">
      <c r="B38" s="271"/>
      <c r="C38" s="255"/>
      <c r="D38" s="255"/>
      <c r="E38" s="258"/>
    </row>
    <row r="39" spans="2:5" ht="15.75">
      <c r="B39" s="271"/>
      <c r="C39" s="255"/>
      <c r="D39" s="255"/>
      <c r="E39" s="258"/>
    </row>
    <row r="40" spans="2:5" ht="15.75">
      <c r="B40" s="271"/>
      <c r="C40" s="255"/>
      <c r="D40" s="255"/>
      <c r="E40" s="258"/>
    </row>
    <row r="41" spans="2:5" ht="15.75">
      <c r="B41" s="271"/>
      <c r="C41" s="255"/>
      <c r="D41" s="255"/>
      <c r="E41" s="258"/>
    </row>
    <row r="42" spans="2:5" ht="15.75">
      <c r="B42" s="271"/>
      <c r="C42" s="255"/>
      <c r="D42" s="255"/>
      <c r="E42" s="258"/>
    </row>
    <row r="43" spans="2:5" ht="15.75">
      <c r="B43" s="271"/>
      <c r="C43" s="255"/>
      <c r="D43" s="255"/>
      <c r="E43" s="258"/>
    </row>
    <row r="44" spans="2:5" ht="15.75">
      <c r="B44" s="271"/>
      <c r="C44" s="255"/>
      <c r="D44" s="255"/>
      <c r="E44" s="258"/>
    </row>
    <row r="45" spans="2:5" ht="15.75">
      <c r="B45" s="272" t="s">
        <v>1203</v>
      </c>
      <c r="C45" s="255"/>
      <c r="D45" s="255"/>
      <c r="E45" s="258"/>
    </row>
    <row r="46" spans="2:5" ht="15.75">
      <c r="B46" s="272" t="s">
        <v>1153</v>
      </c>
      <c r="C46" s="260">
        <f>IF(C47*0.1&lt;C45,"Exceed 10% Rule","")</f>
      </c>
      <c r="D46" s="260">
        <f>IF(D47*0.1&lt;D45,"Exceed 10% Rule","")</f>
      </c>
      <c r="E46" s="297">
        <f>IF(E47*0.1&lt;E45,"Exceed 10% Rule","")</f>
      </c>
    </row>
    <row r="47" spans="2:5" ht="15.75">
      <c r="B47" s="262" t="s">
        <v>454</v>
      </c>
      <c r="C47" s="264">
        <f>SUM(C22:C45)</f>
        <v>0</v>
      </c>
      <c r="D47" s="264">
        <f>SUM(D22:D45)</f>
        <v>0</v>
      </c>
      <c r="E47" s="265">
        <f>SUM(E22:E45)</f>
        <v>0</v>
      </c>
    </row>
    <row r="48" spans="2:5" ht="15.75">
      <c r="B48" s="150" t="s">
        <v>565</v>
      </c>
      <c r="C48" s="268">
        <f>C20-C47</f>
        <v>0</v>
      </c>
      <c r="D48" s="268">
        <f>D20-D47</f>
        <v>0</v>
      </c>
      <c r="E48" s="82">
        <f>E20-E47</f>
        <v>0</v>
      </c>
    </row>
    <row r="49" spans="2:5" ht="15.75">
      <c r="B49" s="136" t="str">
        <f>CONCATENATE("",E1-2,"/",E1-1," Budget Authority Amount:")</f>
        <v>2011/2012 Budget Authority Amount:</v>
      </c>
      <c r="C49" s="239">
        <f>inputOth!B92</f>
        <v>0</v>
      </c>
      <c r="D49" s="239">
        <f>inputPrYr!D54</f>
        <v>0</v>
      </c>
      <c r="E49" s="375">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399" t="s">
        <v>457</v>
      </c>
      <c r="C53" s="280"/>
      <c r="D53" s="68"/>
      <c r="E53" s="68"/>
    </row>
  </sheetData>
  <sheetProtection sheet="1"/>
  <conditionalFormatting sqref="E17">
    <cfRule type="cellIs" priority="4" dxfId="305" operator="greaterThan" stopIfTrue="1">
      <formula>$E$19*0.1</formula>
    </cfRule>
  </conditionalFormatting>
  <conditionalFormatting sqref="E45">
    <cfRule type="cellIs" priority="5" dxfId="305"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33" sqref="F33"/>
    </sheetView>
  </sheetViews>
  <sheetFormatPr defaultColWidth="8.796875" defaultRowHeight="15"/>
  <cols>
    <col min="1" max="1" width="12.1992187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2.59765625" style="32" customWidth="1"/>
    <col min="10" max="11" width="8.8984375" style="32" customWidth="1"/>
    <col min="12" max="12" width="2.8984375" style="32" customWidth="1"/>
    <col min="13" max="16384" width="8.8984375" style="32" customWidth="1"/>
  </cols>
  <sheetData>
    <row r="1" spans="1:11" ht="15.75">
      <c r="A1" s="174" t="str">
        <f>inputPrYr!$D$2</f>
        <v>City of Paola</v>
      </c>
      <c r="B1" s="298"/>
      <c r="C1" s="173"/>
      <c r="D1" s="173"/>
      <c r="E1" s="173"/>
      <c r="F1" s="175" t="s">
        <v>588</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636</v>
      </c>
      <c r="B3" s="173"/>
      <c r="C3" s="173"/>
      <c r="D3" s="173"/>
      <c r="E3" s="173"/>
      <c r="F3" s="300"/>
      <c r="G3" s="173"/>
      <c r="H3" s="173"/>
      <c r="I3" s="173"/>
      <c r="J3" s="173"/>
      <c r="K3" s="173"/>
    </row>
    <row r="4" spans="1:11" ht="15.75">
      <c r="A4" s="173" t="s">
        <v>589</v>
      </c>
      <c r="B4" s="173"/>
      <c r="C4" s="173" t="s">
        <v>590</v>
      </c>
      <c r="D4" s="173"/>
      <c r="E4" s="173" t="s">
        <v>591</v>
      </c>
      <c r="F4" s="298"/>
      <c r="G4" s="173" t="s">
        <v>592</v>
      </c>
      <c r="H4" s="173"/>
      <c r="I4" s="173" t="s">
        <v>593</v>
      </c>
      <c r="J4" s="173"/>
      <c r="K4" s="173"/>
    </row>
    <row r="5" spans="1:11" s="759" customFormat="1" ht="12.75">
      <c r="A5" s="837" t="str">
        <f>IF(inputPrYr!B57&gt;" ",(inputPrYr!B57)," ")</f>
        <v>Pool Reserve Account</v>
      </c>
      <c r="B5" s="838"/>
      <c r="C5" s="837" t="str">
        <f>IF(inputPrYr!B58&gt;" ",(inputPrYr!B58)," ")</f>
        <v>Benefit Dist Const Funds</v>
      </c>
      <c r="D5" s="838"/>
      <c r="E5" s="837" t="str">
        <f>IF(inputPrYr!B59&gt;" ",(inputPrYr!B59)," ")</f>
        <v>Street Construction Funds</v>
      </c>
      <c r="F5" s="838"/>
      <c r="G5" s="837" t="str">
        <f>IF(inputPrYr!B60&gt;" ",(inputPrYr!B60)," ")</f>
        <v>WWTP Construction Fund</v>
      </c>
      <c r="H5" s="838"/>
      <c r="I5" s="837" t="str">
        <f>IF(inputPrYr!B61&gt;" ",(inputPrYr!B61)," ")</f>
        <v>Funds Held in Escrow</v>
      </c>
      <c r="J5" s="838"/>
      <c r="K5" s="758"/>
    </row>
    <row r="6" spans="1:11" ht="15.75">
      <c r="A6" s="302" t="s">
        <v>594</v>
      </c>
      <c r="B6" s="303"/>
      <c r="C6" s="304" t="s">
        <v>594</v>
      </c>
      <c r="D6" s="305"/>
      <c r="E6" s="304" t="s">
        <v>594</v>
      </c>
      <c r="F6" s="301"/>
      <c r="G6" s="304" t="s">
        <v>594</v>
      </c>
      <c r="H6" s="306"/>
      <c r="I6" s="304" t="s">
        <v>594</v>
      </c>
      <c r="J6" s="173"/>
      <c r="K6" s="307" t="s">
        <v>408</v>
      </c>
    </row>
    <row r="7" spans="1:11" ht="15.75">
      <c r="A7" s="308" t="s">
        <v>1210</v>
      </c>
      <c r="B7" s="309">
        <v>1601861</v>
      </c>
      <c r="C7" s="310" t="s">
        <v>1210</v>
      </c>
      <c r="D7" s="309">
        <v>0</v>
      </c>
      <c r="E7" s="310" t="s">
        <v>1210</v>
      </c>
      <c r="F7" s="309">
        <v>11423</v>
      </c>
      <c r="G7" s="310" t="s">
        <v>1210</v>
      </c>
      <c r="H7" s="309">
        <v>761449</v>
      </c>
      <c r="I7" s="310" t="s">
        <v>1210</v>
      </c>
      <c r="J7" s="309">
        <v>23060</v>
      </c>
      <c r="K7" s="311">
        <f>SUM(B7+D7+F7+H7+J7)</f>
        <v>2397793</v>
      </c>
    </row>
    <row r="8" spans="1:11" ht="15.75">
      <c r="A8" s="312" t="s">
        <v>566</v>
      </c>
      <c r="B8" s="313"/>
      <c r="C8" s="312" t="s">
        <v>566</v>
      </c>
      <c r="D8" s="314"/>
      <c r="E8" s="312" t="s">
        <v>566</v>
      </c>
      <c r="F8" s="298"/>
      <c r="G8" s="312" t="s">
        <v>566</v>
      </c>
      <c r="H8" s="173"/>
      <c r="I8" s="312" t="s">
        <v>566</v>
      </c>
      <c r="J8" s="173"/>
      <c r="K8" s="298"/>
    </row>
    <row r="9" spans="1:11" ht="15.75">
      <c r="A9" s="756" t="s">
        <v>489</v>
      </c>
      <c r="B9" s="757">
        <v>10824</v>
      </c>
      <c r="C9" s="756" t="s">
        <v>489</v>
      </c>
      <c r="D9" s="757">
        <v>0</v>
      </c>
      <c r="E9" s="756" t="s">
        <v>489</v>
      </c>
      <c r="F9" s="757">
        <f>12+8</f>
        <v>20</v>
      </c>
      <c r="G9" s="756" t="s">
        <v>489</v>
      </c>
      <c r="H9" s="757">
        <v>4803</v>
      </c>
      <c r="I9" s="756" t="s">
        <v>489</v>
      </c>
      <c r="J9" s="757">
        <v>2</v>
      </c>
      <c r="K9" s="298"/>
    </row>
    <row r="10" spans="1:11" ht="15.75">
      <c r="A10" s="756" t="s">
        <v>981</v>
      </c>
      <c r="B10" s="757">
        <v>13540</v>
      </c>
      <c r="C10" s="756"/>
      <c r="D10" s="757"/>
      <c r="E10" s="756"/>
      <c r="F10" s="757"/>
      <c r="G10" s="756"/>
      <c r="H10" s="757"/>
      <c r="I10" s="756" t="s">
        <v>1056</v>
      </c>
      <c r="J10" s="757">
        <v>47500</v>
      </c>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443</v>
      </c>
      <c r="B17" s="311">
        <f>SUM(B9:B16)</f>
        <v>24364</v>
      </c>
      <c r="C17" s="312" t="s">
        <v>443</v>
      </c>
      <c r="D17" s="311">
        <f>SUM(D9:D16)</f>
        <v>0</v>
      </c>
      <c r="E17" s="312" t="s">
        <v>443</v>
      </c>
      <c r="F17" s="373">
        <f>SUM(F9:F16)</f>
        <v>20</v>
      </c>
      <c r="G17" s="312" t="s">
        <v>443</v>
      </c>
      <c r="H17" s="311">
        <f>SUM(H9:H16)</f>
        <v>4803</v>
      </c>
      <c r="I17" s="312" t="s">
        <v>443</v>
      </c>
      <c r="J17" s="311">
        <f>SUM(J9:J16)</f>
        <v>47502</v>
      </c>
      <c r="K17" s="311">
        <f>SUM(B17+D17+F17+H17+J17)</f>
        <v>76689</v>
      </c>
    </row>
    <row r="18" spans="1:11" ht="15.75">
      <c r="A18" s="312" t="s">
        <v>448</v>
      </c>
      <c r="B18" s="311">
        <f>SUM(B7+B17)</f>
        <v>1626225</v>
      </c>
      <c r="C18" s="312" t="s">
        <v>448</v>
      </c>
      <c r="D18" s="311">
        <f>SUM(D7+D17)</f>
        <v>0</v>
      </c>
      <c r="E18" s="312" t="s">
        <v>448</v>
      </c>
      <c r="F18" s="311">
        <f>SUM(F7+F17)</f>
        <v>11443</v>
      </c>
      <c r="G18" s="312" t="s">
        <v>448</v>
      </c>
      <c r="H18" s="311">
        <f>SUM(H7+H17)</f>
        <v>766252</v>
      </c>
      <c r="I18" s="312" t="s">
        <v>448</v>
      </c>
      <c r="J18" s="311">
        <f>SUM(J7+J17)</f>
        <v>70562</v>
      </c>
      <c r="K18" s="311">
        <f>SUM(B18+D18+F18+H18+J18)</f>
        <v>2474482</v>
      </c>
    </row>
    <row r="19" spans="1:11" ht="15.75">
      <c r="A19" s="312" t="s">
        <v>450</v>
      </c>
      <c r="B19" s="313"/>
      <c r="C19" s="312" t="s">
        <v>450</v>
      </c>
      <c r="D19" s="314"/>
      <c r="E19" s="312" t="s">
        <v>450</v>
      </c>
      <c r="F19" s="298"/>
      <c r="G19" s="312" t="s">
        <v>450</v>
      </c>
      <c r="H19" s="173"/>
      <c r="I19" s="312" t="s">
        <v>450</v>
      </c>
      <c r="J19" s="173"/>
      <c r="K19" s="298"/>
    </row>
    <row r="20" spans="1:11" ht="15.75">
      <c r="A20" s="756" t="s">
        <v>983</v>
      </c>
      <c r="B20" s="757">
        <v>0</v>
      </c>
      <c r="C20" s="760" t="s">
        <v>1057</v>
      </c>
      <c r="D20" s="757"/>
      <c r="E20" s="760" t="s">
        <v>983</v>
      </c>
      <c r="F20" s="757">
        <v>0</v>
      </c>
      <c r="G20" s="760" t="s">
        <v>1057</v>
      </c>
      <c r="H20" s="757"/>
      <c r="I20" s="760" t="s">
        <v>1058</v>
      </c>
      <c r="J20" s="757">
        <v>47502</v>
      </c>
      <c r="K20" s="298"/>
    </row>
    <row r="21" spans="1:11" ht="15.75">
      <c r="A21" s="756" t="s">
        <v>1059</v>
      </c>
      <c r="B21" s="757">
        <v>150000</v>
      </c>
      <c r="C21" s="760"/>
      <c r="D21" s="757"/>
      <c r="E21" s="760" t="s">
        <v>1060</v>
      </c>
      <c r="F21" s="757">
        <v>0</v>
      </c>
      <c r="G21" s="760"/>
      <c r="H21" s="757"/>
      <c r="I21" s="760"/>
      <c r="J21" s="757"/>
      <c r="K21" s="298"/>
    </row>
    <row r="22" spans="1:11" ht="15.75">
      <c r="A22" s="315"/>
      <c r="B22" s="309"/>
      <c r="C22" s="320"/>
      <c r="D22" s="309"/>
      <c r="E22" s="320" t="s">
        <v>1073</v>
      </c>
      <c r="F22" s="309">
        <f>6548+4895</f>
        <v>11443</v>
      </c>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454</v>
      </c>
      <c r="B28" s="311">
        <f>SUM(B20:B27)</f>
        <v>150000</v>
      </c>
      <c r="C28" s="312" t="s">
        <v>454</v>
      </c>
      <c r="D28" s="311">
        <f>SUM(D20:D27)</f>
        <v>0</v>
      </c>
      <c r="E28" s="312" t="s">
        <v>454</v>
      </c>
      <c r="F28" s="373">
        <f>SUM(F20:F27)</f>
        <v>11443</v>
      </c>
      <c r="G28" s="312" t="s">
        <v>454</v>
      </c>
      <c r="H28" s="373">
        <f>SUM(H20:H27)</f>
        <v>0</v>
      </c>
      <c r="I28" s="312" t="s">
        <v>454</v>
      </c>
      <c r="J28" s="311">
        <f>SUM(J20:J27)</f>
        <v>47502</v>
      </c>
      <c r="K28" s="311">
        <f>SUM(B28+D28+F28+H28+J28)</f>
        <v>208945</v>
      </c>
    </row>
    <row r="29" spans="1:12" ht="15.75">
      <c r="A29" s="312" t="s">
        <v>595</v>
      </c>
      <c r="B29" s="311">
        <f>SUM(B18-B28)</f>
        <v>1476225</v>
      </c>
      <c r="C29" s="312" t="s">
        <v>595</v>
      </c>
      <c r="D29" s="311">
        <f>SUM(D18-D28)</f>
        <v>0</v>
      </c>
      <c r="E29" s="312" t="s">
        <v>595</v>
      </c>
      <c r="F29" s="311">
        <f>SUM(F18-F28)</f>
        <v>0</v>
      </c>
      <c r="G29" s="312" t="s">
        <v>595</v>
      </c>
      <c r="H29" s="311">
        <f>SUM(H18-H28)</f>
        <v>766252</v>
      </c>
      <c r="I29" s="312" t="s">
        <v>595</v>
      </c>
      <c r="J29" s="311">
        <f>SUM(J18-J28)</f>
        <v>23060</v>
      </c>
      <c r="K29" s="321">
        <f>SUM(B29+D29+F29+H29+J29)</f>
        <v>2265537</v>
      </c>
      <c r="L29" s="32" t="s">
        <v>679</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2265537</v>
      </c>
      <c r="L30" s="32" t="s">
        <v>679</v>
      </c>
    </row>
    <row r="31" spans="1:11" ht="15.75">
      <c r="A31" s="173"/>
      <c r="B31" s="178"/>
      <c r="C31" s="173"/>
      <c r="D31" s="298"/>
      <c r="E31" s="173"/>
      <c r="F31" s="173"/>
      <c r="G31" s="43" t="s">
        <v>681</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457</v>
      </c>
      <c r="F33" s="280">
        <v>17</v>
      </c>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mergeCells count="5">
    <mergeCell ref="I5:J5"/>
    <mergeCell ref="A5:B5"/>
    <mergeCell ref="C5:D5"/>
    <mergeCell ref="E5:F5"/>
    <mergeCell ref="G5:H5"/>
  </mergeCells>
  <printOptions horizontalCentered="1"/>
  <pageMargins left="0.41" right="0.31" top="1" bottom="1" header="0.5" footer="0.5"/>
  <pageSetup blackAndWhite="1" fitToHeight="1" fitToWidth="1" horizontalDpi="600" verticalDpi="600" orientation="landscape" scale="9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B10">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4.09765625" style="32" customWidth="1"/>
    <col min="8" max="8" width="7.3984375" style="32" customWidth="1"/>
    <col min="9" max="9" width="11.59765625" style="32" customWidth="1"/>
    <col min="10" max="11" width="8.8984375" style="32" customWidth="1"/>
    <col min="12" max="12" width="2.296875" style="32" customWidth="1"/>
    <col min="13" max="16384" width="8.8984375" style="32" customWidth="1"/>
  </cols>
  <sheetData>
    <row r="1" spans="1:11" ht="15.75">
      <c r="A1" s="174" t="str">
        <f>inputPrYr!$D$2</f>
        <v>City of Paola</v>
      </c>
      <c r="B1" s="298"/>
      <c r="C1" s="173"/>
      <c r="D1" s="173"/>
      <c r="E1" s="173"/>
      <c r="F1" s="175" t="s">
        <v>596</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635</v>
      </c>
      <c r="B3" s="173"/>
      <c r="C3" s="173"/>
      <c r="D3" s="173"/>
      <c r="E3" s="173"/>
      <c r="F3" s="298"/>
      <c r="G3" s="173"/>
      <c r="H3" s="173"/>
      <c r="I3" s="173"/>
      <c r="J3" s="173"/>
      <c r="K3" s="173"/>
    </row>
    <row r="4" spans="1:11" ht="15.75">
      <c r="A4" s="173" t="s">
        <v>589</v>
      </c>
      <c r="B4" s="173"/>
      <c r="C4" s="173" t="s">
        <v>590</v>
      </c>
      <c r="D4" s="173"/>
      <c r="E4" s="173" t="s">
        <v>591</v>
      </c>
      <c r="F4" s="298"/>
      <c r="G4" s="173" t="s">
        <v>592</v>
      </c>
      <c r="H4" s="173"/>
      <c r="I4" s="173" t="s">
        <v>593</v>
      </c>
      <c r="J4" s="173"/>
      <c r="K4" s="173"/>
    </row>
    <row r="5" spans="1:11" s="759" customFormat="1" ht="12.75">
      <c r="A5" s="837" t="str">
        <f>IF(inputPrYr!B63&gt;" ",(inputPrYr!B63)," ")</f>
        <v>Cemetery Benefit Fund</v>
      </c>
      <c r="B5" s="838"/>
      <c r="C5" s="837" t="str">
        <f>IF(inputPrYr!B64&gt;" ",(inputPrYr!B64)," ")</f>
        <v>Special Grants</v>
      </c>
      <c r="D5" s="838"/>
      <c r="E5" s="837" t="str">
        <f>IF(inputPrYr!B65&gt;" ",(inputPrYr!B65)," ")</f>
        <v>Equipment Reserve MERF</v>
      </c>
      <c r="F5" s="838"/>
      <c r="G5" s="837" t="str">
        <f>IF(inputPrYr!B66&gt;" ",(inputPrYr!B66)," ")</f>
        <v>Capital Improvements CIP</v>
      </c>
      <c r="H5" s="838"/>
      <c r="I5" s="837" t="str">
        <f>IF(inputPrYr!B67&gt;" ",(inputPrYr!B67)," ")</f>
        <v>Drug Tax Fund</v>
      </c>
      <c r="J5" s="838"/>
      <c r="K5" s="758"/>
    </row>
    <row r="6" spans="1:11" ht="15.75">
      <c r="A6" s="302" t="s">
        <v>594</v>
      </c>
      <c r="B6" s="303"/>
      <c r="C6" s="304" t="s">
        <v>594</v>
      </c>
      <c r="D6" s="305"/>
      <c r="E6" s="304" t="s">
        <v>594</v>
      </c>
      <c r="F6" s="301"/>
      <c r="G6" s="304" t="s">
        <v>594</v>
      </c>
      <c r="H6" s="306"/>
      <c r="I6" s="304" t="s">
        <v>594</v>
      </c>
      <c r="J6" s="173"/>
      <c r="K6" s="307" t="s">
        <v>408</v>
      </c>
    </row>
    <row r="7" spans="1:11" ht="15.75">
      <c r="A7" s="308" t="s">
        <v>1210</v>
      </c>
      <c r="B7" s="309">
        <v>36527</v>
      </c>
      <c r="C7" s="310" t="s">
        <v>1210</v>
      </c>
      <c r="D7" s="309">
        <v>8479</v>
      </c>
      <c r="E7" s="310" t="s">
        <v>1210</v>
      </c>
      <c r="F7" s="309">
        <v>63480</v>
      </c>
      <c r="G7" s="310" t="s">
        <v>1210</v>
      </c>
      <c r="H7" s="309">
        <v>1314257</v>
      </c>
      <c r="I7" s="310" t="s">
        <v>1210</v>
      </c>
      <c r="J7" s="309">
        <v>4712</v>
      </c>
      <c r="K7" s="311">
        <f>SUM(B7+D7+F7+H7+J7)</f>
        <v>1427455</v>
      </c>
    </row>
    <row r="8" spans="1:11" ht="15.75">
      <c r="A8" s="312" t="s">
        <v>566</v>
      </c>
      <c r="B8" s="313"/>
      <c r="C8" s="312" t="s">
        <v>566</v>
      </c>
      <c r="D8" s="314"/>
      <c r="E8" s="312" t="s">
        <v>566</v>
      </c>
      <c r="F8" s="298"/>
      <c r="G8" s="312" t="s">
        <v>566</v>
      </c>
      <c r="H8" s="173"/>
      <c r="I8" s="312" t="s">
        <v>566</v>
      </c>
      <c r="J8" s="173"/>
      <c r="K8" s="298"/>
    </row>
    <row r="9" spans="1:11" ht="15.75">
      <c r="A9" s="756" t="s">
        <v>489</v>
      </c>
      <c r="B9" s="757">
        <v>230</v>
      </c>
      <c r="C9" s="756" t="s">
        <v>489</v>
      </c>
      <c r="D9" s="757">
        <v>18</v>
      </c>
      <c r="E9" s="756" t="s">
        <v>1061</v>
      </c>
      <c r="F9" s="757">
        <v>45520</v>
      </c>
      <c r="G9" s="756" t="s">
        <v>489</v>
      </c>
      <c r="H9" s="757">
        <f>1501+2467+4174+99</f>
        <v>8241</v>
      </c>
      <c r="I9" s="756" t="s">
        <v>489</v>
      </c>
      <c r="J9" s="757">
        <v>22</v>
      </c>
      <c r="K9" s="298"/>
    </row>
    <row r="10" spans="1:11" ht="15.75">
      <c r="A10" s="756" t="s">
        <v>973</v>
      </c>
      <c r="B10" s="757">
        <v>0</v>
      </c>
      <c r="C10" s="756" t="s">
        <v>1062</v>
      </c>
      <c r="D10" s="757">
        <f>6385+500+20654</f>
        <v>27539</v>
      </c>
      <c r="E10" s="756" t="s">
        <v>1203</v>
      </c>
      <c r="F10" s="757">
        <v>500</v>
      </c>
      <c r="G10" s="756" t="s">
        <v>1023</v>
      </c>
      <c r="H10" s="757">
        <f>270000+90000+150000+90000+58742+329371</f>
        <v>988113</v>
      </c>
      <c r="I10" s="756" t="s">
        <v>1063</v>
      </c>
      <c r="J10" s="757">
        <v>648</v>
      </c>
      <c r="K10" s="298"/>
    </row>
    <row r="11" spans="1:11" ht="15.75">
      <c r="A11" s="756"/>
      <c r="B11" s="757"/>
      <c r="C11" s="761"/>
      <c r="D11" s="757"/>
      <c r="E11" s="761"/>
      <c r="F11" s="757"/>
      <c r="G11" s="760" t="s">
        <v>973</v>
      </c>
      <c r="H11" s="757">
        <f>34945+58062</f>
        <v>93007</v>
      </c>
      <c r="I11" s="762"/>
      <c r="J11" s="757"/>
      <c r="K11" s="298"/>
    </row>
    <row r="12" spans="1:11" ht="15.75">
      <c r="A12" s="756"/>
      <c r="B12" s="757"/>
      <c r="C12" s="756"/>
      <c r="D12" s="757"/>
      <c r="E12" s="760"/>
      <c r="F12" s="757"/>
      <c r="G12" s="763" t="s">
        <v>1064</v>
      </c>
      <c r="H12" s="757">
        <f>26125+50146</f>
        <v>76271</v>
      </c>
      <c r="I12" s="760"/>
      <c r="J12" s="757"/>
      <c r="K12" s="298"/>
    </row>
    <row r="13" spans="1:11" ht="15.75">
      <c r="A13" s="764"/>
      <c r="B13" s="757"/>
      <c r="C13" s="763"/>
      <c r="D13" s="757"/>
      <c r="E13" s="763"/>
      <c r="F13" s="757"/>
      <c r="G13" s="760" t="s">
        <v>1203</v>
      </c>
      <c r="H13" s="757">
        <f>3144+250</f>
        <v>3394</v>
      </c>
      <c r="I13" s="762"/>
      <c r="J13" s="757"/>
      <c r="K13" s="298"/>
    </row>
    <row r="14" spans="1:11" ht="15.75">
      <c r="A14" s="756"/>
      <c r="B14" s="757"/>
      <c r="C14" s="760"/>
      <c r="D14" s="757"/>
      <c r="E14" s="760"/>
      <c r="F14" s="757"/>
      <c r="G14" s="760" t="s">
        <v>1074</v>
      </c>
      <c r="H14" s="757">
        <v>0</v>
      </c>
      <c r="I14" s="760"/>
      <c r="J14" s="757"/>
      <c r="K14" s="298"/>
    </row>
    <row r="15" spans="1:11" ht="15.75">
      <c r="A15" s="315"/>
      <c r="B15" s="309"/>
      <c r="C15" s="318"/>
      <c r="D15" s="309"/>
      <c r="E15" s="318"/>
      <c r="F15" s="309"/>
      <c r="G15" s="318" t="s">
        <v>1075</v>
      </c>
      <c r="H15" s="309">
        <f>9172+2271</f>
        <v>11443</v>
      </c>
      <c r="I15" s="318"/>
      <c r="J15" s="309"/>
      <c r="K15" s="298"/>
    </row>
    <row r="16" spans="1:11" ht="15.75">
      <c r="A16" s="315"/>
      <c r="B16" s="309"/>
      <c r="C16" s="315"/>
      <c r="D16" s="309"/>
      <c r="E16" s="315"/>
      <c r="F16" s="309"/>
      <c r="G16" s="318" t="s">
        <v>1076</v>
      </c>
      <c r="H16" s="309">
        <v>2728</v>
      </c>
      <c r="I16" s="315"/>
      <c r="J16" s="309"/>
      <c r="K16" s="298"/>
    </row>
    <row r="17" spans="1:11" ht="15.75">
      <c r="A17" s="312" t="s">
        <v>443</v>
      </c>
      <c r="B17" s="311">
        <f>SUM(B9:B16)</f>
        <v>230</v>
      </c>
      <c r="C17" s="312" t="s">
        <v>443</v>
      </c>
      <c r="D17" s="311">
        <f>SUM(D9:D16)</f>
        <v>27557</v>
      </c>
      <c r="E17" s="312" t="s">
        <v>443</v>
      </c>
      <c r="F17" s="373">
        <f>SUM(F9:F16)</f>
        <v>46020</v>
      </c>
      <c r="G17" s="312" t="s">
        <v>443</v>
      </c>
      <c r="H17" s="311">
        <f>SUM(H9:H16)</f>
        <v>1183197</v>
      </c>
      <c r="I17" s="312" t="s">
        <v>443</v>
      </c>
      <c r="J17" s="311">
        <f>SUM(J9:J16)</f>
        <v>670</v>
      </c>
      <c r="K17" s="311">
        <f>SUM(B17+D17+F17+H17+J17)</f>
        <v>1257674</v>
      </c>
    </row>
    <row r="18" spans="1:11" ht="15.75">
      <c r="A18" s="312" t="s">
        <v>448</v>
      </c>
      <c r="B18" s="311">
        <f>SUM(B7+B17)</f>
        <v>36757</v>
      </c>
      <c r="C18" s="312" t="s">
        <v>448</v>
      </c>
      <c r="D18" s="311">
        <f>SUM(D7+D17)</f>
        <v>36036</v>
      </c>
      <c r="E18" s="312" t="s">
        <v>448</v>
      </c>
      <c r="F18" s="311">
        <f>SUM(F7+F17)</f>
        <v>109500</v>
      </c>
      <c r="G18" s="312" t="s">
        <v>448</v>
      </c>
      <c r="H18" s="311">
        <f>SUM(H7+H17)</f>
        <v>2497454</v>
      </c>
      <c r="I18" s="312" t="s">
        <v>448</v>
      </c>
      <c r="J18" s="311">
        <f>SUM(J7+J17)</f>
        <v>5382</v>
      </c>
      <c r="K18" s="311">
        <f>SUM(B18+D18+F18+H18+J18)</f>
        <v>2685129</v>
      </c>
    </row>
    <row r="19" spans="1:11" ht="15.75">
      <c r="A19" s="312" t="s">
        <v>450</v>
      </c>
      <c r="B19" s="313"/>
      <c r="C19" s="312" t="s">
        <v>450</v>
      </c>
      <c r="D19" s="314"/>
      <c r="E19" s="312" t="s">
        <v>450</v>
      </c>
      <c r="F19" s="298"/>
      <c r="G19" s="312" t="s">
        <v>450</v>
      </c>
      <c r="H19" s="173"/>
      <c r="I19" s="312" t="s">
        <v>450</v>
      </c>
      <c r="J19" s="173"/>
      <c r="K19" s="298"/>
    </row>
    <row r="20" spans="1:11" ht="15.75">
      <c r="A20" s="756" t="s">
        <v>1065</v>
      </c>
      <c r="B20" s="757">
        <v>0</v>
      </c>
      <c r="C20" s="760" t="s">
        <v>983</v>
      </c>
      <c r="D20" s="757">
        <f>31737-2728</f>
        <v>29009</v>
      </c>
      <c r="E20" s="760" t="s">
        <v>1066</v>
      </c>
      <c r="F20" s="757">
        <v>67303</v>
      </c>
      <c r="G20" s="760" t="s">
        <v>1067</v>
      </c>
      <c r="H20" s="757">
        <v>106057</v>
      </c>
      <c r="I20" s="760" t="s">
        <v>1066</v>
      </c>
      <c r="J20" s="757">
        <v>5210</v>
      </c>
      <c r="K20" s="298"/>
    </row>
    <row r="21" spans="1:11" ht="15.75">
      <c r="A21" s="756"/>
      <c r="B21" s="757"/>
      <c r="C21" s="760" t="s">
        <v>1073</v>
      </c>
      <c r="D21" s="757">
        <v>2728</v>
      </c>
      <c r="E21" s="760"/>
      <c r="F21" s="757"/>
      <c r="G21" s="760" t="s">
        <v>1065</v>
      </c>
      <c r="H21" s="757">
        <v>2500</v>
      </c>
      <c r="I21" s="760"/>
      <c r="J21" s="757"/>
      <c r="K21" s="298"/>
    </row>
    <row r="22" spans="1:11" ht="15.75">
      <c r="A22" s="756"/>
      <c r="B22" s="757"/>
      <c r="C22" s="763"/>
      <c r="D22" s="757"/>
      <c r="E22" s="763"/>
      <c r="F22" s="757"/>
      <c r="G22" s="763" t="s">
        <v>1068</v>
      </c>
      <c r="H22" s="757">
        <v>77866</v>
      </c>
      <c r="I22" s="762"/>
      <c r="J22" s="757"/>
      <c r="K22" s="298"/>
    </row>
    <row r="23" spans="1:11" ht="15.75">
      <c r="A23" s="756"/>
      <c r="B23" s="757"/>
      <c r="C23" s="760"/>
      <c r="D23" s="757"/>
      <c r="E23" s="760"/>
      <c r="F23" s="757"/>
      <c r="G23" s="760" t="s">
        <v>1069</v>
      </c>
      <c r="H23" s="757">
        <v>0</v>
      </c>
      <c r="I23" s="760"/>
      <c r="J23" s="757"/>
      <c r="K23" s="298"/>
    </row>
    <row r="24" spans="1:11" ht="15.75">
      <c r="A24" s="756"/>
      <c r="B24" s="757"/>
      <c r="C24" s="763"/>
      <c r="D24" s="757"/>
      <c r="E24" s="763"/>
      <c r="F24" s="757"/>
      <c r="G24" s="763" t="s">
        <v>1070</v>
      </c>
      <c r="H24" s="757">
        <v>748328</v>
      </c>
      <c r="I24" s="762"/>
      <c r="J24" s="757"/>
      <c r="K24" s="298"/>
    </row>
    <row r="25" spans="1:11" ht="15.75">
      <c r="A25" s="315"/>
      <c r="B25" s="309"/>
      <c r="C25" s="318"/>
      <c r="D25" s="309"/>
      <c r="E25" s="318"/>
      <c r="F25" s="309"/>
      <c r="G25" s="318" t="s">
        <v>1203</v>
      </c>
      <c r="H25" s="309">
        <v>3736</v>
      </c>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454</v>
      </c>
      <c r="B28" s="311">
        <f>SUM(B20:B27)</f>
        <v>0</v>
      </c>
      <c r="C28" s="312" t="s">
        <v>454</v>
      </c>
      <c r="D28" s="311">
        <f>SUM(D20:D27)</f>
        <v>31737</v>
      </c>
      <c r="E28" s="312" t="s">
        <v>454</v>
      </c>
      <c r="F28" s="373">
        <f>SUM(F20:F27)</f>
        <v>67303</v>
      </c>
      <c r="G28" s="312" t="s">
        <v>454</v>
      </c>
      <c r="H28" s="373">
        <f>SUM(H20:H27)</f>
        <v>938487</v>
      </c>
      <c r="I28" s="312" t="s">
        <v>454</v>
      </c>
      <c r="J28" s="311">
        <f>SUM(J20:J27)</f>
        <v>5210</v>
      </c>
      <c r="K28" s="311">
        <f>SUM(B28+D28+F28+H28+J28)</f>
        <v>1042737</v>
      </c>
    </row>
    <row r="29" spans="1:12" ht="15.75">
      <c r="A29" s="312" t="s">
        <v>595</v>
      </c>
      <c r="B29" s="311">
        <f>SUM(B18-B28)</f>
        <v>36757</v>
      </c>
      <c r="C29" s="312" t="s">
        <v>595</v>
      </c>
      <c r="D29" s="311">
        <f>SUM(D18-D28)</f>
        <v>4299</v>
      </c>
      <c r="E29" s="312" t="s">
        <v>595</v>
      </c>
      <c r="F29" s="311">
        <f>SUM(F18-F28)</f>
        <v>42197</v>
      </c>
      <c r="G29" s="312" t="s">
        <v>595</v>
      </c>
      <c r="H29" s="311">
        <f>SUM(H18-H28)</f>
        <v>1558967</v>
      </c>
      <c r="I29" s="312" t="s">
        <v>595</v>
      </c>
      <c r="J29" s="311">
        <f>SUM(J18-J28)</f>
        <v>172</v>
      </c>
      <c r="K29" s="321">
        <f>SUM(B29+D29+F29+H29+J29)</f>
        <v>1642392</v>
      </c>
      <c r="L29" s="32" t="s">
        <v>679</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1642392</v>
      </c>
      <c r="L30" s="32" t="s">
        <v>679</v>
      </c>
    </row>
    <row r="31" spans="1:11" ht="15.75">
      <c r="A31" s="173"/>
      <c r="B31" s="178"/>
      <c r="C31" s="173"/>
      <c r="D31" s="298"/>
      <c r="E31" s="173"/>
      <c r="F31" s="173"/>
      <c r="G31" s="43" t="s">
        <v>681</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457</v>
      </c>
      <c r="F33" s="280">
        <v>18</v>
      </c>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mergeCells count="5">
    <mergeCell ref="I5:J5"/>
    <mergeCell ref="A5:B5"/>
    <mergeCell ref="C5:D5"/>
    <mergeCell ref="E5:F5"/>
    <mergeCell ref="G5:H5"/>
  </mergeCells>
  <printOptions/>
  <pageMargins left="0.33" right="0.37" top="1" bottom="1" header="0.5" footer="0.5"/>
  <pageSetup blackAndWhite="1" fitToHeight="1" fitToWidth="1" horizontalDpi="600" verticalDpi="600" orientation="landscape" scale="92"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Paola</v>
      </c>
      <c r="B1" s="298"/>
      <c r="C1" s="173"/>
      <c r="D1" s="173"/>
      <c r="E1" s="173"/>
      <c r="F1" s="175" t="s">
        <v>597</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633</v>
      </c>
      <c r="B3" s="173"/>
      <c r="C3" s="173"/>
      <c r="D3" s="173"/>
      <c r="E3" s="173"/>
      <c r="F3" s="298"/>
      <c r="G3" s="173"/>
      <c r="H3" s="173"/>
      <c r="I3" s="173"/>
      <c r="J3" s="173"/>
      <c r="K3" s="173"/>
    </row>
    <row r="4" spans="1:11" ht="15.75">
      <c r="A4" s="173" t="s">
        <v>589</v>
      </c>
      <c r="B4" s="173"/>
      <c r="C4" s="173" t="s">
        <v>590</v>
      </c>
      <c r="D4" s="173"/>
      <c r="E4" s="173" t="s">
        <v>591</v>
      </c>
      <c r="F4" s="298"/>
      <c r="G4" s="173" t="s">
        <v>592</v>
      </c>
      <c r="H4" s="173"/>
      <c r="I4" s="173" t="s">
        <v>593</v>
      </c>
      <c r="J4" s="173"/>
      <c r="K4" s="173"/>
    </row>
    <row r="5" spans="1:11" ht="15.75">
      <c r="A5" s="839" t="str">
        <f>IF(inputPrYr!B69&gt;" ",(inputPrYr!B69)," ")</f>
        <v> </v>
      </c>
      <c r="B5" s="840"/>
      <c r="C5" s="839" t="str">
        <f>IF(inputPrYr!B70&gt;" ",(inputPrYr!B70)," ")</f>
        <v> </v>
      </c>
      <c r="D5" s="840"/>
      <c r="E5" s="839" t="str">
        <f>IF(inputPrYr!B71&gt;" ",(inputPrYr!B71)," ")</f>
        <v> </v>
      </c>
      <c r="F5" s="840"/>
      <c r="G5" s="839" t="str">
        <f>IF(inputPrYr!B72&gt;" ",(inputPrYr!B72)," ")</f>
        <v> </v>
      </c>
      <c r="H5" s="840"/>
      <c r="I5" s="839" t="str">
        <f>IF(inputPrYr!B73&gt;" ",(inputPrYr!B73)," ")</f>
        <v> </v>
      </c>
      <c r="J5" s="840"/>
      <c r="K5" s="124"/>
    </row>
    <row r="6" spans="1:11" ht="15.75">
      <c r="A6" s="302" t="s">
        <v>594</v>
      </c>
      <c r="B6" s="303"/>
      <c r="C6" s="304" t="s">
        <v>594</v>
      </c>
      <c r="D6" s="305"/>
      <c r="E6" s="304" t="s">
        <v>594</v>
      </c>
      <c r="F6" s="301"/>
      <c r="G6" s="304" t="s">
        <v>594</v>
      </c>
      <c r="H6" s="306"/>
      <c r="I6" s="304" t="s">
        <v>594</v>
      </c>
      <c r="J6" s="173"/>
      <c r="K6" s="307" t="s">
        <v>408</v>
      </c>
    </row>
    <row r="7" spans="1:11" ht="15.75">
      <c r="A7" s="308" t="s">
        <v>1210</v>
      </c>
      <c r="B7" s="309"/>
      <c r="C7" s="310" t="s">
        <v>1210</v>
      </c>
      <c r="D7" s="309"/>
      <c r="E7" s="310" t="s">
        <v>1210</v>
      </c>
      <c r="F7" s="309"/>
      <c r="G7" s="310" t="s">
        <v>1210</v>
      </c>
      <c r="H7" s="309"/>
      <c r="I7" s="310" t="s">
        <v>1210</v>
      </c>
      <c r="J7" s="309"/>
      <c r="K7" s="311">
        <f>SUM(B7+D7+F7+H7+J7)</f>
        <v>0</v>
      </c>
    </row>
    <row r="8" spans="1:11" ht="15.75">
      <c r="A8" s="312" t="s">
        <v>566</v>
      </c>
      <c r="B8" s="313"/>
      <c r="C8" s="312" t="s">
        <v>566</v>
      </c>
      <c r="D8" s="314"/>
      <c r="E8" s="312" t="s">
        <v>566</v>
      </c>
      <c r="F8" s="298"/>
      <c r="G8" s="312" t="s">
        <v>566</v>
      </c>
      <c r="H8" s="173"/>
      <c r="I8" s="312" t="s">
        <v>566</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443</v>
      </c>
      <c r="B17" s="311">
        <f>SUM(B9:B16)</f>
        <v>0</v>
      </c>
      <c r="C17" s="312" t="s">
        <v>443</v>
      </c>
      <c r="D17" s="311">
        <f>SUM(D9:D16)</f>
        <v>0</v>
      </c>
      <c r="E17" s="312" t="s">
        <v>443</v>
      </c>
      <c r="F17" s="373">
        <f>SUM(F9:F16)</f>
        <v>0</v>
      </c>
      <c r="G17" s="312" t="s">
        <v>443</v>
      </c>
      <c r="H17" s="311">
        <f>SUM(H9:H16)</f>
        <v>0</v>
      </c>
      <c r="I17" s="312" t="s">
        <v>443</v>
      </c>
      <c r="J17" s="311">
        <f>SUM(J9:J16)</f>
        <v>0</v>
      </c>
      <c r="K17" s="311">
        <f>SUM(B17+D17+F17+H17+J17)</f>
        <v>0</v>
      </c>
    </row>
    <row r="18" spans="1:11" ht="15.75">
      <c r="A18" s="312" t="s">
        <v>448</v>
      </c>
      <c r="B18" s="311">
        <f>SUM(B7+B17)</f>
        <v>0</v>
      </c>
      <c r="C18" s="312" t="s">
        <v>448</v>
      </c>
      <c r="D18" s="311">
        <f>SUM(D7+D17)</f>
        <v>0</v>
      </c>
      <c r="E18" s="312" t="s">
        <v>448</v>
      </c>
      <c r="F18" s="311">
        <f>SUM(F7+F17)</f>
        <v>0</v>
      </c>
      <c r="G18" s="312" t="s">
        <v>448</v>
      </c>
      <c r="H18" s="311">
        <f>SUM(H7+H17)</f>
        <v>0</v>
      </c>
      <c r="I18" s="312" t="s">
        <v>448</v>
      </c>
      <c r="J18" s="311">
        <f>SUM(J7+J17)</f>
        <v>0</v>
      </c>
      <c r="K18" s="311">
        <f>SUM(B18+D18+F18+H18+J18)</f>
        <v>0</v>
      </c>
    </row>
    <row r="19" spans="1:11" ht="15.75">
      <c r="A19" s="312" t="s">
        <v>450</v>
      </c>
      <c r="B19" s="313"/>
      <c r="C19" s="312" t="s">
        <v>450</v>
      </c>
      <c r="D19" s="314"/>
      <c r="E19" s="312" t="s">
        <v>450</v>
      </c>
      <c r="F19" s="298"/>
      <c r="G19" s="312" t="s">
        <v>450</v>
      </c>
      <c r="H19" s="173"/>
      <c r="I19" s="312" t="s">
        <v>450</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454</v>
      </c>
      <c r="B28" s="311">
        <f>SUM(B20:B27)</f>
        <v>0</v>
      </c>
      <c r="C28" s="312" t="s">
        <v>454</v>
      </c>
      <c r="D28" s="311">
        <f>SUM(D20:D27)</f>
        <v>0</v>
      </c>
      <c r="E28" s="312" t="s">
        <v>454</v>
      </c>
      <c r="F28" s="373">
        <f>SUM(F20:F27)</f>
        <v>0</v>
      </c>
      <c r="G28" s="312" t="s">
        <v>454</v>
      </c>
      <c r="H28" s="373">
        <f>SUM(H20:H27)</f>
        <v>0</v>
      </c>
      <c r="I28" s="312" t="s">
        <v>454</v>
      </c>
      <c r="J28" s="311">
        <f>SUM(J20:J27)</f>
        <v>0</v>
      </c>
      <c r="K28" s="311">
        <f>SUM(B28+D28+F28+H28+J28)</f>
        <v>0</v>
      </c>
    </row>
    <row r="29" spans="1:12" ht="15.75">
      <c r="A29" s="312" t="s">
        <v>595</v>
      </c>
      <c r="B29" s="311">
        <f>SUM(B18-B28)</f>
        <v>0</v>
      </c>
      <c r="C29" s="312" t="s">
        <v>595</v>
      </c>
      <c r="D29" s="311">
        <f>SUM(D18-D28)</f>
        <v>0</v>
      </c>
      <c r="E29" s="312" t="s">
        <v>595</v>
      </c>
      <c r="F29" s="311">
        <f>SUM(F18-F28)</f>
        <v>0</v>
      </c>
      <c r="G29" s="312" t="s">
        <v>595</v>
      </c>
      <c r="H29" s="311">
        <f>SUM(H18-H28)</f>
        <v>0</v>
      </c>
      <c r="I29" s="312" t="s">
        <v>595</v>
      </c>
      <c r="J29" s="311">
        <f>SUM(J18-J28)</f>
        <v>0</v>
      </c>
      <c r="K29" s="321">
        <f>SUM(B29+D29+F29+H29+J29)</f>
        <v>0</v>
      </c>
      <c r="L29" s="32" t="s">
        <v>679</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0</v>
      </c>
      <c r="L30" s="32" t="s">
        <v>679</v>
      </c>
    </row>
    <row r="31" spans="1:11" ht="15.75">
      <c r="A31" s="173"/>
      <c r="B31" s="178"/>
      <c r="C31" s="173"/>
      <c r="D31" s="298"/>
      <c r="E31" s="173"/>
      <c r="F31" s="173"/>
      <c r="G31" s="43" t="s">
        <v>681</v>
      </c>
      <c r="H31" s="43"/>
      <c r="I31" s="43"/>
      <c r="J31" s="43"/>
      <c r="K31" s="173"/>
    </row>
    <row r="32" spans="1:11" ht="15.75">
      <c r="A32" s="173"/>
      <c r="B32" s="178"/>
      <c r="C32" s="173"/>
      <c r="D32" s="173"/>
      <c r="E32" s="173"/>
      <c r="F32" s="173"/>
      <c r="G32" s="323"/>
      <c r="H32" s="173"/>
      <c r="I32" s="173"/>
      <c r="J32" s="173"/>
      <c r="K32" s="173"/>
    </row>
    <row r="33" spans="1:11" ht="15.75">
      <c r="A33" s="173"/>
      <c r="B33" s="178"/>
      <c r="C33" s="173"/>
      <c r="D33" s="173"/>
      <c r="E33" s="187" t="s">
        <v>457</v>
      </c>
      <c r="F33" s="280"/>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Paola</v>
      </c>
      <c r="B1" s="298"/>
      <c r="C1" s="173"/>
      <c r="D1" s="173"/>
      <c r="E1" s="173"/>
      <c r="F1" s="175" t="s">
        <v>598</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634</v>
      </c>
      <c r="B3" s="173"/>
      <c r="C3" s="173"/>
      <c r="D3" s="173"/>
      <c r="E3" s="173"/>
      <c r="F3" s="298"/>
      <c r="G3" s="173"/>
      <c r="H3" s="173"/>
      <c r="I3" s="173"/>
      <c r="J3" s="173"/>
      <c r="K3" s="173"/>
    </row>
    <row r="4" spans="1:11" ht="15.75">
      <c r="A4" s="173" t="s">
        <v>589</v>
      </c>
      <c r="B4" s="173"/>
      <c r="C4" s="173" t="s">
        <v>590</v>
      </c>
      <c r="D4" s="173"/>
      <c r="E4" s="173" t="s">
        <v>591</v>
      </c>
      <c r="F4" s="298"/>
      <c r="G4" s="173" t="s">
        <v>592</v>
      </c>
      <c r="H4" s="173"/>
      <c r="I4" s="173" t="s">
        <v>593</v>
      </c>
      <c r="J4" s="173"/>
      <c r="K4" s="173"/>
    </row>
    <row r="5" spans="1:11" ht="15.75">
      <c r="A5" s="839" t="str">
        <f>IF(inputPrYr!B75&gt;" ",(inputPrYr!B75)," ")</f>
        <v> </v>
      </c>
      <c r="B5" s="840"/>
      <c r="C5" s="839" t="str">
        <f>IF(inputPrYr!B76&gt;" ",(inputPrYr!B76)," ")</f>
        <v> </v>
      </c>
      <c r="D5" s="840"/>
      <c r="E5" s="839" t="str">
        <f>IF(inputPrYr!B77&gt;" ",(inputPrYr!B77)," ")</f>
        <v> </v>
      </c>
      <c r="F5" s="840"/>
      <c r="G5" s="839" t="str">
        <f>IF(inputPrYr!B78&gt;" ",(inputPrYr!B78)," ")</f>
        <v> </v>
      </c>
      <c r="H5" s="840"/>
      <c r="I5" s="839" t="str">
        <f>IF(inputPrYr!B79&gt;" ",(inputPrYr!B79)," ")</f>
        <v> </v>
      </c>
      <c r="J5" s="840"/>
      <c r="K5" s="124"/>
    </row>
    <row r="6" spans="1:11" ht="15.75">
      <c r="A6" s="302" t="s">
        <v>594</v>
      </c>
      <c r="B6" s="303"/>
      <c r="C6" s="304" t="s">
        <v>594</v>
      </c>
      <c r="D6" s="305"/>
      <c r="E6" s="304" t="s">
        <v>594</v>
      </c>
      <c r="F6" s="301"/>
      <c r="G6" s="304" t="s">
        <v>594</v>
      </c>
      <c r="H6" s="306"/>
      <c r="I6" s="304" t="s">
        <v>594</v>
      </c>
      <c r="J6" s="173"/>
      <c r="K6" s="307" t="s">
        <v>408</v>
      </c>
    </row>
    <row r="7" spans="1:11" ht="15.75">
      <c r="A7" s="308" t="s">
        <v>1210</v>
      </c>
      <c r="B7" s="309"/>
      <c r="C7" s="310" t="s">
        <v>1210</v>
      </c>
      <c r="D7" s="309"/>
      <c r="E7" s="310" t="s">
        <v>1210</v>
      </c>
      <c r="F7" s="309"/>
      <c r="G7" s="310" t="s">
        <v>1210</v>
      </c>
      <c r="H7" s="309"/>
      <c r="I7" s="310" t="s">
        <v>1210</v>
      </c>
      <c r="J7" s="309"/>
      <c r="K7" s="311">
        <f>SUM(B7+D7+F7+H7+J7)</f>
        <v>0</v>
      </c>
    </row>
    <row r="8" spans="1:11" ht="15.75">
      <c r="A8" s="312" t="s">
        <v>566</v>
      </c>
      <c r="B8" s="313"/>
      <c r="C8" s="312" t="s">
        <v>566</v>
      </c>
      <c r="D8" s="314"/>
      <c r="E8" s="312" t="s">
        <v>566</v>
      </c>
      <c r="F8" s="298"/>
      <c r="G8" s="312" t="s">
        <v>566</v>
      </c>
      <c r="H8" s="173"/>
      <c r="I8" s="312" t="s">
        <v>566</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443</v>
      </c>
      <c r="B17" s="311">
        <f>SUM(B9:B16)</f>
        <v>0</v>
      </c>
      <c r="C17" s="312" t="s">
        <v>443</v>
      </c>
      <c r="D17" s="311">
        <f>SUM(D9:D16)</f>
        <v>0</v>
      </c>
      <c r="E17" s="312" t="s">
        <v>443</v>
      </c>
      <c r="F17" s="373">
        <f>SUM(F9:F16)</f>
        <v>0</v>
      </c>
      <c r="G17" s="312" t="s">
        <v>443</v>
      </c>
      <c r="H17" s="311">
        <f>SUM(H9:H16)</f>
        <v>0</v>
      </c>
      <c r="I17" s="312" t="s">
        <v>443</v>
      </c>
      <c r="J17" s="311">
        <f>SUM(J9:J16)</f>
        <v>0</v>
      </c>
      <c r="K17" s="311">
        <f>SUM(B17+D17+F17+H17+J17)</f>
        <v>0</v>
      </c>
    </row>
    <row r="18" spans="1:11" ht="15.75">
      <c r="A18" s="312" t="s">
        <v>448</v>
      </c>
      <c r="B18" s="311">
        <f>SUM(B7+B17)</f>
        <v>0</v>
      </c>
      <c r="C18" s="312" t="s">
        <v>448</v>
      </c>
      <c r="D18" s="311">
        <f>SUM(D7+D17)</f>
        <v>0</v>
      </c>
      <c r="E18" s="312" t="s">
        <v>448</v>
      </c>
      <c r="F18" s="311">
        <f>SUM(F7+F17)</f>
        <v>0</v>
      </c>
      <c r="G18" s="312" t="s">
        <v>448</v>
      </c>
      <c r="H18" s="311">
        <f>SUM(H7+H17)</f>
        <v>0</v>
      </c>
      <c r="I18" s="312" t="s">
        <v>448</v>
      </c>
      <c r="J18" s="311">
        <f>SUM(J7+J17)</f>
        <v>0</v>
      </c>
      <c r="K18" s="311">
        <f>SUM(B18+D18+F18+H18+J18)</f>
        <v>0</v>
      </c>
    </row>
    <row r="19" spans="1:11" ht="15.75">
      <c r="A19" s="312" t="s">
        <v>450</v>
      </c>
      <c r="B19" s="313"/>
      <c r="C19" s="312" t="s">
        <v>450</v>
      </c>
      <c r="D19" s="314"/>
      <c r="E19" s="312" t="s">
        <v>450</v>
      </c>
      <c r="F19" s="298"/>
      <c r="G19" s="312" t="s">
        <v>450</v>
      </c>
      <c r="H19" s="173"/>
      <c r="I19" s="312" t="s">
        <v>450</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454</v>
      </c>
      <c r="B28" s="311">
        <f>SUM(B20:B27)</f>
        <v>0</v>
      </c>
      <c r="C28" s="312" t="s">
        <v>454</v>
      </c>
      <c r="D28" s="311">
        <f>SUM(D20:D27)</f>
        <v>0</v>
      </c>
      <c r="E28" s="312" t="s">
        <v>454</v>
      </c>
      <c r="F28" s="373">
        <f>SUM(F20:F27)</f>
        <v>0</v>
      </c>
      <c r="G28" s="312" t="s">
        <v>454</v>
      </c>
      <c r="H28" s="373">
        <f>SUM(H20:H27)</f>
        <v>0</v>
      </c>
      <c r="I28" s="312" t="s">
        <v>454</v>
      </c>
      <c r="J28" s="311">
        <f>SUM(J20:J27)</f>
        <v>0</v>
      </c>
      <c r="K28" s="311">
        <f>SUM(B28+D28+F28+H28+J28)</f>
        <v>0</v>
      </c>
    </row>
    <row r="29" spans="1:12" ht="15.75">
      <c r="A29" s="312" t="s">
        <v>595</v>
      </c>
      <c r="B29" s="311">
        <f>SUM(B18-B28)</f>
        <v>0</v>
      </c>
      <c r="C29" s="312" t="s">
        <v>595</v>
      </c>
      <c r="D29" s="311">
        <f>SUM(D18-D28)</f>
        <v>0</v>
      </c>
      <c r="E29" s="312" t="s">
        <v>595</v>
      </c>
      <c r="F29" s="311">
        <f>SUM(F18-F28)</f>
        <v>0</v>
      </c>
      <c r="G29" s="312" t="s">
        <v>595</v>
      </c>
      <c r="H29" s="311">
        <f>SUM(H18-H28)</f>
        <v>0</v>
      </c>
      <c r="I29" s="312" t="s">
        <v>595</v>
      </c>
      <c r="J29" s="311">
        <f>SUM(J18-J28)</f>
        <v>0</v>
      </c>
      <c r="K29" s="321">
        <f>SUM(B29+D29+F29+H29+J29)</f>
        <v>0</v>
      </c>
      <c r="L29" s="32" t="s">
        <v>679</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0</v>
      </c>
      <c r="L30" s="32" t="s">
        <v>679</v>
      </c>
    </row>
    <row r="31" spans="1:11" ht="15.75">
      <c r="A31" s="173"/>
      <c r="B31" s="178"/>
      <c r="C31" s="173"/>
      <c r="D31" s="298"/>
      <c r="E31" s="173"/>
      <c r="F31" s="173"/>
      <c r="G31" s="43" t="s">
        <v>680</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457</v>
      </c>
      <c r="F33" s="280"/>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6" customWidth="1"/>
    <col min="2" max="16384" width="8.8984375" style="106" customWidth="1"/>
  </cols>
  <sheetData>
    <row r="1" ht="18.75">
      <c r="A1" s="491" t="s">
        <v>1</v>
      </c>
    </row>
    <row r="2" ht="15.75">
      <c r="A2" s="1"/>
    </row>
    <row r="3" ht="57" customHeight="1">
      <c r="A3" s="492" t="s">
        <v>2</v>
      </c>
    </row>
    <row r="4" ht="15.75">
      <c r="A4" s="490"/>
    </row>
    <row r="5" ht="15.75">
      <c r="A5" s="1"/>
    </row>
    <row r="6" ht="44.25" customHeight="1">
      <c r="A6" s="492" t="s">
        <v>3</v>
      </c>
    </row>
    <row r="7" ht="15.75">
      <c r="A7" s="1"/>
    </row>
    <row r="8" ht="15.75">
      <c r="A8" s="490"/>
    </row>
    <row r="9" ht="46.5" customHeight="1">
      <c r="A9" s="492" t="s">
        <v>4</v>
      </c>
    </row>
    <row r="10" ht="15.75">
      <c r="A10" s="1"/>
    </row>
    <row r="11" ht="15.75">
      <c r="A11" s="490"/>
    </row>
    <row r="12" ht="60" customHeight="1">
      <c r="A12" s="492" t="s">
        <v>5</v>
      </c>
    </row>
    <row r="13" ht="15.75">
      <c r="A13" s="1"/>
    </row>
    <row r="14" ht="15.75">
      <c r="A14" s="1"/>
    </row>
    <row r="15" ht="61.5" customHeight="1">
      <c r="A15" s="492" t="s">
        <v>6</v>
      </c>
    </row>
    <row r="16" ht="15.75">
      <c r="A16" s="1"/>
    </row>
    <row r="17" ht="15.75">
      <c r="A17" s="1"/>
    </row>
    <row r="18" ht="59.25" customHeight="1">
      <c r="A18" s="492" t="s">
        <v>7</v>
      </c>
    </row>
    <row r="19" ht="15.75">
      <c r="A19" s="1"/>
    </row>
    <row r="20" ht="15.75">
      <c r="A20" s="1"/>
    </row>
    <row r="21" ht="61.5" customHeight="1">
      <c r="A21" s="492" t="s">
        <v>8</v>
      </c>
    </row>
    <row r="22" ht="15.75">
      <c r="A22" s="490"/>
    </row>
    <row r="23" ht="15.75">
      <c r="A23" s="490"/>
    </row>
    <row r="24" ht="63" customHeight="1">
      <c r="A24" s="492" t="s">
        <v>9</v>
      </c>
    </row>
    <row r="25" ht="15.75">
      <c r="A25" s="1"/>
    </row>
    <row r="26" ht="15.75">
      <c r="A26" s="1"/>
    </row>
    <row r="27" ht="52.5" customHeight="1">
      <c r="A27" s="503" t="s">
        <v>1133</v>
      </c>
    </row>
    <row r="28" ht="15.75">
      <c r="A28" s="1"/>
    </row>
    <row r="29" ht="15.75">
      <c r="A29" s="1"/>
    </row>
    <row r="30" ht="44.25" customHeight="1">
      <c r="A30" s="492" t="s">
        <v>10</v>
      </c>
    </row>
    <row r="31" ht="15.75">
      <c r="A31" s="1"/>
    </row>
    <row r="32" ht="15.75">
      <c r="A32" s="1"/>
    </row>
    <row r="33" ht="42.75" customHeight="1">
      <c r="A33" s="492" t="s">
        <v>11</v>
      </c>
    </row>
    <row r="34" ht="15.75">
      <c r="A34" s="490"/>
    </row>
    <row r="35" ht="15.75">
      <c r="A35" s="490"/>
    </row>
    <row r="36" ht="38.25" customHeight="1">
      <c r="A36" s="492" t="s">
        <v>12</v>
      </c>
    </row>
    <row r="37" ht="15.75">
      <c r="A37" s="490"/>
    </row>
    <row r="38" ht="15.75">
      <c r="A38" s="1"/>
    </row>
    <row r="39" ht="75.75" customHeight="1">
      <c r="A39" s="492" t="s">
        <v>13</v>
      </c>
    </row>
    <row r="40" ht="15.75">
      <c r="A40" s="1"/>
    </row>
    <row r="41" ht="15.75">
      <c r="A41" s="1"/>
    </row>
    <row r="42" ht="57.75" customHeight="1">
      <c r="A42" s="492" t="s">
        <v>14</v>
      </c>
    </row>
    <row r="43" ht="15.75">
      <c r="A43" s="490"/>
    </row>
    <row r="44" ht="15.75">
      <c r="A44" s="1"/>
    </row>
    <row r="45" ht="57.75" customHeight="1">
      <c r="A45" s="492" t="s">
        <v>15</v>
      </c>
    </row>
    <row r="46" ht="15.75">
      <c r="A46" s="1"/>
    </row>
    <row r="47" ht="15.75">
      <c r="A47" s="1"/>
    </row>
    <row r="48" ht="41.25" customHeight="1">
      <c r="A48" s="492" t="s">
        <v>16</v>
      </c>
    </row>
    <row r="49" ht="15.75">
      <c r="A49" s="1"/>
    </row>
    <row r="50" ht="15.75">
      <c r="A50" s="1"/>
    </row>
    <row r="51" ht="75" customHeight="1">
      <c r="A51" s="492" t="s">
        <v>17</v>
      </c>
    </row>
    <row r="52" ht="15.75">
      <c r="A52" s="490"/>
    </row>
    <row r="53" ht="15.75">
      <c r="A53" s="490"/>
    </row>
    <row r="54" ht="57.75" customHeight="1">
      <c r="A54" s="492" t="s">
        <v>18</v>
      </c>
    </row>
    <row r="55" ht="15.75">
      <c r="A55" s="1"/>
    </row>
    <row r="56" ht="15.75">
      <c r="A56" s="1"/>
    </row>
    <row r="57" ht="44.25" customHeight="1">
      <c r="A57" s="492" t="s">
        <v>19</v>
      </c>
    </row>
    <row r="58" ht="15.75">
      <c r="A58" s="1"/>
    </row>
    <row r="59" ht="15.75">
      <c r="A59" s="1"/>
    </row>
    <row r="60" ht="60" customHeight="1">
      <c r="A60" s="492" t="s">
        <v>20</v>
      </c>
    </row>
    <row r="61" ht="15.75">
      <c r="A61" s="490"/>
    </row>
    <row r="62" ht="15.75">
      <c r="A62" s="490"/>
    </row>
    <row r="63" ht="57.75" customHeight="1">
      <c r="A63" s="492" t="s">
        <v>21</v>
      </c>
    </row>
    <row r="64" ht="15.75">
      <c r="A64" s="1"/>
    </row>
    <row r="65" ht="15.75">
      <c r="A65" s="1"/>
    </row>
    <row r="66" ht="60" customHeight="1">
      <c r="A66" s="492" t="s">
        <v>22</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52"/>
  <sheetViews>
    <sheetView zoomScale="75" zoomScaleNormal="75" zoomScalePageLayoutView="0" workbookViewId="0" topLeftCell="A19">
      <selection activeCell="A42" sqref="A42"/>
    </sheetView>
  </sheetViews>
  <sheetFormatPr defaultColWidth="8.796875" defaultRowHeight="15"/>
  <cols>
    <col min="1" max="1" width="28"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801" t="s">
        <v>502</v>
      </c>
      <c r="B1" s="801"/>
      <c r="C1" s="801"/>
      <c r="D1" s="801"/>
      <c r="E1" s="801"/>
      <c r="F1" s="801"/>
      <c r="G1" s="801"/>
      <c r="H1" s="801"/>
      <c r="I1" s="324"/>
    </row>
    <row r="2" spans="1:8" ht="18" customHeight="1">
      <c r="A2" s="47"/>
      <c r="B2" s="47"/>
      <c r="C2" s="47"/>
      <c r="D2" s="47"/>
      <c r="E2" s="47"/>
      <c r="F2" s="47"/>
      <c r="G2" s="47"/>
      <c r="H2" s="47">
        <f>inputPrYr!$C$5</f>
        <v>2013</v>
      </c>
    </row>
    <row r="3" spans="1:8" ht="18" customHeight="1">
      <c r="A3" s="793" t="s">
        <v>459</v>
      </c>
      <c r="B3" s="793"/>
      <c r="C3" s="793"/>
      <c r="D3" s="793"/>
      <c r="E3" s="793"/>
      <c r="F3" s="793"/>
      <c r="G3" s="793"/>
      <c r="H3" s="793"/>
    </row>
    <row r="4" spans="1:8" ht="15.75">
      <c r="A4" s="791" t="str">
        <f>inputPrYr!D2</f>
        <v>City of Paola</v>
      </c>
      <c r="B4" s="791"/>
      <c r="C4" s="791"/>
      <c r="D4" s="791"/>
      <c r="E4" s="791"/>
      <c r="F4" s="791"/>
      <c r="G4" s="791"/>
      <c r="H4" s="791"/>
    </row>
    <row r="5" spans="1:8" ht="18" customHeight="1">
      <c r="A5" s="849" t="str">
        <f>CONCATENATE("will meet on ",inputBudSum!B7," at ",inputBudSum!B9," at ",inputBudSum!B11," for the purpose of hearing and")</f>
        <v>will meet on August 14, 2012 at 6:00 pm at Municipal Court Room at the Paola Justice Center located at 805 N Pearl Street for the purpose of hearing and</v>
      </c>
      <c r="B5" s="849"/>
      <c r="C5" s="849"/>
      <c r="D5" s="849"/>
      <c r="E5" s="849"/>
      <c r="F5" s="849"/>
      <c r="G5" s="849"/>
      <c r="H5" s="849"/>
    </row>
    <row r="6" spans="1:8" ht="16.5" customHeight="1">
      <c r="A6" s="793" t="s">
        <v>153</v>
      </c>
      <c r="B6" s="793"/>
      <c r="C6" s="793"/>
      <c r="D6" s="793"/>
      <c r="E6" s="793"/>
      <c r="F6" s="793"/>
      <c r="G6" s="793"/>
      <c r="H6" s="793"/>
    </row>
    <row r="7" spans="1:13" ht="16.5" customHeight="1">
      <c r="A7" s="793" t="str">
        <f>CONCATENATE("Detailed budget information is available at ",inputBudSum!B14," and will be available at this hearing.")</f>
        <v>Detailed budget information is available at Paola City Hall located at 10 W Peoria Street and will be available at this hearing.</v>
      </c>
      <c r="B7" s="793"/>
      <c r="C7" s="793"/>
      <c r="D7" s="793"/>
      <c r="E7" s="793"/>
      <c r="F7" s="793"/>
      <c r="G7" s="793"/>
      <c r="H7" s="793"/>
      <c r="J7" s="841" t="str">
        <f>CONCATENATE("Estimated Value Of One Mill For ",H2,"")</f>
        <v>Estimated Value Of One Mill For 2013</v>
      </c>
      <c r="K7" s="842"/>
      <c r="L7" s="842"/>
      <c r="M7" s="843"/>
    </row>
    <row r="8" spans="1:13" ht="15.75">
      <c r="A8" s="55" t="s">
        <v>503</v>
      </c>
      <c r="B8" s="56"/>
      <c r="C8" s="56"/>
      <c r="D8" s="56"/>
      <c r="E8" s="56"/>
      <c r="F8" s="56"/>
      <c r="G8" s="56"/>
      <c r="H8" s="56"/>
      <c r="J8" s="506"/>
      <c r="K8" s="507"/>
      <c r="L8" s="507"/>
      <c r="M8" s="508"/>
    </row>
    <row r="9" spans="1:13"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c r="J9" s="509" t="s">
        <v>1135</v>
      </c>
      <c r="K9" s="510"/>
      <c r="L9" s="510"/>
      <c r="M9" s="511">
        <f>ROUND(F39/1000,0)</f>
        <v>45634</v>
      </c>
    </row>
    <row r="10" spans="1:8" ht="15.75">
      <c r="A10" s="138" t="s">
        <v>571</v>
      </c>
      <c r="B10" s="56"/>
      <c r="C10" s="56"/>
      <c r="D10" s="56"/>
      <c r="E10" s="56"/>
      <c r="F10" s="56"/>
      <c r="G10" s="56"/>
      <c r="H10" s="56"/>
    </row>
    <row r="11" spans="1:13" ht="15.75">
      <c r="A11" s="47"/>
      <c r="B11" s="287"/>
      <c r="C11" s="287"/>
      <c r="D11" s="287"/>
      <c r="E11" s="287"/>
      <c r="F11" s="287"/>
      <c r="G11" s="287"/>
      <c r="H11" s="287"/>
      <c r="J11" s="841" t="str">
        <f>CONCATENATE("Want The Mill Rate The Same As For ",H2-1,"?")</f>
        <v>Want The Mill Rate The Same As For 2012?</v>
      </c>
      <c r="K11" s="842"/>
      <c r="L11" s="842"/>
      <c r="M11" s="843"/>
    </row>
    <row r="12" spans="1:13" ht="15.75">
      <c r="A12" s="47"/>
      <c r="B12" s="325" t="str">
        <f>CONCATENATE("Prior Year Actual for ",H2-2,"")</f>
        <v>Prior Year Actual for 2011</v>
      </c>
      <c r="C12" s="141"/>
      <c r="D12" s="325" t="str">
        <f>CONCATENATE("Current Year Estimate for ",H2-1,"")</f>
        <v>Current Year Estimate for 2012</v>
      </c>
      <c r="E12" s="141"/>
      <c r="F12" s="139" t="str">
        <f>CONCATENATE("Proposed Budget Year for ",H2,"")</f>
        <v>Proposed Budget Year for 2013</v>
      </c>
      <c r="G12" s="140"/>
      <c r="H12" s="141"/>
      <c r="J12" s="513"/>
      <c r="K12" s="507"/>
      <c r="L12" s="507"/>
      <c r="M12" s="514"/>
    </row>
    <row r="13" spans="1:13" ht="21" customHeight="1">
      <c r="A13" s="47"/>
      <c r="B13" s="277"/>
      <c r="C13" s="144" t="s">
        <v>460</v>
      </c>
      <c r="D13" s="144"/>
      <c r="E13" s="144" t="s">
        <v>460</v>
      </c>
      <c r="F13" s="557" t="s">
        <v>1199</v>
      </c>
      <c r="G13" s="144" t="str">
        <f>CONCATENATE("Amount of ",H2-1,"")</f>
        <v>Amount of 2012</v>
      </c>
      <c r="H13" s="144" t="s">
        <v>637</v>
      </c>
      <c r="J13" s="513" t="str">
        <f>CONCATENATE("",H2-1," Mill Rate Was:")</f>
        <v>2012 Mill Rate Was:</v>
      </c>
      <c r="K13" s="507"/>
      <c r="L13" s="507"/>
      <c r="M13" s="515">
        <f>E34</f>
        <v>41.309</v>
      </c>
    </row>
    <row r="14" spans="1:13" ht="15.75">
      <c r="A14" s="64" t="s">
        <v>461</v>
      </c>
      <c r="B14" s="148" t="s">
        <v>462</v>
      </c>
      <c r="C14" s="148" t="s">
        <v>463</v>
      </c>
      <c r="D14" s="148" t="s">
        <v>462</v>
      </c>
      <c r="E14" s="148" t="s">
        <v>463</v>
      </c>
      <c r="F14" s="558" t="s">
        <v>161</v>
      </c>
      <c r="G14" s="149" t="s">
        <v>436</v>
      </c>
      <c r="H14" s="148" t="s">
        <v>463</v>
      </c>
      <c r="J14" s="516" t="str">
        <f>CONCATENATE("",H2," Tax Levy Fund Expenditures Must Be")</f>
        <v>2013 Tax Levy Fund Expenditures Must Be</v>
      </c>
      <c r="K14" s="517"/>
      <c r="L14" s="517"/>
      <c r="M14" s="514"/>
    </row>
    <row r="15" spans="1:13" ht="24.75" customHeight="1">
      <c r="A15" s="87" t="str">
        <f>inputPrYr!B17</f>
        <v>General - Fund 01</v>
      </c>
      <c r="B15" s="87">
        <f>IF(general!$C$111&lt;&gt;0,general!$C$111,"  ")</f>
        <v>3531292</v>
      </c>
      <c r="C15" s="326">
        <f>IF(inputPrYr!D84&gt;0,inputPrYr!D84,"  ")</f>
        <v>24.401</v>
      </c>
      <c r="D15" s="87">
        <f>IF(general!$D$111&lt;&gt;0,general!$D$111,"  ")</f>
        <v>3574960</v>
      </c>
      <c r="E15" s="326">
        <f>IF(inputOth!D21&gt;0,inputOth!D21,"  ")</f>
        <v>25.009</v>
      </c>
      <c r="F15" s="87">
        <f>IF(general!$E$111&lt;&gt;0,general!$E$111,"  ")</f>
        <v>4093260</v>
      </c>
      <c r="G15" s="87">
        <f>IF(general!$E$118&lt;&gt;0,general!$E$118,"  ")</f>
        <v>1164039</v>
      </c>
      <c r="H15" s="326">
        <f>IF(general!E118&gt;0,ROUND(G15/$F$39*1000,3),"")</f>
        <v>25.508</v>
      </c>
      <c r="J15" s="516">
        <f>IF(M15&gt;0,"Increased By:","")</f>
      </c>
      <c r="K15" s="517"/>
      <c r="L15" s="517"/>
      <c r="M15" s="585">
        <f>IF(M22&lt;0,M22*-1,0)</f>
        <v>0</v>
      </c>
    </row>
    <row r="16" spans="1:13" ht="24.75" customHeight="1">
      <c r="A16" s="87" t="str">
        <f>inputPrYr!B18</f>
        <v>Bond &amp; Interest - Fund 06</v>
      </c>
      <c r="B16" s="87">
        <f>IF('DebtSvs-library'!C41&lt;&gt;0,'DebtSvs-library'!C41,"  ")</f>
        <v>1441506</v>
      </c>
      <c r="C16" s="326">
        <f>IF(inputPrYr!D85&gt;0,inputPrYr!D85,"  ")</f>
        <v>4.739</v>
      </c>
      <c r="D16" s="87">
        <f>IF('DebtSvs-library'!D41&lt;&gt;0,'DebtSvs-library'!D41,"  ")</f>
        <v>1693179</v>
      </c>
      <c r="E16" s="326">
        <f>IF(inputOth!D22&gt;0,inputOth!D22,"  ")</f>
        <v>4.749</v>
      </c>
      <c r="F16" s="87">
        <f>IF('DebtSvs-library'!E41&lt;&gt;0,'DebtSvs-library'!E41,"  ")</f>
        <v>2154336</v>
      </c>
      <c r="G16" s="87">
        <f>IF('DebtSvs-library'!E48&lt;&gt;0,'DebtSvs-library'!E48,"  ")</f>
        <v>216738</v>
      </c>
      <c r="H16" s="326">
        <f>IF('DebtSvs-library'!E48&gt;0,ROUND(G16/$F$39*1000,3),"  ")</f>
        <v>4.749</v>
      </c>
      <c r="J16" s="586" t="str">
        <f>IF(M16&lt;0,"Reduced By:","")</f>
        <v>Reduced By:</v>
      </c>
      <c r="K16" s="587"/>
      <c r="L16" s="587"/>
      <c r="M16" s="588">
        <f>IF(M22&gt;0,M22*-1,0)</f>
        <v>-22823</v>
      </c>
    </row>
    <row r="17" spans="1:13" ht="24.75" customHeight="1">
      <c r="A17" s="87" t="str">
        <f>IF(inputPrYr!$B19&gt;"  ",(inputPrYr!$B19),"  ")</f>
        <v>Library - Fund 02</v>
      </c>
      <c r="B17" s="87">
        <f>IF('DebtSvs-library'!C80&lt;&gt;0,'DebtSvs-library'!C80,"  ")</f>
        <v>261777</v>
      </c>
      <c r="C17" s="326">
        <f>IF(inputPrYr!D86&gt;0,inputPrYr!D86,"  ")</f>
        <v>4.613</v>
      </c>
      <c r="D17" s="87">
        <f>IF('DebtSvs-library'!D80&lt;&gt;0,'DebtSvs-library'!D80,"  ")</f>
        <v>262626</v>
      </c>
      <c r="E17" s="326">
        <f>IF(inputOth!D23&gt;0,inputOth!D23,"  ")</f>
        <v>4.728</v>
      </c>
      <c r="F17" s="87">
        <f>IF('DebtSvs-library'!E80&lt;&gt;0,'DebtSvs-library'!E80,"  ")</f>
        <v>289903</v>
      </c>
      <c r="G17" s="87">
        <f>IF('DebtSvs-library'!E87&lt;&gt;0,'DebtSvs-library'!E87,"  ")</f>
        <v>215779</v>
      </c>
      <c r="H17" s="326">
        <f>IF('DebtSvs-library'!E87&lt;&gt;0,ROUND(G17/$F$39*1000,3),"  ")</f>
        <v>4.728</v>
      </c>
      <c r="J17" s="520"/>
      <c r="K17" s="520"/>
      <c r="L17" s="520"/>
      <c r="M17" s="520"/>
    </row>
    <row r="18" spans="1:13" ht="24.75" customHeight="1">
      <c r="A18" s="87" t="str">
        <f>IF(inputPrYr!$B21&gt;"  ",(inputPrYr!$B21),"  ")</f>
        <v>Employee Benefits - Fund 05</v>
      </c>
      <c r="B18" s="87">
        <f>IF('levy page9'!$C$50&gt;0,'levy page9'!$C$50,"  ")</f>
        <v>891123</v>
      </c>
      <c r="C18" s="326">
        <f>IF(inputPrYr!D87&gt;0,inputPrYr!D87,"  ")</f>
        <v>6.657</v>
      </c>
      <c r="D18" s="87">
        <f>IF('levy page9'!$D$50&gt;0,'levy page9'!$D$50,"  ")</f>
        <v>1072273</v>
      </c>
      <c r="E18" s="326">
        <f>IF(inputOth!D24&gt;0,inputOth!D24,"  ")</f>
        <v>6.823</v>
      </c>
      <c r="F18" s="87">
        <f>IF('levy page9'!$E$50&gt;0,'levy page9'!$E$50,"  ")</f>
        <v>1466800</v>
      </c>
      <c r="G18" s="87">
        <f>IF('levy page9'!$E$57&lt;&gt;0,'levy page9'!$E$57,"  ")</f>
        <v>311373</v>
      </c>
      <c r="H18" s="326">
        <f>IF('levy page9'!E57&lt;&gt;0,ROUND(G18/$F$39*1000,3),"  ")</f>
        <v>6.823</v>
      </c>
      <c r="J18" s="841" t="str">
        <f>CONCATENATE("Impact On Keeping The Same Mill Rate As For ",H2-1,"")</f>
        <v>Impact On Keeping The Same Mill Rate As For 2012</v>
      </c>
      <c r="K18" s="847"/>
      <c r="L18" s="847"/>
      <c r="M18" s="848"/>
    </row>
    <row r="19" spans="1:13" ht="24.75" customHeight="1">
      <c r="A19" s="87" t="str">
        <f>IF(inputPrYr!$B34&gt;"  ",(inputPrYr!$B34),"  ")</f>
        <v>Special Highway - Fund 17</v>
      </c>
      <c r="B19" s="87">
        <f>IF('Sp Hiway'!$C$27&gt;0,'Sp Hiway'!$C$27,"  ")</f>
        <v>163908</v>
      </c>
      <c r="C19" s="65"/>
      <c r="D19" s="87">
        <f>IF('Sp Hiway'!$D$27&gt;0,'Sp Hiway'!$D$27,"  ")</f>
        <v>154850</v>
      </c>
      <c r="E19" s="65"/>
      <c r="F19" s="87">
        <f>IF('Sp Hiway'!$E$27&gt;0,'Sp Hiway'!$E$27,"  ")</f>
        <v>204884</v>
      </c>
      <c r="G19" s="87"/>
      <c r="H19" s="326"/>
      <c r="J19" s="513"/>
      <c r="K19" s="507"/>
      <c r="L19" s="507"/>
      <c r="M19" s="514"/>
    </row>
    <row r="20" spans="1:13" ht="24.75" customHeight="1">
      <c r="A20" s="87" t="str">
        <f>IF(inputPrYr!$B35&gt;"  ",(inputPrYr!$B35),"  ")</f>
        <v>Sewer Service - Fund 04</v>
      </c>
      <c r="B20" s="87">
        <f>IF('Sp Hiway'!$C$59&gt;0,'Sp Hiway'!$C$59,"  ")</f>
        <v>657461</v>
      </c>
      <c r="C20" s="65"/>
      <c r="D20" s="87">
        <f>IF('Sp Hiway'!$D$59&gt;0,'Sp Hiway'!$D$59,"  ")</f>
        <v>650100</v>
      </c>
      <c r="E20" s="65"/>
      <c r="F20" s="87">
        <f>IF('Sp Hiway'!$E$59&gt;0,'Sp Hiway'!$E$59,"  ")</f>
        <v>816973</v>
      </c>
      <c r="G20" s="87"/>
      <c r="H20" s="326"/>
      <c r="J20" s="513" t="str">
        <f>CONCATENATE("",H2," Ad Valorem Tax Revenue:")</f>
        <v>2013 Ad Valorem Tax Revenue:</v>
      </c>
      <c r="K20" s="507"/>
      <c r="L20" s="507"/>
      <c r="M20" s="508">
        <f>G34</f>
        <v>1907929</v>
      </c>
    </row>
    <row r="21" spans="1:13" ht="24.75" customHeight="1">
      <c r="A21" s="87" t="str">
        <f>IF(inputPrYr!$B36&gt;"  ",(inputPrYr!$B36),"  ")</f>
        <v>Aquatics Center - Fund 07</v>
      </c>
      <c r="B21" s="87">
        <f>IF('no levy page15'!$C$33&gt;0,'no levy page15'!$C$33,"  ")</f>
        <v>222294</v>
      </c>
      <c r="C21" s="65"/>
      <c r="D21" s="87">
        <f>IF('no levy page15'!$D$33&gt;0,'no levy page15'!$D$33,"  ")</f>
        <v>253726</v>
      </c>
      <c r="E21" s="65"/>
      <c r="F21" s="87">
        <f>IF('no levy page15'!$E$33&gt;0,'no levy page15'!$E$33,"  ")</f>
        <v>424986</v>
      </c>
      <c r="G21" s="87"/>
      <c r="H21" s="326"/>
      <c r="J21" s="513" t="str">
        <f>CONCATENATE("",H2-1," Ad Valorem Tax Revenue:")</f>
        <v>2012 Ad Valorem Tax Revenue:</v>
      </c>
      <c r="K21" s="507"/>
      <c r="L21" s="507"/>
      <c r="M21" s="521">
        <f>ROUND(F39*M13/1000,0)</f>
        <v>1885106</v>
      </c>
    </row>
    <row r="22" spans="1:13" ht="24.75" customHeight="1">
      <c r="A22" s="87" t="str">
        <f>IF(inputPrYr!$B37&gt;"  ",(inputPrYr!$B37),"  ")</f>
        <v>Community Center - Fund 08</v>
      </c>
      <c r="B22" s="87">
        <f>IF('no levy page15'!$C$72&gt;0,'no levy page15'!$C$72,"  ")</f>
        <v>120254</v>
      </c>
      <c r="C22" s="65"/>
      <c r="D22" s="87">
        <f>IF('no levy page15'!$D$72&gt;0,'no levy page15'!$D$72,"  ")</f>
        <v>121710</v>
      </c>
      <c r="E22" s="65"/>
      <c r="F22" s="87">
        <f>IF('no levy page15'!$E$72&gt;0,'no levy page15'!$E$72,"  ")</f>
        <v>151747</v>
      </c>
      <c r="G22" s="87"/>
      <c r="H22" s="326"/>
      <c r="J22" s="518" t="s">
        <v>1136</v>
      </c>
      <c r="K22" s="519"/>
      <c r="L22" s="519"/>
      <c r="M22" s="511">
        <f>SUM(M20-M21)</f>
        <v>22823</v>
      </c>
    </row>
    <row r="23" spans="1:13" ht="24.75" customHeight="1">
      <c r="A23" s="87" t="str">
        <f>IF(inputPrYr!$B38&gt;"  ",(inputPrYr!$B38),"  ")</f>
        <v>Water Utility - Fund 09</v>
      </c>
      <c r="B23" s="87">
        <f>IF('no levy page16'!$C$34&gt;0,'no levy page16'!$C$34,"  ")</f>
        <v>1838397</v>
      </c>
      <c r="C23" s="65"/>
      <c r="D23" s="87">
        <f>IF('no levy page16'!$D$34&gt;0,'no levy page16'!$D$34,"  ")</f>
        <v>1978650</v>
      </c>
      <c r="E23" s="65"/>
      <c r="F23" s="87">
        <f>IF('no levy page16'!$E$34&gt;0,'no levy page16'!$E$34,"  ")</f>
        <v>2390937</v>
      </c>
      <c r="G23" s="65"/>
      <c r="H23" s="65"/>
      <c r="J23" s="512"/>
      <c r="K23" s="512"/>
      <c r="L23" s="512"/>
      <c r="M23" s="520"/>
    </row>
    <row r="24" spans="1:13" ht="24.75" customHeight="1">
      <c r="A24" s="87" t="str">
        <f>IF(inputPrYr!$B39&gt;"  ",(inputPrYr!$B39),"  ")</f>
        <v>Sewer Reserve - Fund 11</v>
      </c>
      <c r="B24" s="87" t="str">
        <f>IF('no levy page16'!$C$60&gt;0,'no levy page16'!$C$60,"  ")</f>
        <v>  </v>
      </c>
      <c r="C24" s="65"/>
      <c r="D24" s="87" t="str">
        <f>IF('no levy page16'!$D$60&gt;0,'no levy page16'!$D$60,"  ")</f>
        <v>  </v>
      </c>
      <c r="E24" s="65"/>
      <c r="F24" s="87">
        <f>IF('no levy page16'!$E$60&gt;0,'no levy page16'!$E$60,"  ")</f>
        <v>160603</v>
      </c>
      <c r="G24" s="65"/>
      <c r="H24" s="65"/>
      <c r="J24" s="841" t="s">
        <v>1137</v>
      </c>
      <c r="K24" s="845"/>
      <c r="L24" s="845"/>
      <c r="M24" s="846"/>
    </row>
    <row r="25" spans="1:13" ht="24.75" customHeight="1">
      <c r="A25" s="87" t="str">
        <f>IF(inputPrYr!$B40&gt;"  ",(inputPrYr!$B40),"  ")</f>
        <v>Stormwater - Fund 12</v>
      </c>
      <c r="B25" s="87">
        <f>IF('no levy page17'!$C$25&gt;0,'no levy page17'!$C$25,"  ")</f>
        <v>71343</v>
      </c>
      <c r="C25" s="65"/>
      <c r="D25" s="87">
        <f>IF('no levy page17'!$D$25&gt;0,'no levy page17'!$D$25,"  ")</f>
        <v>93100</v>
      </c>
      <c r="E25" s="65"/>
      <c r="F25" s="87">
        <f>IF('no levy page17'!$E$25&gt;0,'no levy page17'!$E$25,"  ")</f>
        <v>259358</v>
      </c>
      <c r="G25" s="65"/>
      <c r="H25" s="65"/>
      <c r="J25" s="513"/>
      <c r="K25" s="507"/>
      <c r="L25" s="507"/>
      <c r="M25" s="514"/>
    </row>
    <row r="26" spans="1:13" ht="24.75" customHeight="1">
      <c r="A26" s="87" t="str">
        <f>IF(inputPrYr!$B41&gt;"  ",(inputPrYr!$B41),"  ")</f>
        <v>Health &amp; Sanitation - Fund 13</v>
      </c>
      <c r="B26" s="87">
        <f>IF('no levy page17'!$C$54&gt;0,'no levy page17'!$C$54,"  ")</f>
        <v>314395</v>
      </c>
      <c r="C26" s="65"/>
      <c r="D26" s="87">
        <f>IF('no levy page17'!$D$54&gt;0,'no levy page17'!$D$54,"  ")</f>
        <v>313070</v>
      </c>
      <c r="E26" s="65"/>
      <c r="F26" s="87">
        <f>IF('no levy page17'!$E$54&gt;0,'no levy page17'!$E$54,"  ")</f>
        <v>347783</v>
      </c>
      <c r="G26" s="65"/>
      <c r="H26" s="65"/>
      <c r="J26" s="513" t="str">
        <f>CONCATENATE("Current ",H2," Estimated Mill Rate:")</f>
        <v>Current 2013 Estimated Mill Rate:</v>
      </c>
      <c r="K26" s="507"/>
      <c r="L26" s="507"/>
      <c r="M26" s="515">
        <f>H34</f>
        <v>41.808</v>
      </c>
    </row>
    <row r="27" spans="1:13" ht="24.75" customHeight="1">
      <c r="A27" s="87" t="str">
        <f>IF(inputPrYr!$B42&gt;"  ",(inputPrYr!$B42),"  ")</f>
        <v>Special Parks &amp; Rec - Fund 14</v>
      </c>
      <c r="B27" s="87">
        <f>IF('no levy page18'!$C$23&gt;0,'no levy page18'!$C$23,"  ")</f>
        <v>23360</v>
      </c>
      <c r="C27" s="65"/>
      <c r="D27" s="87">
        <f>IF('no levy page18'!$D$23&gt;0,'no levy page18'!$D$23,"  ")</f>
        <v>28350</v>
      </c>
      <c r="E27" s="65"/>
      <c r="F27" s="87">
        <f>IF('no levy page18'!$E$23&gt;0,'no levy page18'!$E$23,"  ")</f>
        <v>16472</v>
      </c>
      <c r="G27" s="65"/>
      <c r="H27" s="65"/>
      <c r="J27" s="513" t="str">
        <f>CONCATENATE("Desired ",H2," Mill Rate:")</f>
        <v>Desired 2013 Mill Rate:</v>
      </c>
      <c r="K27" s="507"/>
      <c r="L27" s="507"/>
      <c r="M27" s="505">
        <v>0</v>
      </c>
    </row>
    <row r="28" spans="1:13" ht="24.75" customHeight="1">
      <c r="A28" s="87" t="str">
        <f>IF(inputPrYr!$B43&gt;"  ",(inputPrYr!$B43),"  ")</f>
        <v>Water Treatment Plant - Fund 15</v>
      </c>
      <c r="B28" s="87" t="str">
        <f>IF('no levy page18'!$C$48&gt;0,'no levy page18'!$C$48,"  ")</f>
        <v>  </v>
      </c>
      <c r="C28" s="65"/>
      <c r="D28" s="87" t="str">
        <f>IF('no levy page18'!$D$48&gt;0,'no levy page18'!$D$48,"  ")</f>
        <v>  </v>
      </c>
      <c r="E28" s="65"/>
      <c r="F28" s="87">
        <f>IF('no levy page18'!$E$48&gt;0,'no levy page18'!$E$48,"  ")</f>
        <v>268719</v>
      </c>
      <c r="G28" s="65"/>
      <c r="H28" s="65"/>
      <c r="J28" s="513" t="str">
        <f>CONCATENATE("",H2," Ad Valorem Tax:")</f>
        <v>2013 Ad Valorem Tax:</v>
      </c>
      <c r="K28" s="507"/>
      <c r="L28" s="507"/>
      <c r="M28" s="521">
        <f>ROUND(F39*M27/1000,0)</f>
        <v>0</v>
      </c>
    </row>
    <row r="29" spans="1:13" ht="24.75" customHeight="1">
      <c r="A29" s="87" t="str">
        <f>IF(inputPrYr!$B44&gt;"  ",(inputPrYr!$B44),"  ")</f>
        <v>Waste Water TP - Fund 16 </v>
      </c>
      <c r="B29" s="87">
        <f>IF('no levy page19'!$C$30&gt;0,'no levy page19'!$C$30,"  ")</f>
        <v>385802</v>
      </c>
      <c r="C29" s="65"/>
      <c r="D29" s="87">
        <f>IF('no levy page19'!$D$30&gt;0,'no levy page19'!$D$30,"  ")</f>
        <v>414193</v>
      </c>
      <c r="E29" s="65"/>
      <c r="F29" s="87">
        <f>IF('no levy page19'!$E$30&gt;0,'no levy page19'!$E$30,"  ")</f>
        <v>1083969</v>
      </c>
      <c r="G29" s="65"/>
      <c r="H29" s="65"/>
      <c r="J29" s="518" t="str">
        <f>CONCATENATE("",H2," Tax Levy Fund Exp. Changed By:")</f>
        <v>2013 Tax Levy Fund Exp. Changed By:</v>
      </c>
      <c r="K29" s="519"/>
      <c r="L29" s="519"/>
      <c r="M29" s="511">
        <f>IF(M27=0,0,(M28-G34))</f>
        <v>0</v>
      </c>
    </row>
    <row r="30" spans="1:8" ht="24.75" customHeight="1">
      <c r="A30" s="87" t="str">
        <f>IF(inputPrYr!$B45&gt;"  ",(inputPrYr!$B45),"  ")</f>
        <v>Transient Guest Tax - Fund 20</v>
      </c>
      <c r="B30" s="87">
        <f>IF('no levy page19'!$C$55&gt;0,'no levy page19'!$C$55,"  ")</f>
        <v>30195</v>
      </c>
      <c r="C30" s="65"/>
      <c r="D30" s="87">
        <f>IF('no levy page19'!$D$55&gt;0,'no levy page19'!$D$55,"  ")</f>
        <v>32500</v>
      </c>
      <c r="E30" s="65"/>
      <c r="F30" s="87">
        <f>IF('no levy page19'!$E$55&gt;0,'no levy page19'!$E$55,"  ")</f>
        <v>123800</v>
      </c>
      <c r="G30" s="65"/>
      <c r="H30" s="65"/>
    </row>
    <row r="31" spans="1:8" ht="24.75" customHeight="1">
      <c r="A31" s="87" t="str">
        <f>IF(inputPrYr!$B57&gt;"  ",(NonBudA!$A3),"  ")</f>
        <v>Non-Budgeted Funds-A</v>
      </c>
      <c r="B31" s="87">
        <f>IF(NonBudA!$K$28&gt;0,NonBudA!$K$28,"  ")</f>
        <v>208945</v>
      </c>
      <c r="C31" s="65"/>
      <c r="D31" s="87"/>
      <c r="E31" s="65"/>
      <c r="F31" s="87"/>
      <c r="G31" s="65"/>
      <c r="H31" s="65"/>
    </row>
    <row r="32" spans="1:8" ht="24.75" customHeight="1">
      <c r="A32" s="87" t="str">
        <f>IF(inputPrYr!$B63&gt;"  ",(NonBudB!$A3),"  ")</f>
        <v>Non-Budgeted Funds-B</v>
      </c>
      <c r="B32" s="87">
        <f>IF(NonBudB!$K$28&gt;0,NonBudB!$K$28,"  ")</f>
        <v>1042737</v>
      </c>
      <c r="C32" s="65"/>
      <c r="D32" s="87"/>
      <c r="E32" s="65"/>
      <c r="F32" s="87"/>
      <c r="G32" s="65"/>
      <c r="H32" s="65"/>
    </row>
    <row r="33" spans="1:8" ht="9" customHeight="1" thickBot="1">
      <c r="A33" s="87" t="str">
        <f>IF(inputPrYr!$B75&gt;"  ",(NonBudD!$A3),"  ")</f>
        <v>  </v>
      </c>
      <c r="B33" s="526" t="str">
        <f>IF(NonBudD!$K$28&gt;0,NonBudD!$K$28,"  ")</f>
        <v>  </v>
      </c>
      <c r="C33" s="527"/>
      <c r="D33" s="526"/>
      <c r="E33" s="527"/>
      <c r="F33" s="526"/>
      <c r="G33" s="527"/>
      <c r="H33" s="527"/>
    </row>
    <row r="34" spans="1:8" ht="24.75" customHeight="1">
      <c r="A34" s="768" t="s">
        <v>1142</v>
      </c>
      <c r="B34" s="553">
        <f>SUM(B15:B33)</f>
        <v>11204789</v>
      </c>
      <c r="C34" s="554">
        <f>SUM(C15:C18)</f>
        <v>40.41</v>
      </c>
      <c r="D34" s="553">
        <f>SUM(D15:D33)</f>
        <v>10643287</v>
      </c>
      <c r="E34" s="554">
        <f>SUM(E15:E18)</f>
        <v>41.309</v>
      </c>
      <c r="F34" s="553">
        <f>SUM(F15:F33)</f>
        <v>14254530</v>
      </c>
      <c r="G34" s="553">
        <f>SUM(G15:G33)</f>
        <v>1907929</v>
      </c>
      <c r="H34" s="554">
        <f>SUM(H15:H18)</f>
        <v>41.808</v>
      </c>
    </row>
    <row r="35" spans="1:9" ht="24.75" customHeight="1">
      <c r="A35" s="52" t="s">
        <v>464</v>
      </c>
      <c r="B35" s="486">
        <f>transfers!D37</f>
        <v>1766400</v>
      </c>
      <c r="C35" s="552"/>
      <c r="D35" s="486">
        <f>transfers!E37</f>
        <v>2038626</v>
      </c>
      <c r="E35" s="339"/>
      <c r="F35" s="486">
        <f>transfers!F37</f>
        <v>2370819</v>
      </c>
      <c r="G35" s="550"/>
      <c r="H35" s="339"/>
      <c r="I35" s="523"/>
    </row>
    <row r="36" spans="1:8" ht="24.75" customHeight="1" thickBot="1">
      <c r="A36" s="52" t="s">
        <v>465</v>
      </c>
      <c r="B36" s="336">
        <f>B34-B35</f>
        <v>9438389</v>
      </c>
      <c r="C36" s="47"/>
      <c r="D36" s="336">
        <f>D34-D35</f>
        <v>8604661</v>
      </c>
      <c r="E36" s="47"/>
      <c r="F36" s="336">
        <f>F34-F35</f>
        <v>11883711</v>
      </c>
      <c r="G36" s="47"/>
      <c r="H36" s="47"/>
    </row>
    <row r="37" spans="1:8" ht="24.75" customHeight="1" thickTop="1">
      <c r="A37" s="52" t="s">
        <v>466</v>
      </c>
      <c r="B37" s="486">
        <f>inputPrYr!$E$99</f>
        <v>1905568</v>
      </c>
      <c r="C37" s="197"/>
      <c r="D37" s="486">
        <f>inputPrYr!$E$31</f>
        <v>1918772</v>
      </c>
      <c r="E37" s="197"/>
      <c r="F37" s="327" t="s">
        <v>425</v>
      </c>
      <c r="G37" s="47"/>
      <c r="H37" s="47"/>
    </row>
    <row r="38" spans="1:8" ht="15.75">
      <c r="A38" s="52" t="s">
        <v>467</v>
      </c>
      <c r="B38" s="199"/>
      <c r="C38" s="47"/>
      <c r="D38" s="487"/>
      <c r="E38" s="201"/>
      <c r="F38" s="152"/>
      <c r="G38" s="47"/>
      <c r="H38" s="47"/>
    </row>
    <row r="39" spans="1:8" ht="15.75">
      <c r="A39" s="52" t="s">
        <v>468</v>
      </c>
      <c r="B39" s="486">
        <f>inputPrYr!$E$100</f>
        <v>47157929</v>
      </c>
      <c r="C39" s="76"/>
      <c r="D39" s="486">
        <f>inputOth!$E$36</f>
        <v>46449708</v>
      </c>
      <c r="E39" s="76"/>
      <c r="F39" s="486">
        <f>inputOth!$E$7</f>
        <v>45634271</v>
      </c>
      <c r="G39" s="47"/>
      <c r="H39" s="47"/>
    </row>
    <row r="40" spans="1:8" ht="15.75">
      <c r="A40" s="52" t="s">
        <v>469</v>
      </c>
      <c r="B40" s="47"/>
      <c r="C40" s="47"/>
      <c r="D40" s="47"/>
      <c r="E40" s="47"/>
      <c r="F40" s="47"/>
      <c r="G40" s="47"/>
      <c r="H40" s="47"/>
    </row>
    <row r="41" spans="1:8" ht="15.75">
      <c r="A41" s="52" t="s">
        <v>470</v>
      </c>
      <c r="B41" s="328">
        <f>$H$2-3</f>
        <v>2010</v>
      </c>
      <c r="C41" s="47"/>
      <c r="D41" s="328">
        <f>$H$2-2</f>
        <v>2011</v>
      </c>
      <c r="E41" s="47"/>
      <c r="F41" s="328">
        <f>$H$2-1</f>
        <v>2012</v>
      </c>
      <c r="G41" s="47"/>
      <c r="H41" s="47"/>
    </row>
    <row r="42" spans="1:8" ht="24.75" customHeight="1">
      <c r="A42" s="52" t="s">
        <v>471</v>
      </c>
      <c r="B42" s="239">
        <f>inputPrYr!$D$104</f>
        <v>5725000</v>
      </c>
      <c r="C42" s="172"/>
      <c r="D42" s="239">
        <f>inputPrYr!$E$104</f>
        <v>5200000</v>
      </c>
      <c r="E42" s="172"/>
      <c r="F42" s="239">
        <f>debt!$G$20</f>
        <v>4865000</v>
      </c>
      <c r="G42" s="47"/>
      <c r="H42" s="47"/>
    </row>
    <row r="43" spans="1:8" ht="24.75" customHeight="1">
      <c r="A43" s="52" t="s">
        <v>472</v>
      </c>
      <c r="B43" s="486">
        <f>inputPrYr!$D$105</f>
        <v>6760000</v>
      </c>
      <c r="C43" s="172"/>
      <c r="D43" s="486">
        <f>inputPrYr!$E$105</f>
        <v>6290000</v>
      </c>
      <c r="E43" s="172"/>
      <c r="F43" s="239">
        <f>debt!$G$32</f>
        <v>5795000</v>
      </c>
      <c r="G43" s="47"/>
      <c r="H43" s="47"/>
    </row>
    <row r="44" spans="1:8" ht="24.75" customHeight="1">
      <c r="A44" s="47" t="s">
        <v>490</v>
      </c>
      <c r="B44" s="486">
        <f>inputPrYr!$D$106</f>
        <v>6618901</v>
      </c>
      <c r="C44" s="172"/>
      <c r="D44" s="486">
        <f>inputPrYr!$E$106</f>
        <v>6500773</v>
      </c>
      <c r="E44" s="172"/>
      <c r="F44" s="239">
        <f>debt!$G$42</f>
        <v>6379362</v>
      </c>
      <c r="G44" s="47"/>
      <c r="H44" s="47"/>
    </row>
    <row r="45" spans="1:8" ht="24.75" customHeight="1">
      <c r="A45" s="52" t="s">
        <v>572</v>
      </c>
      <c r="B45" s="486">
        <f>inputPrYr!$D$107</f>
        <v>299849</v>
      </c>
      <c r="C45" s="172"/>
      <c r="D45" s="486">
        <f>inputPrYr!$E$107</f>
        <v>345346</v>
      </c>
      <c r="E45" s="172"/>
      <c r="F45" s="239">
        <f>lpform!$G$28</f>
        <v>291499</v>
      </c>
      <c r="G45" s="47"/>
      <c r="H45" s="47"/>
    </row>
    <row r="46" spans="1:8" ht="24.75" customHeight="1" thickBot="1">
      <c r="A46" s="52" t="s">
        <v>473</v>
      </c>
      <c r="B46" s="559">
        <f>SUM(B42:B45)</f>
        <v>19403750</v>
      </c>
      <c r="C46" s="172"/>
      <c r="D46" s="559">
        <f>SUM(D42:D45)</f>
        <v>18336119</v>
      </c>
      <c r="E46" s="172"/>
      <c r="F46" s="559">
        <f>SUM(F42:F45)</f>
        <v>17330861</v>
      </c>
      <c r="G46" s="47"/>
      <c r="H46" s="47"/>
    </row>
    <row r="47" spans="1:8" ht="18.75" customHeight="1" thickTop="1">
      <c r="A47" s="52" t="s">
        <v>474</v>
      </c>
      <c r="B47" s="47"/>
      <c r="C47" s="47"/>
      <c r="D47" s="47"/>
      <c r="E47" s="47"/>
      <c r="F47" s="47"/>
      <c r="G47" s="47"/>
      <c r="H47" s="47"/>
    </row>
    <row r="48" spans="1:8" ht="30.75" customHeight="1">
      <c r="A48" s="47"/>
      <c r="B48" s="47"/>
      <c r="C48" s="47"/>
      <c r="D48" s="47"/>
      <c r="E48" s="47"/>
      <c r="F48" s="47"/>
      <c r="G48" s="47"/>
      <c r="H48" s="47"/>
    </row>
    <row r="49" spans="1:8" ht="15.75">
      <c r="A49" s="844" t="str">
        <f>inputBudSum!B3</f>
        <v>Jay Wieland</v>
      </c>
      <c r="B49" s="844"/>
      <c r="C49" s="76"/>
      <c r="D49" s="47"/>
      <c r="E49" s="47"/>
      <c r="F49" s="47"/>
      <c r="G49" s="47"/>
      <c r="H49" s="47"/>
    </row>
    <row r="50" spans="1:8" ht="15.75">
      <c r="A50" s="169" t="s">
        <v>612</v>
      </c>
      <c r="B50" s="615" t="str">
        <f>inputBudSum!B5</f>
        <v>City Manager</v>
      </c>
      <c r="C50" s="47"/>
      <c r="D50" s="47"/>
      <c r="E50" s="47"/>
      <c r="F50" s="47"/>
      <c r="G50" s="47"/>
      <c r="H50" s="47"/>
    </row>
    <row r="51" spans="1:8" ht="15.75">
      <c r="A51" s="47"/>
      <c r="B51" s="47"/>
      <c r="C51" s="47"/>
      <c r="D51" s="47"/>
      <c r="E51" s="47"/>
      <c r="F51" s="47"/>
      <c r="G51" s="47"/>
      <c r="H51" s="47"/>
    </row>
    <row r="52" spans="1:8" ht="15.75">
      <c r="A52" s="47"/>
      <c r="B52" s="47"/>
      <c r="C52" s="136" t="s">
        <v>449</v>
      </c>
      <c r="D52" s="280">
        <v>19</v>
      </c>
      <c r="E52" s="47"/>
      <c r="F52" s="47"/>
      <c r="G52" s="47"/>
      <c r="H52" s="47"/>
    </row>
  </sheetData>
  <sheetProtection/>
  <mergeCells count="11">
    <mergeCell ref="A5:H5"/>
    <mergeCell ref="J7:M7"/>
    <mergeCell ref="A49:B49"/>
    <mergeCell ref="J24:M24"/>
    <mergeCell ref="J18:M18"/>
    <mergeCell ref="J11:M11"/>
    <mergeCell ref="A1:H1"/>
    <mergeCell ref="A4:H4"/>
    <mergeCell ref="A6:H6"/>
    <mergeCell ref="A7:H7"/>
    <mergeCell ref="A3:H3"/>
  </mergeCells>
  <printOptions/>
  <pageMargins left="0.62" right="0.25" top="0.84" bottom="0.5" header="0.5" footer="0.5"/>
  <pageSetup blackAndWhite="1" fitToHeight="1" fitToWidth="1" horizontalDpi="120" verticalDpi="120" orientation="portrait" scale="62"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4">
      <selection activeCell="C10" sqref="C10"/>
    </sheetView>
  </sheetViews>
  <sheetFormatPr defaultColWidth="8.796875" defaultRowHeight="15"/>
  <cols>
    <col min="1" max="1" width="10.09765625" style="106" customWidth="1"/>
    <col min="2" max="2" width="22.0976562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Paola</v>
      </c>
      <c r="B1" s="47"/>
      <c r="C1" s="47"/>
      <c r="D1" s="47"/>
      <c r="E1" s="47"/>
      <c r="F1" s="47">
        <f>inputPrYr!C5</f>
        <v>2013</v>
      </c>
    </row>
    <row r="2" spans="1:6" ht="15.75">
      <c r="A2" s="47"/>
      <c r="B2" s="47"/>
      <c r="C2" s="47"/>
      <c r="D2" s="47"/>
      <c r="E2" s="47"/>
      <c r="F2" s="47"/>
    </row>
    <row r="3" spans="1:6" ht="15.75">
      <c r="A3" s="47"/>
      <c r="B3" s="805" t="str">
        <f>CONCATENATE("",F1," Neighborhood Revitalization Rebate")</f>
        <v>2013 Neighborhood Revitalization Rebate</v>
      </c>
      <c r="C3" s="851"/>
      <c r="D3" s="851"/>
      <c r="E3" s="851"/>
      <c r="F3" s="47"/>
    </row>
    <row r="4" spans="1:6" ht="15.75">
      <c r="A4" s="47"/>
      <c r="B4" s="47"/>
      <c r="C4" s="47"/>
      <c r="D4" s="47"/>
      <c r="E4" s="47"/>
      <c r="F4" s="47"/>
    </row>
    <row r="5" spans="1:6" ht="51.75" customHeight="1">
      <c r="A5" s="47"/>
      <c r="B5" s="330" t="str">
        <f>CONCATENATE("Budgeted Funds         for ",F1,"")</f>
        <v>Budgeted Funds         for 2013</v>
      </c>
      <c r="C5" s="330" t="str">
        <f>CONCATENATE("",F1-1," Ad Valorem before Rebate**")</f>
        <v>2012 Ad Valorem before Rebate**</v>
      </c>
      <c r="D5" s="331" t="str">
        <f>CONCATENATE("",F1-1," Mil Rate before Rebate")</f>
        <v>2012 Mil Rate before Rebate</v>
      </c>
      <c r="E5" s="332" t="str">
        <f>CONCATENATE("Estimate ",F1," NR Rebate")</f>
        <v>Estimate 2013 NR Rebate</v>
      </c>
      <c r="F5" s="98"/>
    </row>
    <row r="6" spans="1:6" ht="15.75">
      <c r="A6" s="47"/>
      <c r="B6" s="64" t="str">
        <f>inputPrYr!B17</f>
        <v>General - Fund 01</v>
      </c>
      <c r="C6" s="333">
        <v>0</v>
      </c>
      <c r="D6" s="334">
        <f>IF(C6&gt;0,C6/$D$24,"")</f>
      </c>
      <c r="E6" s="239">
        <f aca="true" t="shared" si="0" ref="E6:E17">IF(C6&gt;0,ROUND(D6*$D$28,0),"")</f>
      </c>
      <c r="F6" s="98"/>
    </row>
    <row r="7" spans="1:6" ht="15.75">
      <c r="A7" s="47"/>
      <c r="B7" s="64" t="str">
        <f>inputPrYr!B18</f>
        <v>Bond &amp; Interest - Fund 06</v>
      </c>
      <c r="C7" s="333">
        <v>0</v>
      </c>
      <c r="D7" s="334">
        <f aca="true" t="shared" si="1" ref="D7:D17">IF(C7&gt;0,C7/$D$24,"")</f>
      </c>
      <c r="E7" s="239">
        <f t="shared" si="0"/>
      </c>
      <c r="F7" s="98"/>
    </row>
    <row r="8" spans="1:6" ht="15.75">
      <c r="A8" s="47"/>
      <c r="B8" s="87" t="str">
        <f>inputPrYr!B19</f>
        <v>Library - Fund 02</v>
      </c>
      <c r="C8" s="333">
        <v>0</v>
      </c>
      <c r="D8" s="334">
        <f t="shared" si="1"/>
      </c>
      <c r="E8" s="239">
        <f t="shared" si="0"/>
      </c>
      <c r="F8" s="98"/>
    </row>
    <row r="9" spans="1:6" ht="15.75">
      <c r="A9" s="47"/>
      <c r="B9" s="87" t="str">
        <f>inputPrYr!B21</f>
        <v>Employee Benefits - Fund 05</v>
      </c>
      <c r="C9" s="333">
        <v>0</v>
      </c>
      <c r="D9" s="334">
        <f t="shared" si="1"/>
      </c>
      <c r="E9" s="239">
        <f t="shared" si="0"/>
      </c>
      <c r="F9" s="98"/>
    </row>
    <row r="10" spans="1:6" ht="15.75">
      <c r="A10" s="47"/>
      <c r="B10" s="87">
        <f>inputPrYr!B22</f>
        <v>0</v>
      </c>
      <c r="C10" s="333"/>
      <c r="D10" s="334">
        <f t="shared" si="1"/>
      </c>
      <c r="E10" s="239">
        <f t="shared" si="0"/>
      </c>
      <c r="F10" s="98"/>
    </row>
    <row r="11" spans="1:6" ht="15.75">
      <c r="A11" s="47"/>
      <c r="B11" s="87">
        <f>inputPrYr!B23</f>
        <v>0</v>
      </c>
      <c r="C11" s="333"/>
      <c r="D11" s="334">
        <f t="shared" si="1"/>
      </c>
      <c r="E11" s="239">
        <f t="shared" si="0"/>
      </c>
      <c r="F11" s="98"/>
    </row>
    <row r="12" spans="1:6" ht="15.75">
      <c r="A12" s="47"/>
      <c r="B12" s="87">
        <f>inputPrYr!B24</f>
        <v>0</v>
      </c>
      <c r="C12" s="335"/>
      <c r="D12" s="334">
        <f t="shared" si="1"/>
      </c>
      <c r="E12" s="239">
        <f t="shared" si="0"/>
      </c>
      <c r="F12" s="98"/>
    </row>
    <row r="13" spans="1:6" ht="15.75">
      <c r="A13" s="47"/>
      <c r="B13" s="87">
        <f>inputPrYr!B25</f>
        <v>0</v>
      </c>
      <c r="C13" s="335"/>
      <c r="D13" s="334">
        <f t="shared" si="1"/>
      </c>
      <c r="E13" s="239">
        <f t="shared" si="0"/>
      </c>
      <c r="F13" s="98"/>
    </row>
    <row r="14" spans="1:6" ht="15.75">
      <c r="A14" s="47"/>
      <c r="B14" s="87">
        <f>inputPrYr!B26</f>
        <v>0</v>
      </c>
      <c r="C14" s="335"/>
      <c r="D14" s="334">
        <f t="shared" si="1"/>
      </c>
      <c r="E14" s="239">
        <f t="shared" si="0"/>
      </c>
      <c r="F14" s="98"/>
    </row>
    <row r="15" spans="1:6" ht="15.75">
      <c r="A15" s="47"/>
      <c r="B15" s="87">
        <f>inputPrYr!B27</f>
        <v>0</v>
      </c>
      <c r="C15" s="335"/>
      <c r="D15" s="334">
        <f t="shared" si="1"/>
      </c>
      <c r="E15" s="239">
        <f t="shared" si="0"/>
      </c>
      <c r="F15" s="98"/>
    </row>
    <row r="16" spans="1:6" ht="15.75">
      <c r="A16" s="47"/>
      <c r="B16" s="87">
        <f>inputPrYr!B28</f>
        <v>0</v>
      </c>
      <c r="C16" s="335"/>
      <c r="D16" s="334">
        <f t="shared" si="1"/>
      </c>
      <c r="E16" s="239">
        <f t="shared" si="0"/>
      </c>
      <c r="F16" s="98"/>
    </row>
    <row r="17" spans="1:6" ht="15.75">
      <c r="A17" s="47"/>
      <c r="B17" s="87">
        <f>inputPrYr!B29</f>
        <v>0</v>
      </c>
      <c r="C17" s="335"/>
      <c r="D17" s="334">
        <f t="shared" si="1"/>
      </c>
      <c r="E17" s="239">
        <f t="shared" si="0"/>
      </c>
      <c r="F17" s="98"/>
    </row>
    <row r="18" spans="1:6" ht="15.75">
      <c r="A18" s="47"/>
      <c r="B18" s="87">
        <f>inputPrYr!B30</f>
        <v>0</v>
      </c>
      <c r="C18" s="335"/>
      <c r="D18" s="334">
        <f>IF(C18&gt;0,C18/$D$24,"")</f>
      </c>
      <c r="E18" s="239">
        <f>IF(C18&gt;0,ROUND(D18*$D$28,0),"")</f>
      </c>
      <c r="F18" s="98"/>
    </row>
    <row r="19" spans="1:6" ht="16.5" thickBot="1">
      <c r="A19" s="47"/>
      <c r="B19" s="65" t="s">
        <v>430</v>
      </c>
      <c r="C19" s="336">
        <f>SUM(C6:C18)</f>
        <v>0</v>
      </c>
      <c r="D19" s="337">
        <f>SUM(D6:D17)</f>
        <v>0</v>
      </c>
      <c r="E19" s="336">
        <f>SUM(E6:E17)</f>
        <v>0</v>
      </c>
      <c r="F19" s="98"/>
    </row>
    <row r="20" spans="1:6" ht="16.5" thickTop="1">
      <c r="A20" s="47"/>
      <c r="B20" s="47"/>
      <c r="C20" s="47"/>
      <c r="D20" s="47"/>
      <c r="E20" s="47"/>
      <c r="F20" s="98"/>
    </row>
    <row r="21" spans="1:6" ht="15.75">
      <c r="A21" s="47"/>
      <c r="B21" s="47"/>
      <c r="C21" s="47"/>
      <c r="D21" s="47"/>
      <c r="E21" s="47"/>
      <c r="F21" s="98"/>
    </row>
    <row r="22" spans="1:6" ht="15.75">
      <c r="A22" s="852" t="str">
        <f>CONCATENATE("",F1-1," July 1 Valuation:")</f>
        <v>2012 July 1 Valuation:</v>
      </c>
      <c r="B22" s="826"/>
      <c r="C22" s="852"/>
      <c r="D22" s="329">
        <f>inputOth!E7</f>
        <v>45634271</v>
      </c>
      <c r="E22" s="47"/>
      <c r="F22" s="98"/>
    </row>
    <row r="23" spans="1:6" ht="15.75">
      <c r="A23" s="47"/>
      <c r="B23" s="47"/>
      <c r="C23" s="47"/>
      <c r="D23" s="47"/>
      <c r="E23" s="47"/>
      <c r="F23" s="98"/>
    </row>
    <row r="24" spans="1:6" ht="15.75">
      <c r="A24" s="47"/>
      <c r="B24" s="852" t="s">
        <v>703</v>
      </c>
      <c r="C24" s="852"/>
      <c r="D24" s="338">
        <f>IF(D22&gt;0,(D22*0.001),"")</f>
        <v>45634.271</v>
      </c>
      <c r="E24" s="47"/>
      <c r="F24" s="98"/>
    </row>
    <row r="25" spans="1:6" ht="15.75">
      <c r="A25" s="47"/>
      <c r="B25" s="136"/>
      <c r="C25" s="136"/>
      <c r="D25" s="339"/>
      <c r="E25" s="47"/>
      <c r="F25" s="98"/>
    </row>
    <row r="26" spans="1:6" ht="15.75">
      <c r="A26" s="850" t="s">
        <v>704</v>
      </c>
      <c r="B26" s="853"/>
      <c r="C26" s="853"/>
      <c r="D26" s="340">
        <f>inputOth!E17</f>
        <v>0</v>
      </c>
      <c r="E26" s="68"/>
      <c r="F26" s="68"/>
    </row>
    <row r="27" spans="1:6" ht="15">
      <c r="A27" s="68"/>
      <c r="B27" s="68"/>
      <c r="C27" s="68"/>
      <c r="D27" s="341"/>
      <c r="E27" s="68"/>
      <c r="F27" s="68"/>
    </row>
    <row r="28" spans="1:6" ht="15.75">
      <c r="A28" s="68"/>
      <c r="B28" s="850" t="s">
        <v>705</v>
      </c>
      <c r="C28" s="826"/>
      <c r="D28" s="342">
        <f>IF(D26&gt;0,(D26*0.001),"")</f>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69"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69" t="s">
        <v>155</v>
      </c>
      <c r="B33" s="68"/>
      <c r="C33" s="68"/>
      <c r="D33" s="68"/>
      <c r="E33" s="68"/>
      <c r="F33" s="68"/>
    </row>
    <row r="34" spans="1:6" ht="15.75">
      <c r="A34" s="369"/>
      <c r="B34" s="68"/>
      <c r="C34" s="68"/>
      <c r="D34" s="68"/>
      <c r="E34" s="68"/>
      <c r="F34" s="68"/>
    </row>
    <row r="35" spans="1:6" ht="15.75">
      <c r="A35" s="369"/>
      <c r="B35" s="68"/>
      <c r="C35" s="68"/>
      <c r="D35" s="68"/>
      <c r="E35" s="68"/>
      <c r="F35" s="68"/>
    </row>
    <row r="36" spans="1:6" ht="15.75">
      <c r="A36" s="369"/>
      <c r="B36" s="68"/>
      <c r="C36" s="68"/>
      <c r="D36" s="68"/>
      <c r="E36" s="68"/>
      <c r="F36" s="68"/>
    </row>
    <row r="37" spans="1:6" ht="15.75">
      <c r="A37" s="369"/>
      <c r="B37" s="68"/>
      <c r="C37" s="68"/>
      <c r="D37" s="68"/>
      <c r="E37" s="68"/>
      <c r="F37" s="68"/>
    </row>
    <row r="38" spans="1:6" ht="15">
      <c r="A38" s="68"/>
      <c r="B38" s="68"/>
      <c r="C38" s="68"/>
      <c r="D38" s="68"/>
      <c r="E38" s="68"/>
      <c r="F38" s="68"/>
    </row>
    <row r="39" spans="1:6" ht="15.75">
      <c r="A39" s="68"/>
      <c r="B39" s="187" t="s">
        <v>457</v>
      </c>
      <c r="C39" s="280">
        <v>20</v>
      </c>
      <c r="D39" s="68"/>
      <c r="E39" s="68"/>
      <c r="F39" s="68"/>
    </row>
    <row r="40" spans="1:6" ht="15.75">
      <c r="A40" s="98"/>
      <c r="B40" s="47"/>
      <c r="C40" s="47"/>
      <c r="D40" s="343"/>
      <c r="E40" s="98"/>
      <c r="F40" s="98"/>
    </row>
  </sheetData>
  <sheetProtection/>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0"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22">
      <selection activeCell="B8" sqref="B8"/>
    </sheetView>
  </sheetViews>
  <sheetFormatPr defaultColWidth="8.796875" defaultRowHeight="15"/>
  <cols>
    <col min="1" max="1" width="13.796875" style="0" customWidth="1"/>
    <col min="2" max="2" width="16.09765625" style="0" customWidth="1"/>
  </cols>
  <sheetData>
    <row r="1" ht="15">
      <c r="J1" s="605" t="s">
        <v>273</v>
      </c>
    </row>
    <row r="2" spans="1:10" ht="54" customHeight="1">
      <c r="A2" s="788" t="s">
        <v>61</v>
      </c>
      <c r="B2" s="789"/>
      <c r="C2" s="789"/>
      <c r="D2" s="789"/>
      <c r="E2" s="789"/>
      <c r="F2" s="789"/>
      <c r="J2" s="605" t="s">
        <v>274</v>
      </c>
    </row>
    <row r="3" spans="1:10" ht="15.75">
      <c r="A3" s="1" t="s">
        <v>275</v>
      </c>
      <c r="B3" s="606" t="s">
        <v>897</v>
      </c>
      <c r="C3" s="606"/>
      <c r="J3" s="605" t="s">
        <v>276</v>
      </c>
    </row>
    <row r="4" spans="1:10" ht="15.75">
      <c r="A4" s="1"/>
      <c r="B4" s="607"/>
      <c r="J4" s="605" t="s">
        <v>277</v>
      </c>
    </row>
    <row r="5" spans="1:10" ht="15.75">
      <c r="A5" s="1" t="s">
        <v>1138</v>
      </c>
      <c r="B5" s="606" t="s">
        <v>898</v>
      </c>
      <c r="J5" s="605" t="s">
        <v>278</v>
      </c>
    </row>
    <row r="6" spans="1:10" ht="15.75">
      <c r="A6" s="348"/>
      <c r="B6" s="348"/>
      <c r="C6" s="348"/>
      <c r="D6" s="349" t="s">
        <v>279</v>
      </c>
      <c r="E6" s="348"/>
      <c r="F6" s="348"/>
      <c r="J6" s="605" t="s">
        <v>280</v>
      </c>
    </row>
    <row r="7" spans="1:10" ht="15.75">
      <c r="A7" s="349" t="s">
        <v>62</v>
      </c>
      <c r="B7" s="606" t="s">
        <v>1130</v>
      </c>
      <c r="C7" s="350"/>
      <c r="D7" s="349" t="str">
        <f>IF(B7="","",CONCATENATE("Latest date for notice to be published in your newspaper: ",G18," ",G22,", ",G23))</f>
        <v>Latest date for notice to be published in your newspaper: August 4, 2012</v>
      </c>
      <c r="E7" s="348"/>
      <c r="F7" s="348"/>
      <c r="J7" s="605" t="s">
        <v>281</v>
      </c>
    </row>
    <row r="8" spans="1:10" ht="15.75">
      <c r="A8" s="349"/>
      <c r="B8" s="351"/>
      <c r="C8" s="352"/>
      <c r="D8" s="349"/>
      <c r="E8" s="348"/>
      <c r="F8" s="348"/>
      <c r="J8" s="605" t="s">
        <v>282</v>
      </c>
    </row>
    <row r="9" spans="1:10" ht="15.75">
      <c r="A9" s="349" t="s">
        <v>63</v>
      </c>
      <c r="B9" s="606" t="s">
        <v>900</v>
      </c>
      <c r="C9" s="353"/>
      <c r="D9" s="349"/>
      <c r="E9" s="348"/>
      <c r="F9" s="348"/>
      <c r="J9" s="605" t="s">
        <v>283</v>
      </c>
    </row>
    <row r="10" spans="1:10" ht="15.75">
      <c r="A10" s="349"/>
      <c r="B10" s="349"/>
      <c r="C10" s="349"/>
      <c r="D10" s="349"/>
      <c r="E10" s="348"/>
      <c r="F10" s="348"/>
      <c r="J10" s="605" t="s">
        <v>284</v>
      </c>
    </row>
    <row r="11" spans="1:10" ht="15.75">
      <c r="A11" s="349" t="s">
        <v>64</v>
      </c>
      <c r="B11" s="608" t="s">
        <v>899</v>
      </c>
      <c r="C11" s="608"/>
      <c r="D11" s="608"/>
      <c r="E11" s="609"/>
      <c r="F11" s="348"/>
      <c r="J11" s="605" t="s">
        <v>285</v>
      </c>
    </row>
    <row r="12" spans="1:10" ht="15.75">
      <c r="A12" s="349"/>
      <c r="B12" s="349"/>
      <c r="C12" s="349"/>
      <c r="D12" s="349"/>
      <c r="E12" s="348"/>
      <c r="F12" s="348"/>
      <c r="J12" s="605" t="s">
        <v>286</v>
      </c>
    </row>
    <row r="13" spans="1:6" ht="15.75">
      <c r="A13" s="349"/>
      <c r="B13" s="349"/>
      <c r="C13" s="349"/>
      <c r="D13" s="349"/>
      <c r="E13" s="348"/>
      <c r="F13" s="348"/>
    </row>
    <row r="14" spans="1:6" ht="15.75">
      <c r="A14" s="349" t="s">
        <v>65</v>
      </c>
      <c r="B14" s="608" t="s">
        <v>896</v>
      </c>
      <c r="C14" s="608"/>
      <c r="D14" s="608"/>
      <c r="E14" s="609"/>
      <c r="F14" s="348"/>
    </row>
    <row r="17" spans="1:6" ht="15.75">
      <c r="A17" s="790" t="s">
        <v>66</v>
      </c>
      <c r="B17" s="790"/>
      <c r="C17" s="349"/>
      <c r="D17" s="349"/>
      <c r="E17" s="349"/>
      <c r="F17" s="348"/>
    </row>
    <row r="18" spans="1:7" ht="15.75">
      <c r="A18" s="349"/>
      <c r="B18" s="349"/>
      <c r="C18" s="349"/>
      <c r="D18" s="349"/>
      <c r="E18" s="349"/>
      <c r="F18" s="348"/>
      <c r="G18" s="605" t="str">
        <f ca="1">IF(B7="","",INDIRECT(G19))</f>
        <v>August</v>
      </c>
    </row>
    <row r="19" spans="1:7" ht="15.75">
      <c r="A19" s="349" t="s">
        <v>1138</v>
      </c>
      <c r="B19" s="349" t="s">
        <v>1139</v>
      </c>
      <c r="C19" s="349"/>
      <c r="D19" s="349"/>
      <c r="E19" s="349"/>
      <c r="F19" s="348"/>
      <c r="G19" s="610" t="str">
        <f>IF(B7="","",CONCATENATE("J",G21))</f>
        <v>J8</v>
      </c>
    </row>
    <row r="20" spans="1:7" ht="15.75">
      <c r="A20" s="349"/>
      <c r="B20" s="349"/>
      <c r="C20" s="349"/>
      <c r="D20" s="349"/>
      <c r="E20" s="349"/>
      <c r="F20" s="348"/>
      <c r="G20" s="611">
        <f>B7-10</f>
        <v>41125</v>
      </c>
    </row>
    <row r="21" spans="1:7" ht="15.75">
      <c r="A21" s="349" t="s">
        <v>62</v>
      </c>
      <c r="B21" s="351" t="s">
        <v>67</v>
      </c>
      <c r="C21" s="349"/>
      <c r="D21" s="349"/>
      <c r="E21" s="349"/>
      <c r="G21" s="612">
        <f>IF(B7="","",MONTH(G20))</f>
        <v>8</v>
      </c>
    </row>
    <row r="22" spans="1:7" ht="15.75">
      <c r="A22" s="349"/>
      <c r="B22" s="349"/>
      <c r="C22" s="349"/>
      <c r="D22" s="349"/>
      <c r="E22" s="349"/>
      <c r="G22" s="613">
        <f>IF(B7="","",DAY(G20))</f>
        <v>4</v>
      </c>
    </row>
    <row r="23" spans="1:7" ht="15.75">
      <c r="A23" s="349" t="s">
        <v>63</v>
      </c>
      <c r="B23" s="349" t="s">
        <v>68</v>
      </c>
      <c r="C23" s="349"/>
      <c r="D23" s="349"/>
      <c r="E23" s="349"/>
      <c r="G23" s="614">
        <f>IF(B7="","",YEAR(G20))</f>
        <v>2012</v>
      </c>
    </row>
    <row r="24" spans="1:5" ht="15.75">
      <c r="A24" s="349"/>
      <c r="B24" s="349"/>
      <c r="C24" s="349"/>
      <c r="D24" s="349"/>
      <c r="E24" s="349"/>
    </row>
    <row r="25" spans="1:5" ht="15.75">
      <c r="A25" s="349" t="s">
        <v>64</v>
      </c>
      <c r="B25" s="349" t="s">
        <v>69</v>
      </c>
      <c r="C25" s="349"/>
      <c r="D25" s="349"/>
      <c r="E25" s="349"/>
    </row>
    <row r="26" spans="1:5" ht="15.75">
      <c r="A26" s="349"/>
      <c r="B26" s="349"/>
      <c r="C26" s="349"/>
      <c r="D26" s="349"/>
      <c r="E26" s="349"/>
    </row>
    <row r="27" spans="1:5" ht="15.75">
      <c r="A27" s="349" t="s">
        <v>65</v>
      </c>
      <c r="B27" s="349" t="s">
        <v>69</v>
      </c>
      <c r="C27" s="349"/>
      <c r="D27" s="349"/>
      <c r="E27" s="34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854" t="s">
        <v>574</v>
      </c>
      <c r="B1" s="854"/>
      <c r="C1" s="854"/>
      <c r="D1" s="854"/>
      <c r="E1" s="854"/>
      <c r="F1" s="854"/>
      <c r="G1" s="854"/>
    </row>
    <row r="2" spans="1:7" ht="16.5" customHeight="1">
      <c r="A2" s="854"/>
      <c r="B2" s="854"/>
      <c r="C2" s="854"/>
      <c r="D2" s="854"/>
      <c r="E2" s="854"/>
      <c r="F2" s="854"/>
      <c r="G2" s="854"/>
    </row>
    <row r="3" spans="1:7" ht="16.5" customHeight="1">
      <c r="A3" s="855"/>
      <c r="B3" s="855"/>
      <c r="C3" s="855"/>
      <c r="D3" s="855"/>
      <c r="E3" s="855"/>
      <c r="F3" s="855"/>
      <c r="G3" s="855"/>
    </row>
    <row r="4" spans="1:7" ht="16.5" customHeight="1">
      <c r="A4" s="856" t="str">
        <f>CONCATENATE("AN ORDINANCE ATTESTING TO AN INCREASE IN TAX REVENUES FOR BUDGET YEAR ",inputPrYr!C5," FOR THE ",(inputPrYr!$D$2))</f>
        <v>AN ORDINANCE ATTESTING TO AN INCREASE IN TAX REVENUES FOR BUDGET YEAR 2013 FOR THE City of Paola</v>
      </c>
      <c r="B4" s="856"/>
      <c r="C4" s="856"/>
      <c r="D4" s="856"/>
      <c r="E4" s="856"/>
      <c r="F4" s="856"/>
      <c r="G4" s="856"/>
    </row>
    <row r="5" spans="1:7" ht="16.5" customHeight="1">
      <c r="A5" s="856"/>
      <c r="B5" s="856"/>
      <c r="C5" s="856"/>
      <c r="D5" s="856"/>
      <c r="E5" s="856"/>
      <c r="F5" s="856"/>
      <c r="G5" s="856"/>
    </row>
    <row r="6" spans="1:7" ht="16.5" customHeight="1">
      <c r="A6" s="854"/>
      <c r="B6" s="854"/>
      <c r="C6" s="854"/>
      <c r="D6" s="854"/>
      <c r="E6" s="854"/>
      <c r="F6" s="854"/>
      <c r="G6" s="854"/>
    </row>
    <row r="7" spans="1:14" ht="16.5" customHeight="1">
      <c r="A7" s="856" t="str">
        <f>CONCATENATE("WHEREAS, the ",(inputPrYr!$D$2)," must continue to provide services to protect the health, safety, and welfare of the citizens of this community; and")</f>
        <v>WHEREAS, the City of Paola must continue to provide services to protect the health, safety, and welfare of the citizens of this community; and</v>
      </c>
      <c r="B7" s="856"/>
      <c r="C7" s="856"/>
      <c r="D7" s="856"/>
      <c r="E7" s="856"/>
      <c r="F7" s="856"/>
      <c r="G7" s="856"/>
      <c r="H7" s="24"/>
      <c r="I7" s="24"/>
      <c r="J7" s="24"/>
      <c r="K7" s="24"/>
      <c r="L7" s="24"/>
      <c r="M7" s="24"/>
      <c r="N7" s="24"/>
    </row>
    <row r="8" spans="1:14" ht="16.5" customHeight="1">
      <c r="A8" s="856"/>
      <c r="B8" s="856"/>
      <c r="C8" s="856"/>
      <c r="D8" s="856"/>
      <c r="E8" s="856"/>
      <c r="F8" s="856"/>
      <c r="G8" s="856"/>
      <c r="H8" s="24"/>
      <c r="I8" s="24"/>
      <c r="J8" s="24"/>
      <c r="K8" s="24"/>
      <c r="L8" s="24"/>
      <c r="M8" s="24"/>
      <c r="N8" s="24"/>
    </row>
    <row r="9" spans="1:7" ht="16.5" customHeight="1">
      <c r="A9" s="25"/>
      <c r="B9" s="25"/>
      <c r="C9" s="25"/>
      <c r="D9" s="25"/>
      <c r="E9" s="25"/>
      <c r="F9" s="25"/>
      <c r="G9" s="25"/>
    </row>
    <row r="10" spans="1:7" ht="16.5" customHeight="1">
      <c r="A10" s="856" t="s">
        <v>575</v>
      </c>
      <c r="B10" s="856"/>
      <c r="C10" s="856"/>
      <c r="D10" s="856"/>
      <c r="E10" s="856"/>
      <c r="F10" s="856"/>
      <c r="G10" s="856"/>
    </row>
    <row r="11" spans="1:7" ht="16.5" customHeight="1">
      <c r="A11" s="856"/>
      <c r="B11" s="856"/>
      <c r="C11" s="856"/>
      <c r="D11" s="856"/>
      <c r="E11" s="856"/>
      <c r="F11" s="856"/>
      <c r="G11" s="856"/>
    </row>
    <row r="12" spans="1:7" ht="16.5" customHeight="1">
      <c r="A12" s="25"/>
      <c r="B12" s="25"/>
      <c r="C12" s="25"/>
      <c r="D12" s="25"/>
      <c r="E12" s="25"/>
      <c r="F12" s="25"/>
      <c r="G12" s="25"/>
    </row>
    <row r="13" spans="1:14" ht="16.5" customHeight="1">
      <c r="A13" s="856" t="str">
        <f>CONCATENATE("NOW THEREFORE, be it ordained by the Governing Body of the ",(inputPrYr!$D$2),":")</f>
        <v>NOW THEREFORE, be it ordained by the Governing Body of the City of Paola:</v>
      </c>
      <c r="B13" s="856"/>
      <c r="C13" s="856"/>
      <c r="D13" s="856"/>
      <c r="E13" s="856"/>
      <c r="F13" s="856"/>
      <c r="G13" s="856"/>
      <c r="H13" s="24"/>
      <c r="I13" s="24"/>
      <c r="J13" s="24"/>
      <c r="K13" s="24"/>
      <c r="L13" s="24"/>
      <c r="M13" s="24"/>
      <c r="N13" s="24"/>
    </row>
    <row r="14" spans="1:14" ht="16.5" customHeight="1">
      <c r="A14" s="856"/>
      <c r="B14" s="856"/>
      <c r="C14" s="856"/>
      <c r="D14" s="856"/>
      <c r="E14" s="856"/>
      <c r="F14" s="856"/>
      <c r="G14" s="856"/>
      <c r="H14" s="24"/>
      <c r="I14" s="24"/>
      <c r="J14" s="24"/>
      <c r="K14" s="24"/>
      <c r="L14" s="24"/>
      <c r="M14" s="24"/>
      <c r="N14" s="24"/>
    </row>
    <row r="15" spans="1:14" ht="16.5" customHeight="1">
      <c r="A15" s="85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Paola  has scheduled a public hearing and has prepared the proposed budget necessary to fund city services from January 1, 2013 until December 31, 2013.</v>
      </c>
      <c r="B15" s="856"/>
      <c r="C15" s="856"/>
      <c r="D15" s="856"/>
      <c r="E15" s="856"/>
      <c r="F15" s="856"/>
      <c r="G15" s="856"/>
      <c r="H15" s="24"/>
      <c r="I15" s="24"/>
      <c r="J15" s="24"/>
      <c r="K15" s="24"/>
      <c r="L15" s="24"/>
      <c r="M15" s="24"/>
      <c r="N15" s="24"/>
    </row>
    <row r="16" spans="1:14" ht="16.5" customHeight="1">
      <c r="A16" s="856"/>
      <c r="B16" s="856"/>
      <c r="C16" s="856"/>
      <c r="D16" s="856"/>
      <c r="E16" s="856"/>
      <c r="F16" s="856"/>
      <c r="G16" s="856"/>
      <c r="H16" s="24"/>
      <c r="I16" s="24"/>
      <c r="J16" s="24"/>
      <c r="K16" s="24"/>
      <c r="L16" s="24"/>
      <c r="M16" s="24"/>
      <c r="N16" s="24"/>
    </row>
    <row r="17" spans="1:14" ht="16.5" customHeight="1">
      <c r="A17" s="856"/>
      <c r="B17" s="856"/>
      <c r="C17" s="856"/>
      <c r="D17" s="856"/>
      <c r="E17" s="856"/>
      <c r="F17" s="856"/>
      <c r="G17" s="856"/>
      <c r="H17" s="24"/>
      <c r="I17" s="24"/>
      <c r="J17" s="24"/>
      <c r="K17" s="24"/>
      <c r="L17" s="24"/>
      <c r="M17" s="24"/>
      <c r="N17" s="24"/>
    </row>
    <row r="18" spans="1:7" ht="16.5" customHeight="1">
      <c r="A18" s="24"/>
      <c r="B18" s="24"/>
      <c r="C18" s="24"/>
      <c r="D18" s="24"/>
      <c r="E18" s="24"/>
      <c r="F18" s="24"/>
      <c r="G18" s="24"/>
    </row>
    <row r="19" spans="1:7" ht="16.5" customHeight="1">
      <c r="A19" s="858" t="s">
        <v>638</v>
      </c>
      <c r="B19" s="858"/>
      <c r="C19" s="858"/>
      <c r="D19" s="858"/>
      <c r="E19" s="858"/>
      <c r="F19" s="858"/>
      <c r="G19" s="858"/>
    </row>
    <row r="20" spans="1:7" ht="16.5" customHeight="1">
      <c r="A20" s="858" t="s">
        <v>639</v>
      </c>
      <c r="B20" s="858"/>
      <c r="C20" s="858"/>
      <c r="D20" s="858"/>
      <c r="E20" s="858"/>
      <c r="F20" s="858"/>
      <c r="G20" s="858"/>
    </row>
    <row r="21" spans="1:7" ht="16.5" customHeight="1">
      <c r="A21" s="858" t="str">
        <f>CONCATENATE("necessary to budget property tax revenues in an amount exceeding the levy in the ",inputPrYr!C5-1,"")</f>
        <v>necessary to budget property tax revenues in an amount exceeding the levy in the 2012</v>
      </c>
      <c r="B21" s="858"/>
      <c r="C21" s="858"/>
      <c r="D21" s="858"/>
      <c r="E21" s="858"/>
      <c r="F21" s="858"/>
      <c r="G21" s="858"/>
    </row>
    <row r="22" spans="1:7" ht="16.5" customHeight="1">
      <c r="A22" s="26" t="s">
        <v>640</v>
      </c>
      <c r="B22" s="26"/>
      <c r="C22" s="26"/>
      <c r="D22" s="26"/>
      <c r="E22" s="26"/>
      <c r="F22" s="26"/>
      <c r="G22" s="26"/>
    </row>
    <row r="23" spans="1:7" ht="16.5" customHeight="1">
      <c r="A23" s="24"/>
      <c r="B23" s="24"/>
      <c r="C23" s="24"/>
      <c r="D23" s="24"/>
      <c r="E23" s="24"/>
      <c r="F23" s="24"/>
      <c r="G23" s="24"/>
    </row>
    <row r="24" spans="1:7" ht="16.5" customHeight="1">
      <c r="A24" s="856" t="s">
        <v>576</v>
      </c>
      <c r="B24" s="856"/>
      <c r="C24" s="856"/>
      <c r="D24" s="856"/>
      <c r="E24" s="856"/>
      <c r="F24" s="856"/>
      <c r="G24" s="856"/>
    </row>
    <row r="25" spans="1:7" ht="16.5" customHeight="1">
      <c r="A25" s="856"/>
      <c r="B25" s="856"/>
      <c r="C25" s="856"/>
      <c r="D25" s="856"/>
      <c r="E25" s="856"/>
      <c r="F25" s="856"/>
      <c r="G25" s="856"/>
    </row>
    <row r="26" spans="1:7" ht="16.5" customHeight="1">
      <c r="A26" s="24"/>
      <c r="B26" s="24"/>
      <c r="C26" s="24"/>
      <c r="D26" s="24"/>
      <c r="E26" s="24"/>
      <c r="F26" s="24"/>
      <c r="G26" s="24"/>
    </row>
    <row r="27" spans="1:7" ht="16.5" customHeight="1">
      <c r="A27" s="856" t="str">
        <f>CONCATENATE("Passed and approved by the Governing Body on this ______ day of __________, ",inputPrYr!C5-1,".")</f>
        <v>Passed and approved by the Governing Body on this ______ day of __________, 2012.</v>
      </c>
      <c r="B27" s="856"/>
      <c r="C27" s="856"/>
      <c r="D27" s="856"/>
      <c r="E27" s="856"/>
      <c r="F27" s="856"/>
      <c r="G27" s="856"/>
    </row>
    <row r="28" spans="1:7" ht="16.5" customHeight="1">
      <c r="A28" s="856"/>
      <c r="B28" s="856"/>
      <c r="C28" s="856"/>
      <c r="D28" s="856"/>
      <c r="E28" s="856"/>
      <c r="F28" s="856"/>
      <c r="G28" s="856"/>
    </row>
    <row r="29" ht="16.5" customHeight="1"/>
    <row r="30" spans="1:7" ht="16.5" customHeight="1">
      <c r="A30" s="857" t="s">
        <v>577</v>
      </c>
      <c r="B30" s="857"/>
      <c r="C30" s="857"/>
      <c r="D30" s="857"/>
      <c r="E30" s="857"/>
      <c r="F30" s="857"/>
      <c r="G30" s="857"/>
    </row>
    <row r="31" spans="1:7" ht="16.5" customHeight="1">
      <c r="A31" s="857" t="s">
        <v>582</v>
      </c>
      <c r="B31" s="857"/>
      <c r="C31" s="857"/>
      <c r="D31" s="857"/>
      <c r="E31" s="857"/>
      <c r="F31" s="857"/>
      <c r="G31" s="857"/>
    </row>
    <row r="32" ht="16.5" customHeight="1">
      <c r="A32" s="1" t="s">
        <v>578</v>
      </c>
    </row>
    <row r="33" ht="16.5" customHeight="1">
      <c r="B33" s="1" t="s">
        <v>579</v>
      </c>
    </row>
    <row r="34" ht="16.5" customHeight="1"/>
    <row r="35" ht="16.5" customHeight="1"/>
    <row r="36" ht="16.5" customHeight="1">
      <c r="A36" s="1" t="s">
        <v>580</v>
      </c>
    </row>
    <row r="37" ht="16.5" customHeight="1"/>
    <row r="38" ht="16.5" customHeight="1"/>
    <row r="39" ht="16.5" customHeight="1"/>
    <row r="40" ht="16.5" customHeight="1">
      <c r="A40" s="1" t="s">
        <v>581</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6" t="s">
        <v>74</v>
      </c>
      <c r="B3" s="356"/>
      <c r="C3" s="356"/>
      <c r="D3" s="356"/>
      <c r="E3" s="356"/>
      <c r="F3" s="356"/>
      <c r="G3" s="356"/>
      <c r="H3" s="356"/>
      <c r="I3" s="356"/>
      <c r="J3" s="356"/>
      <c r="K3" s="356"/>
      <c r="L3" s="356"/>
    </row>
    <row r="5" ht="15">
      <c r="A5" s="357" t="s">
        <v>75</v>
      </c>
    </row>
    <row r="6" ht="15">
      <c r="A6" s="357" t="str">
        <f>CONCATENATE(inputPrYr!C5-2," 'total expenditures' exceed your ",inputPrYr!C5-2," 'budget authority.'")</f>
        <v>2011 'total expenditures' exceed your 2011 'budget authority.'</v>
      </c>
    </row>
    <row r="7" ht="15">
      <c r="A7" s="357"/>
    </row>
    <row r="8" ht="15">
      <c r="A8" s="357" t="s">
        <v>76</v>
      </c>
    </row>
    <row r="9" ht="15">
      <c r="A9" s="357" t="s">
        <v>77</v>
      </c>
    </row>
    <row r="10" ht="15">
      <c r="A10" s="357" t="s">
        <v>78</v>
      </c>
    </row>
    <row r="11" ht="15">
      <c r="A11" s="357"/>
    </row>
    <row r="12" ht="15">
      <c r="A12" s="357"/>
    </row>
    <row r="13" ht="15">
      <c r="A13" s="358" t="s">
        <v>79</v>
      </c>
    </row>
    <row r="15" ht="15">
      <c r="A15" s="357" t="s">
        <v>80</v>
      </c>
    </row>
    <row r="16" ht="15">
      <c r="A16" s="357" t="str">
        <f>CONCATENATE("(i.e. an audit has not been completed, or the ",inputPrYr!C5," adopted")</f>
        <v>(i.e. an audit has not been completed, or the 2013 adopted</v>
      </c>
    </row>
    <row r="17" ht="15">
      <c r="A17" s="357" t="s">
        <v>81</v>
      </c>
    </row>
    <row r="18" ht="15">
      <c r="A18" s="357" t="s">
        <v>82</v>
      </c>
    </row>
    <row r="19" ht="15">
      <c r="A19" s="357" t="s">
        <v>83</v>
      </c>
    </row>
    <row r="21" ht="15">
      <c r="A21" s="358" t="s">
        <v>84</v>
      </c>
    </row>
    <row r="22" ht="15">
      <c r="A22" s="358"/>
    </row>
    <row r="23" ht="15">
      <c r="A23" s="357" t="s">
        <v>85</v>
      </c>
    </row>
    <row r="24" ht="15">
      <c r="A24" s="357" t="s">
        <v>86</v>
      </c>
    </row>
    <row r="25" ht="15">
      <c r="A25" s="357" t="str">
        <f>CONCATENATE("particular fund.  If your ",inputPrYr!C5-2," budget was amended, did you")</f>
        <v>particular fund.  If your 2011 budget was amended, did you</v>
      </c>
    </row>
    <row r="26" ht="15">
      <c r="A26" s="357" t="s">
        <v>87</v>
      </c>
    </row>
    <row r="27" ht="15">
      <c r="A27" s="357"/>
    </row>
    <row r="28" ht="15">
      <c r="A28" s="357" t="str">
        <f>CONCATENATE("Next, look to see if any of your ",inputPrYr!C5-2," expenditures can be")</f>
        <v>Next, look to see if any of your 2011 expenditures can be</v>
      </c>
    </row>
    <row r="29" ht="15">
      <c r="A29" s="357" t="s">
        <v>88</v>
      </c>
    </row>
    <row r="30" ht="15">
      <c r="A30" s="357" t="s">
        <v>89</v>
      </c>
    </row>
    <row r="31" ht="15">
      <c r="A31" s="357" t="s">
        <v>90</v>
      </c>
    </row>
    <row r="32" ht="15">
      <c r="A32" s="357"/>
    </row>
    <row r="33" ht="15">
      <c r="A33" s="357" t="str">
        <f>CONCATENATE("Additionally, do your ",inputPrYr!C5-2," receipts contain a reimbursement")</f>
        <v>Additionally, do your 2011 receipts contain a reimbursement</v>
      </c>
    </row>
    <row r="34" ht="15">
      <c r="A34" s="357" t="s">
        <v>91</v>
      </c>
    </row>
    <row r="35" ht="15">
      <c r="A35" s="357" t="s">
        <v>92</v>
      </c>
    </row>
    <row r="36" ht="15">
      <c r="A36" s="357"/>
    </row>
    <row r="37" ht="15">
      <c r="A37" s="357" t="s">
        <v>93</v>
      </c>
    </row>
    <row r="38" ht="15">
      <c r="A38" s="357" t="s">
        <v>94</v>
      </c>
    </row>
    <row r="39" ht="15">
      <c r="A39" s="357" t="s">
        <v>95</v>
      </c>
    </row>
    <row r="40" ht="15">
      <c r="A40" s="357" t="s">
        <v>96</v>
      </c>
    </row>
    <row r="41" ht="15">
      <c r="A41" s="357" t="s">
        <v>97</v>
      </c>
    </row>
    <row r="42" ht="15">
      <c r="A42" s="357" t="s">
        <v>98</v>
      </c>
    </row>
    <row r="43" ht="15">
      <c r="A43" s="357" t="s">
        <v>99</v>
      </c>
    </row>
    <row r="44" ht="15">
      <c r="A44" s="357" t="s">
        <v>100</v>
      </c>
    </row>
    <row r="45" ht="15">
      <c r="A45" s="357"/>
    </row>
    <row r="46" ht="15">
      <c r="A46" s="357" t="s">
        <v>101</v>
      </c>
    </row>
    <row r="47" ht="15">
      <c r="A47" s="357" t="s">
        <v>102</v>
      </c>
    </row>
    <row r="48" ht="15">
      <c r="A48" s="357" t="s">
        <v>103</v>
      </c>
    </row>
    <row r="49" ht="15">
      <c r="A49" s="357"/>
    </row>
    <row r="50" ht="15">
      <c r="A50" s="357" t="s">
        <v>104</v>
      </c>
    </row>
    <row r="51" ht="15">
      <c r="A51" s="357" t="s">
        <v>105</v>
      </c>
    </row>
    <row r="52" ht="15">
      <c r="A52" s="357" t="s">
        <v>106</v>
      </c>
    </row>
    <row r="53" ht="15">
      <c r="A53" s="357"/>
    </row>
    <row r="54" ht="15">
      <c r="A54" s="358" t="s">
        <v>107</v>
      </c>
    </row>
    <row r="55" ht="15">
      <c r="A55" s="357"/>
    </row>
    <row r="56" ht="15">
      <c r="A56" s="357" t="s">
        <v>757</v>
      </c>
    </row>
    <row r="57" ht="15">
      <c r="A57" s="357" t="s">
        <v>758</v>
      </c>
    </row>
    <row r="58" ht="15">
      <c r="A58" s="357" t="s">
        <v>759</v>
      </c>
    </row>
    <row r="59" ht="15">
      <c r="A59" s="357" t="s">
        <v>760</v>
      </c>
    </row>
    <row r="60" ht="15">
      <c r="A60" s="357" t="s">
        <v>761</v>
      </c>
    </row>
    <row r="61" ht="15">
      <c r="A61" s="357" t="s">
        <v>762</v>
      </c>
    </row>
    <row r="62" ht="15">
      <c r="A62" s="357" t="s">
        <v>763</v>
      </c>
    </row>
    <row r="63" ht="15">
      <c r="A63" s="357" t="s">
        <v>764</v>
      </c>
    </row>
    <row r="64" ht="15">
      <c r="A64" s="357" t="s">
        <v>765</v>
      </c>
    </row>
    <row r="65" ht="15">
      <c r="A65" s="357" t="s">
        <v>766</v>
      </c>
    </row>
    <row r="66" ht="15">
      <c r="A66" s="357" t="s">
        <v>767</v>
      </c>
    </row>
    <row r="67" ht="15">
      <c r="A67" s="357" t="s">
        <v>768</v>
      </c>
    </row>
    <row r="68" ht="15">
      <c r="A68" s="357" t="s">
        <v>769</v>
      </c>
    </row>
    <row r="69" ht="15">
      <c r="A69" s="357"/>
    </row>
    <row r="70" ht="15">
      <c r="A70" s="357" t="s">
        <v>770</v>
      </c>
    </row>
    <row r="71" ht="15">
      <c r="A71" s="357" t="s">
        <v>771</v>
      </c>
    </row>
    <row r="72" ht="15">
      <c r="A72" s="357" t="s">
        <v>772</v>
      </c>
    </row>
    <row r="73" ht="15">
      <c r="A73" s="357"/>
    </row>
    <row r="74" ht="15">
      <c r="A74" s="358" t="str">
        <f>CONCATENATE("What if the ",inputPrYr!C5-2," financial records have been closed?")</f>
        <v>What if the 2011 financial records have been closed?</v>
      </c>
    </row>
    <row r="76" ht="15">
      <c r="A76" s="357" t="s">
        <v>773</v>
      </c>
    </row>
    <row r="77" ht="15">
      <c r="A77" s="357" t="str">
        <f>CONCATENATE("(i.e. an audit for ",inputPrYr!C5-2," has been completed, or the ",inputPrYr!C5)</f>
        <v>(i.e. an audit for 2011 has been completed, or the 2013</v>
      </c>
    </row>
    <row r="78" ht="15">
      <c r="A78" s="357" t="s">
        <v>774</v>
      </c>
    </row>
    <row r="79" ht="15">
      <c r="A79" s="357" t="s">
        <v>775</v>
      </c>
    </row>
    <row r="80" ht="15">
      <c r="A80" s="357"/>
    </row>
    <row r="81" ht="15">
      <c r="A81" s="357" t="s">
        <v>776</v>
      </c>
    </row>
    <row r="82" ht="15">
      <c r="A82" s="357" t="s">
        <v>777</v>
      </c>
    </row>
    <row r="83" ht="15">
      <c r="A83" s="357" t="s">
        <v>778</v>
      </c>
    </row>
    <row r="84" ht="15">
      <c r="A84" s="357"/>
    </row>
    <row r="85" ht="15">
      <c r="A85" s="357" t="s">
        <v>779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56" t="s">
        <v>780</v>
      </c>
      <c r="B3" s="356"/>
      <c r="C3" s="356"/>
      <c r="D3" s="356"/>
      <c r="E3" s="356"/>
      <c r="F3" s="356"/>
      <c r="G3" s="356"/>
      <c r="H3" s="359"/>
      <c r="I3" s="359"/>
      <c r="J3" s="359"/>
    </row>
    <row r="5" ht="15">
      <c r="A5" s="357" t="s">
        <v>781</v>
      </c>
    </row>
    <row r="6" ht="15">
      <c r="A6" t="str">
        <f>CONCATENATE(inputPrYr!C5-2," expenditures show that you finished the year with a ")</f>
        <v>2011 expenditures show that you finished the year with a </v>
      </c>
    </row>
    <row r="7" ht="15">
      <c r="A7" t="s">
        <v>782</v>
      </c>
    </row>
    <row r="9" ht="15">
      <c r="A9" t="s">
        <v>783</v>
      </c>
    </row>
    <row r="10" ht="15">
      <c r="A10" t="s">
        <v>784</v>
      </c>
    </row>
    <row r="11" ht="15">
      <c r="A11" t="s">
        <v>785</v>
      </c>
    </row>
    <row r="13" ht="15">
      <c r="A13" s="358" t="s">
        <v>786</v>
      </c>
    </row>
    <row r="14" ht="15">
      <c r="A14" s="358"/>
    </row>
    <row r="15" ht="15">
      <c r="A15" s="357" t="s">
        <v>787</v>
      </c>
    </row>
    <row r="16" ht="15">
      <c r="A16" s="357" t="s">
        <v>788</v>
      </c>
    </row>
    <row r="17" ht="15">
      <c r="A17" s="357" t="s">
        <v>789</v>
      </c>
    </row>
    <row r="18" ht="15">
      <c r="A18" s="357"/>
    </row>
    <row r="19" ht="15">
      <c r="A19" s="358" t="s">
        <v>790</v>
      </c>
    </row>
    <row r="20" ht="15">
      <c r="A20" s="358"/>
    </row>
    <row r="21" ht="15">
      <c r="A21" s="357" t="s">
        <v>791</v>
      </c>
    </row>
    <row r="22" ht="15">
      <c r="A22" s="357" t="s">
        <v>792</v>
      </c>
    </row>
    <row r="23" ht="15">
      <c r="A23" s="357" t="s">
        <v>793</v>
      </c>
    </row>
    <row r="24" ht="15">
      <c r="A24" s="357"/>
    </row>
    <row r="25" ht="15">
      <c r="A25" s="358" t="s">
        <v>794</v>
      </c>
    </row>
    <row r="26" ht="15">
      <c r="A26" s="358"/>
    </row>
    <row r="27" ht="15">
      <c r="A27" s="357" t="s">
        <v>795</v>
      </c>
    </row>
    <row r="28" ht="15">
      <c r="A28" s="357" t="s">
        <v>796</v>
      </c>
    </row>
    <row r="29" ht="15">
      <c r="A29" s="357" t="s">
        <v>797</v>
      </c>
    </row>
    <row r="30" ht="15">
      <c r="A30" s="357"/>
    </row>
    <row r="31" ht="15">
      <c r="A31" s="358" t="s">
        <v>798</v>
      </c>
    </row>
    <row r="32" ht="15">
      <c r="A32" s="358"/>
    </row>
    <row r="33" spans="1:8" ht="15">
      <c r="A33" s="357" t="str">
        <f>CONCATENATE("If your financial records for ",inputPrYr!C5-2," are not closed")</f>
        <v>If your financial records for 2011 are not closed</v>
      </c>
      <c r="B33" s="357"/>
      <c r="C33" s="357"/>
      <c r="D33" s="357"/>
      <c r="E33" s="357"/>
      <c r="F33" s="357"/>
      <c r="G33" s="357"/>
      <c r="H33" s="357"/>
    </row>
    <row r="34" spans="1:8" ht="15">
      <c r="A34" s="357" t="str">
        <f>CONCATENATE("(i.e. an audit has not been completed, or the ",inputPrYr!C5," adopted ")</f>
        <v>(i.e. an audit has not been completed, or the 2013 adopted </v>
      </c>
      <c r="B34" s="357"/>
      <c r="C34" s="357"/>
      <c r="D34" s="357"/>
      <c r="E34" s="357"/>
      <c r="F34" s="357"/>
      <c r="G34" s="357"/>
      <c r="H34" s="357"/>
    </row>
    <row r="35" spans="1:8" ht="15">
      <c r="A35" s="357" t="s">
        <v>799</v>
      </c>
      <c r="B35" s="357"/>
      <c r="C35" s="357"/>
      <c r="D35" s="357"/>
      <c r="E35" s="357"/>
      <c r="F35" s="357"/>
      <c r="G35" s="357"/>
      <c r="H35" s="357"/>
    </row>
    <row r="36" spans="1:8" ht="15">
      <c r="A36" s="357" t="s">
        <v>800</v>
      </c>
      <c r="B36" s="357"/>
      <c r="C36" s="357"/>
      <c r="D36" s="357"/>
      <c r="E36" s="357"/>
      <c r="F36" s="357"/>
      <c r="G36" s="357"/>
      <c r="H36" s="357"/>
    </row>
    <row r="37" spans="1:8" ht="15">
      <c r="A37" s="357" t="s">
        <v>801</v>
      </c>
      <c r="B37" s="357"/>
      <c r="C37" s="357"/>
      <c r="D37" s="357"/>
      <c r="E37" s="357"/>
      <c r="F37" s="357"/>
      <c r="G37" s="357"/>
      <c r="H37" s="357"/>
    </row>
    <row r="38" spans="1:8" ht="15">
      <c r="A38" s="357" t="s">
        <v>802</v>
      </c>
      <c r="B38" s="357"/>
      <c r="C38" s="357"/>
      <c r="D38" s="357"/>
      <c r="E38" s="357"/>
      <c r="F38" s="357"/>
      <c r="G38" s="357"/>
      <c r="H38" s="357"/>
    </row>
    <row r="39" spans="1:8" ht="15">
      <c r="A39" s="357" t="s">
        <v>803</v>
      </c>
      <c r="B39" s="357"/>
      <c r="C39" s="357"/>
      <c r="D39" s="357"/>
      <c r="E39" s="357"/>
      <c r="F39" s="357"/>
      <c r="G39" s="357"/>
      <c r="H39" s="357"/>
    </row>
    <row r="40" spans="1:8" ht="15">
      <c r="A40" s="357"/>
      <c r="B40" s="357"/>
      <c r="C40" s="357"/>
      <c r="D40" s="357"/>
      <c r="E40" s="357"/>
      <c r="F40" s="357"/>
      <c r="G40" s="357"/>
      <c r="H40" s="357"/>
    </row>
    <row r="41" spans="1:8" ht="15">
      <c r="A41" s="357" t="s">
        <v>804</v>
      </c>
      <c r="B41" s="357"/>
      <c r="C41" s="357"/>
      <c r="D41" s="357"/>
      <c r="E41" s="357"/>
      <c r="F41" s="357"/>
      <c r="G41" s="357"/>
      <c r="H41" s="357"/>
    </row>
    <row r="42" spans="1:8" ht="15">
      <c r="A42" s="357" t="s">
        <v>805</v>
      </c>
      <c r="B42" s="357"/>
      <c r="C42" s="357"/>
      <c r="D42" s="357"/>
      <c r="E42" s="357"/>
      <c r="F42" s="357"/>
      <c r="G42" s="357"/>
      <c r="H42" s="357"/>
    </row>
    <row r="43" spans="1:8" ht="15">
      <c r="A43" s="357" t="s">
        <v>806</v>
      </c>
      <c r="B43" s="357"/>
      <c r="C43" s="357"/>
      <c r="D43" s="357"/>
      <c r="E43" s="357"/>
      <c r="F43" s="357"/>
      <c r="G43" s="357"/>
      <c r="H43" s="357"/>
    </row>
    <row r="44" spans="1:8" ht="15">
      <c r="A44" s="357" t="s">
        <v>807</v>
      </c>
      <c r="B44" s="357"/>
      <c r="C44" s="357"/>
      <c r="D44" s="357"/>
      <c r="E44" s="357"/>
      <c r="F44" s="357"/>
      <c r="G44" s="357"/>
      <c r="H44" s="357"/>
    </row>
    <row r="45" spans="1:8" ht="15">
      <c r="A45" s="357"/>
      <c r="B45" s="357"/>
      <c r="C45" s="357"/>
      <c r="D45" s="357"/>
      <c r="E45" s="357"/>
      <c r="F45" s="357"/>
      <c r="G45" s="357"/>
      <c r="H45" s="357"/>
    </row>
    <row r="46" spans="1:8" ht="15">
      <c r="A46" s="357" t="s">
        <v>808</v>
      </c>
      <c r="B46" s="357"/>
      <c r="C46" s="357"/>
      <c r="D46" s="357"/>
      <c r="E46" s="357"/>
      <c r="F46" s="357"/>
      <c r="G46" s="357"/>
      <c r="H46" s="357"/>
    </row>
    <row r="47" spans="1:8" ht="15">
      <c r="A47" s="357" t="s">
        <v>809</v>
      </c>
      <c r="B47" s="357"/>
      <c r="C47" s="357"/>
      <c r="D47" s="357"/>
      <c r="E47" s="357"/>
      <c r="F47" s="357"/>
      <c r="G47" s="357"/>
      <c r="H47" s="357"/>
    </row>
    <row r="48" spans="1:8" ht="15">
      <c r="A48" s="357" t="s">
        <v>810</v>
      </c>
      <c r="B48" s="357"/>
      <c r="C48" s="357"/>
      <c r="D48" s="357"/>
      <c r="E48" s="357"/>
      <c r="F48" s="357"/>
      <c r="G48" s="357"/>
      <c r="H48" s="357"/>
    </row>
    <row r="49" spans="1:8" ht="15">
      <c r="A49" s="357" t="s">
        <v>811</v>
      </c>
      <c r="B49" s="357"/>
      <c r="C49" s="357"/>
      <c r="D49" s="357"/>
      <c r="E49" s="357"/>
      <c r="F49" s="357"/>
      <c r="G49" s="357"/>
      <c r="H49" s="357"/>
    </row>
    <row r="50" spans="1:8" ht="15">
      <c r="A50" s="357" t="s">
        <v>812</v>
      </c>
      <c r="B50" s="357"/>
      <c r="C50" s="357"/>
      <c r="D50" s="357"/>
      <c r="E50" s="357"/>
      <c r="F50" s="357"/>
      <c r="G50" s="357"/>
      <c r="H50" s="357"/>
    </row>
    <row r="51" spans="1:8" ht="15">
      <c r="A51" s="357"/>
      <c r="B51" s="357"/>
      <c r="C51" s="357"/>
      <c r="D51" s="357"/>
      <c r="E51" s="357"/>
      <c r="F51" s="357"/>
      <c r="G51" s="357"/>
      <c r="H51" s="357"/>
    </row>
    <row r="52" spans="1:8" ht="15">
      <c r="A52" s="358" t="s">
        <v>813</v>
      </c>
      <c r="B52" s="358"/>
      <c r="C52" s="358"/>
      <c r="D52" s="358"/>
      <c r="E52" s="358"/>
      <c r="F52" s="358"/>
      <c r="G52" s="358"/>
      <c r="H52" s="357"/>
    </row>
    <row r="53" spans="1:8" ht="15">
      <c r="A53" s="358" t="s">
        <v>814</v>
      </c>
      <c r="B53" s="358"/>
      <c r="C53" s="358"/>
      <c r="D53" s="358"/>
      <c r="E53" s="358"/>
      <c r="F53" s="358"/>
      <c r="G53" s="358"/>
      <c r="H53" s="357"/>
    </row>
    <row r="54" spans="1:8" ht="15">
      <c r="A54" s="357"/>
      <c r="B54" s="357"/>
      <c r="C54" s="357"/>
      <c r="D54" s="357"/>
      <c r="E54" s="357"/>
      <c r="F54" s="357"/>
      <c r="G54" s="357"/>
      <c r="H54" s="357"/>
    </row>
    <row r="55" spans="1:8" ht="15">
      <c r="A55" s="357" t="s">
        <v>815</v>
      </c>
      <c r="B55" s="357"/>
      <c r="C55" s="357"/>
      <c r="D55" s="357"/>
      <c r="E55" s="357"/>
      <c r="F55" s="357"/>
      <c r="G55" s="357"/>
      <c r="H55" s="357"/>
    </row>
    <row r="56" spans="1:8" ht="15">
      <c r="A56" s="357" t="s">
        <v>816</v>
      </c>
      <c r="B56" s="357"/>
      <c r="C56" s="357"/>
      <c r="D56" s="357"/>
      <c r="E56" s="357"/>
      <c r="F56" s="357"/>
      <c r="G56" s="357"/>
      <c r="H56" s="357"/>
    </row>
    <row r="57" spans="1:8" ht="15">
      <c r="A57" s="357" t="s">
        <v>817</v>
      </c>
      <c r="B57" s="357"/>
      <c r="C57" s="357"/>
      <c r="D57" s="357"/>
      <c r="E57" s="357"/>
      <c r="F57" s="357"/>
      <c r="G57" s="357"/>
      <c r="H57" s="357"/>
    </row>
    <row r="58" spans="1:8" ht="15">
      <c r="A58" s="357" t="s">
        <v>818</v>
      </c>
      <c r="B58" s="357"/>
      <c r="C58" s="357"/>
      <c r="D58" s="357"/>
      <c r="E58" s="357"/>
      <c r="F58" s="357"/>
      <c r="G58" s="357"/>
      <c r="H58" s="357"/>
    </row>
    <row r="59" spans="1:8" ht="15">
      <c r="A59" s="357"/>
      <c r="B59" s="357"/>
      <c r="C59" s="357"/>
      <c r="D59" s="357"/>
      <c r="E59" s="357"/>
      <c r="F59" s="357"/>
      <c r="G59" s="357"/>
      <c r="H59" s="357"/>
    </row>
    <row r="60" spans="1:8" ht="15">
      <c r="A60" s="357" t="s">
        <v>819</v>
      </c>
      <c r="B60" s="357"/>
      <c r="C60" s="357"/>
      <c r="D60" s="357"/>
      <c r="E60" s="357"/>
      <c r="F60" s="357"/>
      <c r="G60" s="357"/>
      <c r="H60" s="357"/>
    </row>
    <row r="61" spans="1:8" ht="15">
      <c r="A61" s="357" t="s">
        <v>820</v>
      </c>
      <c r="B61" s="357"/>
      <c r="C61" s="357"/>
      <c r="D61" s="357"/>
      <c r="E61" s="357"/>
      <c r="F61" s="357"/>
      <c r="G61" s="357"/>
      <c r="H61" s="357"/>
    </row>
    <row r="62" spans="1:8" ht="15">
      <c r="A62" s="357" t="s">
        <v>821</v>
      </c>
      <c r="B62" s="357"/>
      <c r="C62" s="357"/>
      <c r="D62" s="357"/>
      <c r="E62" s="357"/>
      <c r="F62" s="357"/>
      <c r="G62" s="357"/>
      <c r="H62" s="357"/>
    </row>
    <row r="63" spans="1:8" ht="15">
      <c r="A63" s="357" t="s">
        <v>822</v>
      </c>
      <c r="B63" s="357"/>
      <c r="C63" s="357"/>
      <c r="D63" s="357"/>
      <c r="E63" s="357"/>
      <c r="F63" s="357"/>
      <c r="G63" s="357"/>
      <c r="H63" s="357"/>
    </row>
    <row r="64" spans="1:8" ht="15">
      <c r="A64" s="357" t="s">
        <v>823</v>
      </c>
      <c r="B64" s="357"/>
      <c r="C64" s="357"/>
      <c r="D64" s="357"/>
      <c r="E64" s="357"/>
      <c r="F64" s="357"/>
      <c r="G64" s="357"/>
      <c r="H64" s="357"/>
    </row>
    <row r="65" spans="1:8" ht="15">
      <c r="A65" s="357" t="s">
        <v>824</v>
      </c>
      <c r="B65" s="357"/>
      <c r="C65" s="357"/>
      <c r="D65" s="357"/>
      <c r="E65" s="357"/>
      <c r="F65" s="357"/>
      <c r="G65" s="357"/>
      <c r="H65" s="357"/>
    </row>
    <row r="66" spans="1:8" ht="15">
      <c r="A66" s="357"/>
      <c r="B66" s="357"/>
      <c r="C66" s="357"/>
      <c r="D66" s="357"/>
      <c r="E66" s="357"/>
      <c r="F66" s="357"/>
      <c r="G66" s="357"/>
      <c r="H66" s="357"/>
    </row>
    <row r="67" spans="1:8" ht="15">
      <c r="A67" s="357" t="s">
        <v>825</v>
      </c>
      <c r="B67" s="357"/>
      <c r="C67" s="357"/>
      <c r="D67" s="357"/>
      <c r="E67" s="357"/>
      <c r="F67" s="357"/>
      <c r="G67" s="357"/>
      <c r="H67" s="357"/>
    </row>
    <row r="68" spans="1:8" ht="15">
      <c r="A68" s="357" t="s">
        <v>826</v>
      </c>
      <c r="B68" s="357"/>
      <c r="C68" s="357"/>
      <c r="D68" s="357"/>
      <c r="E68" s="357"/>
      <c r="F68" s="357"/>
      <c r="G68" s="357"/>
      <c r="H68" s="357"/>
    </row>
    <row r="69" spans="1:8" ht="15">
      <c r="A69" s="357" t="s">
        <v>827</v>
      </c>
      <c r="B69" s="357"/>
      <c r="C69" s="357"/>
      <c r="D69" s="357"/>
      <c r="E69" s="357"/>
      <c r="F69" s="357"/>
      <c r="G69" s="357"/>
      <c r="H69" s="357"/>
    </row>
    <row r="70" spans="1:8" ht="15">
      <c r="A70" s="357" t="s">
        <v>828</v>
      </c>
      <c r="B70" s="357"/>
      <c r="C70" s="357"/>
      <c r="D70" s="357"/>
      <c r="E70" s="357"/>
      <c r="F70" s="357"/>
      <c r="G70" s="357"/>
      <c r="H70" s="357"/>
    </row>
    <row r="71" spans="1:8" ht="15">
      <c r="A71" s="357" t="s">
        <v>829</v>
      </c>
      <c r="B71" s="357"/>
      <c r="C71" s="357"/>
      <c r="D71" s="357"/>
      <c r="E71" s="357"/>
      <c r="F71" s="357"/>
      <c r="G71" s="357"/>
      <c r="H71" s="357"/>
    </row>
    <row r="72" spans="1:8" ht="15">
      <c r="A72" s="357" t="s">
        <v>830</v>
      </c>
      <c r="B72" s="357"/>
      <c r="C72" s="357"/>
      <c r="D72" s="357"/>
      <c r="E72" s="357"/>
      <c r="F72" s="357"/>
      <c r="G72" s="357"/>
      <c r="H72" s="357"/>
    </row>
    <row r="73" spans="1:8" ht="15">
      <c r="A73" s="357" t="s">
        <v>831</v>
      </c>
      <c r="B73" s="357"/>
      <c r="C73" s="357"/>
      <c r="D73" s="357"/>
      <c r="E73" s="357"/>
      <c r="F73" s="357"/>
      <c r="G73" s="357"/>
      <c r="H73" s="357"/>
    </row>
    <row r="74" spans="1:8" ht="15">
      <c r="A74" s="357"/>
      <c r="B74" s="357"/>
      <c r="C74" s="357"/>
      <c r="D74" s="357"/>
      <c r="E74" s="357"/>
      <c r="F74" s="357"/>
      <c r="G74" s="357"/>
      <c r="H74" s="357"/>
    </row>
    <row r="75" spans="1:8" ht="15">
      <c r="A75" s="357" t="s">
        <v>832</v>
      </c>
      <c r="B75" s="357"/>
      <c r="C75" s="357"/>
      <c r="D75" s="357"/>
      <c r="E75" s="357"/>
      <c r="F75" s="357"/>
      <c r="G75" s="357"/>
      <c r="H75" s="357"/>
    </row>
    <row r="76" spans="1:8" ht="15">
      <c r="A76" s="357" t="s">
        <v>833</v>
      </c>
      <c r="B76" s="357"/>
      <c r="C76" s="357"/>
      <c r="D76" s="357"/>
      <c r="E76" s="357"/>
      <c r="F76" s="357"/>
      <c r="G76" s="357"/>
      <c r="H76" s="357"/>
    </row>
    <row r="77" spans="1:8" ht="15">
      <c r="A77" s="357" t="s">
        <v>834</v>
      </c>
      <c r="B77" s="357"/>
      <c r="C77" s="357"/>
      <c r="D77" s="357"/>
      <c r="E77" s="357"/>
      <c r="F77" s="357"/>
      <c r="G77" s="357"/>
      <c r="H77" s="357"/>
    </row>
    <row r="78" spans="1:8" ht="15">
      <c r="A78" s="357"/>
      <c r="B78" s="357"/>
      <c r="C78" s="357"/>
      <c r="D78" s="357"/>
      <c r="E78" s="357"/>
      <c r="F78" s="357"/>
      <c r="G78" s="357"/>
      <c r="H78" s="357"/>
    </row>
    <row r="79" ht="15">
      <c r="A79" s="357" t="s">
        <v>779</v>
      </c>
    </row>
    <row r="80" ht="15">
      <c r="A80" s="358"/>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1" ht="15">
      <c r="A91"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3" ht="15">
      <c r="A103" s="357"/>
    </row>
    <row r="104" ht="15">
      <c r="A104" s="357"/>
    </row>
    <row r="105" ht="15">
      <c r="A105" s="357"/>
    </row>
    <row r="107" ht="15">
      <c r="A107" s="358"/>
    </row>
    <row r="108" ht="15">
      <c r="A108" s="358"/>
    </row>
    <row r="109" ht="15">
      <c r="A109" s="35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6" t="s">
        <v>835</v>
      </c>
      <c r="B3" s="356"/>
      <c r="C3" s="356"/>
      <c r="D3" s="356"/>
      <c r="E3" s="356"/>
      <c r="F3" s="356"/>
      <c r="G3" s="356"/>
      <c r="H3" s="356"/>
      <c r="I3" s="356"/>
      <c r="J3" s="356"/>
      <c r="K3" s="356"/>
      <c r="L3" s="356"/>
    </row>
    <row r="4" spans="1:12" ht="15">
      <c r="A4" s="356"/>
      <c r="B4" s="356"/>
      <c r="C4" s="356"/>
      <c r="D4" s="356"/>
      <c r="E4" s="356"/>
      <c r="F4" s="356"/>
      <c r="G4" s="356"/>
      <c r="H4" s="356"/>
      <c r="I4" s="356"/>
      <c r="J4" s="356"/>
      <c r="K4" s="356"/>
      <c r="L4" s="356"/>
    </row>
    <row r="5" spans="1:12" ht="15">
      <c r="A5" s="357" t="s">
        <v>75</v>
      </c>
      <c r="I5" s="356"/>
      <c r="J5" s="356"/>
      <c r="K5" s="356"/>
      <c r="L5" s="356"/>
    </row>
    <row r="6" spans="1:12" ht="15">
      <c r="A6" s="357" t="str">
        <f>CONCATENATE("estimated ",inputPrYr!C5-1," 'total expenditures' exceed your ",inputPrYr!C5-1,"")</f>
        <v>estimated 2012 'total expenditures' exceed your 2012</v>
      </c>
      <c r="I6" s="356"/>
      <c r="J6" s="356"/>
      <c r="K6" s="356"/>
      <c r="L6" s="356"/>
    </row>
    <row r="7" spans="1:12" ht="15">
      <c r="A7" s="360" t="s">
        <v>836</v>
      </c>
      <c r="I7" s="356"/>
      <c r="J7" s="356"/>
      <c r="K7" s="356"/>
      <c r="L7" s="356"/>
    </row>
    <row r="8" spans="1:12" ht="15">
      <c r="A8" s="357"/>
      <c r="I8" s="356"/>
      <c r="J8" s="356"/>
      <c r="K8" s="356"/>
      <c r="L8" s="356"/>
    </row>
    <row r="9" spans="1:12" ht="15">
      <c r="A9" s="357" t="s">
        <v>837</v>
      </c>
      <c r="I9" s="356"/>
      <c r="J9" s="356"/>
      <c r="K9" s="356"/>
      <c r="L9" s="356"/>
    </row>
    <row r="10" spans="1:12" ht="15">
      <c r="A10" s="357" t="s">
        <v>838</v>
      </c>
      <c r="I10" s="356"/>
      <c r="J10" s="356"/>
      <c r="K10" s="356"/>
      <c r="L10" s="356"/>
    </row>
    <row r="11" spans="1:12" ht="15">
      <c r="A11" s="357" t="s">
        <v>839</v>
      </c>
      <c r="I11" s="356"/>
      <c r="J11" s="356"/>
      <c r="K11" s="356"/>
      <c r="L11" s="356"/>
    </row>
    <row r="12" spans="1:12" ht="15">
      <c r="A12" s="357" t="s">
        <v>840</v>
      </c>
      <c r="I12" s="356"/>
      <c r="J12" s="356"/>
      <c r="K12" s="356"/>
      <c r="L12" s="356"/>
    </row>
    <row r="13" spans="1:12" ht="15">
      <c r="A13" s="357" t="s">
        <v>841</v>
      </c>
      <c r="I13" s="356"/>
      <c r="J13" s="356"/>
      <c r="K13" s="356"/>
      <c r="L13" s="356"/>
    </row>
    <row r="14" spans="1:12" ht="15">
      <c r="A14" s="356"/>
      <c r="B14" s="356"/>
      <c r="C14" s="356"/>
      <c r="D14" s="356"/>
      <c r="E14" s="356"/>
      <c r="F14" s="356"/>
      <c r="G14" s="356"/>
      <c r="H14" s="356"/>
      <c r="I14" s="356"/>
      <c r="J14" s="356"/>
      <c r="K14" s="356"/>
      <c r="L14" s="356"/>
    </row>
    <row r="15" ht="15">
      <c r="A15" s="358" t="s">
        <v>842</v>
      </c>
    </row>
    <row r="16" ht="15">
      <c r="A16" s="358" t="s">
        <v>843</v>
      </c>
    </row>
    <row r="17" ht="15">
      <c r="A17" s="358"/>
    </row>
    <row r="18" spans="1:7" ht="15">
      <c r="A18" s="357" t="s">
        <v>844</v>
      </c>
      <c r="B18" s="357"/>
      <c r="C18" s="357"/>
      <c r="D18" s="357"/>
      <c r="E18" s="357"/>
      <c r="F18" s="357"/>
      <c r="G18" s="357"/>
    </row>
    <row r="19" spans="1:7" ht="15">
      <c r="A19" s="357" t="str">
        <f>CONCATENATE("your ",inputPrYr!C5-1," numbers to see what steps might be necessary to")</f>
        <v>your 2012 numbers to see what steps might be necessary to</v>
      </c>
      <c r="B19" s="357"/>
      <c r="C19" s="357"/>
      <c r="D19" s="357"/>
      <c r="E19" s="357"/>
      <c r="F19" s="357"/>
      <c r="G19" s="357"/>
    </row>
    <row r="20" spans="1:7" ht="15">
      <c r="A20" s="357" t="s">
        <v>845</v>
      </c>
      <c r="B20" s="357"/>
      <c r="C20" s="357"/>
      <c r="D20" s="357"/>
      <c r="E20" s="357"/>
      <c r="F20" s="357"/>
      <c r="G20" s="357"/>
    </row>
    <row r="21" spans="1:7" ht="15">
      <c r="A21" s="357" t="s">
        <v>846</v>
      </c>
      <c r="B21" s="357"/>
      <c r="C21" s="357"/>
      <c r="D21" s="357"/>
      <c r="E21" s="357"/>
      <c r="F21" s="357"/>
      <c r="G21" s="357"/>
    </row>
    <row r="22" ht="15">
      <c r="A22" s="357"/>
    </row>
    <row r="23" ht="15">
      <c r="A23" s="358" t="s">
        <v>847</v>
      </c>
    </row>
    <row r="24" ht="15">
      <c r="A24" s="358"/>
    </row>
    <row r="25" ht="15">
      <c r="A25" s="357" t="s">
        <v>848</v>
      </c>
    </row>
    <row r="26" spans="1:6" ht="15">
      <c r="A26" s="357" t="s">
        <v>849</v>
      </c>
      <c r="B26" s="357"/>
      <c r="C26" s="357"/>
      <c r="D26" s="357"/>
      <c r="E26" s="357"/>
      <c r="F26" s="357"/>
    </row>
    <row r="27" spans="1:6" ht="15">
      <c r="A27" s="357" t="s">
        <v>850</v>
      </c>
      <c r="B27" s="357"/>
      <c r="C27" s="357"/>
      <c r="D27" s="357"/>
      <c r="E27" s="357"/>
      <c r="F27" s="357"/>
    </row>
    <row r="28" spans="1:6" ht="15">
      <c r="A28" s="357" t="s">
        <v>851</v>
      </c>
      <c r="B28" s="357"/>
      <c r="C28" s="357"/>
      <c r="D28" s="357"/>
      <c r="E28" s="357"/>
      <c r="F28" s="357"/>
    </row>
    <row r="29" spans="1:6" ht="15">
      <c r="A29" s="357"/>
      <c r="B29" s="357"/>
      <c r="C29" s="357"/>
      <c r="D29" s="357"/>
      <c r="E29" s="357"/>
      <c r="F29" s="357"/>
    </row>
    <row r="30" spans="1:7" ht="15">
      <c r="A30" s="358" t="s">
        <v>852</v>
      </c>
      <c r="B30" s="358"/>
      <c r="C30" s="358"/>
      <c r="D30" s="358"/>
      <c r="E30" s="358"/>
      <c r="F30" s="358"/>
      <c r="G30" s="358"/>
    </row>
    <row r="31" spans="1:7" ht="15">
      <c r="A31" s="358" t="s">
        <v>853</v>
      </c>
      <c r="B31" s="358"/>
      <c r="C31" s="358"/>
      <c r="D31" s="358"/>
      <c r="E31" s="358"/>
      <c r="F31" s="358"/>
      <c r="G31" s="358"/>
    </row>
    <row r="32" spans="1:6" ht="15">
      <c r="A32" s="357"/>
      <c r="B32" s="357"/>
      <c r="C32" s="357"/>
      <c r="D32" s="357"/>
      <c r="E32" s="357"/>
      <c r="F32" s="357"/>
    </row>
    <row r="33" spans="1:6" ht="15">
      <c r="A33" s="355" t="str">
        <f>CONCATENATE("Well, let's look to see if any of your ",inputPrYr!C5-1," expenditures can")</f>
        <v>Well, let's look to see if any of your 2012 expenditures can</v>
      </c>
      <c r="B33" s="357"/>
      <c r="C33" s="357"/>
      <c r="D33" s="357"/>
      <c r="E33" s="357"/>
      <c r="F33" s="357"/>
    </row>
    <row r="34" spans="1:6" ht="15">
      <c r="A34" s="355" t="s">
        <v>854</v>
      </c>
      <c r="B34" s="357"/>
      <c r="C34" s="357"/>
      <c r="D34" s="357"/>
      <c r="E34" s="357"/>
      <c r="F34" s="357"/>
    </row>
    <row r="35" spans="1:6" ht="15">
      <c r="A35" s="355" t="s">
        <v>89</v>
      </c>
      <c r="B35" s="357"/>
      <c r="C35" s="357"/>
      <c r="D35" s="357"/>
      <c r="E35" s="357"/>
      <c r="F35" s="357"/>
    </row>
    <row r="36" spans="1:6" ht="15">
      <c r="A36" s="355" t="s">
        <v>90</v>
      </c>
      <c r="B36" s="357"/>
      <c r="C36" s="357"/>
      <c r="D36" s="357"/>
      <c r="E36" s="357"/>
      <c r="F36" s="357"/>
    </row>
    <row r="37" spans="1:6" ht="15">
      <c r="A37" s="355"/>
      <c r="B37" s="357"/>
      <c r="C37" s="357"/>
      <c r="D37" s="357"/>
      <c r="E37" s="357"/>
      <c r="F37" s="357"/>
    </row>
    <row r="38" spans="1:6" ht="15">
      <c r="A38" s="355" t="str">
        <f>CONCATENATE("Additionally, do your ",inputPrYr!C5-1," receipts contain a reimbursement")</f>
        <v>Additionally, do your 2012 receipts contain a reimbursement</v>
      </c>
      <c r="B38" s="357"/>
      <c r="C38" s="357"/>
      <c r="D38" s="357"/>
      <c r="E38" s="357"/>
      <c r="F38" s="357"/>
    </row>
    <row r="39" spans="1:6" ht="15">
      <c r="A39" s="355" t="s">
        <v>91</v>
      </c>
      <c r="B39" s="357"/>
      <c r="C39" s="357"/>
      <c r="D39" s="357"/>
      <c r="E39" s="357"/>
      <c r="F39" s="357"/>
    </row>
    <row r="40" spans="1:6" ht="15">
      <c r="A40" s="355" t="s">
        <v>92</v>
      </c>
      <c r="B40" s="357"/>
      <c r="C40" s="357"/>
      <c r="D40" s="357"/>
      <c r="E40" s="357"/>
      <c r="F40" s="357"/>
    </row>
    <row r="41" spans="1:6" ht="15">
      <c r="A41" s="355"/>
      <c r="B41" s="357"/>
      <c r="C41" s="357"/>
      <c r="D41" s="357"/>
      <c r="E41" s="357"/>
      <c r="F41" s="357"/>
    </row>
    <row r="42" spans="1:6" ht="15">
      <c r="A42" s="355" t="s">
        <v>93</v>
      </c>
      <c r="B42" s="357"/>
      <c r="C42" s="357"/>
      <c r="D42" s="357"/>
      <c r="E42" s="357"/>
      <c r="F42" s="357"/>
    </row>
    <row r="43" spans="1:6" ht="15">
      <c r="A43" s="355" t="s">
        <v>94</v>
      </c>
      <c r="B43" s="357"/>
      <c r="C43" s="357"/>
      <c r="D43" s="357"/>
      <c r="E43" s="357"/>
      <c r="F43" s="357"/>
    </row>
    <row r="44" spans="1:6" ht="15">
      <c r="A44" s="355" t="s">
        <v>95</v>
      </c>
      <c r="B44" s="357"/>
      <c r="C44" s="357"/>
      <c r="D44" s="357"/>
      <c r="E44" s="357"/>
      <c r="F44" s="357"/>
    </row>
    <row r="45" spans="1:6" ht="15">
      <c r="A45" s="355" t="s">
        <v>855</v>
      </c>
      <c r="B45" s="357"/>
      <c r="C45" s="357"/>
      <c r="D45" s="357"/>
      <c r="E45" s="357"/>
      <c r="F45" s="357"/>
    </row>
    <row r="46" spans="1:6" ht="15">
      <c r="A46" s="355" t="s">
        <v>97</v>
      </c>
      <c r="B46" s="357"/>
      <c r="C46" s="357"/>
      <c r="D46" s="357"/>
      <c r="E46" s="357"/>
      <c r="F46" s="357"/>
    </row>
    <row r="47" spans="1:6" ht="15">
      <c r="A47" s="355" t="s">
        <v>856</v>
      </c>
      <c r="B47" s="357"/>
      <c r="C47" s="357"/>
      <c r="D47" s="357"/>
      <c r="E47" s="357"/>
      <c r="F47" s="357"/>
    </row>
    <row r="48" spans="1:6" ht="15">
      <c r="A48" s="355" t="s">
        <v>857</v>
      </c>
      <c r="B48" s="357"/>
      <c r="C48" s="357"/>
      <c r="D48" s="357"/>
      <c r="E48" s="357"/>
      <c r="F48" s="357"/>
    </row>
    <row r="49" spans="1:6" ht="15">
      <c r="A49" s="355" t="s">
        <v>100</v>
      </c>
      <c r="B49" s="357"/>
      <c r="C49" s="357"/>
      <c r="D49" s="357"/>
      <c r="E49" s="357"/>
      <c r="F49" s="357"/>
    </row>
    <row r="50" spans="1:6" ht="15">
      <c r="A50" s="355"/>
      <c r="B50" s="357"/>
      <c r="C50" s="357"/>
      <c r="D50" s="357"/>
      <c r="E50" s="357"/>
      <c r="F50" s="357"/>
    </row>
    <row r="51" spans="1:6" ht="15">
      <c r="A51" s="355" t="s">
        <v>101</v>
      </c>
      <c r="B51" s="357"/>
      <c r="C51" s="357"/>
      <c r="D51" s="357"/>
      <c r="E51" s="357"/>
      <c r="F51" s="357"/>
    </row>
    <row r="52" spans="1:6" ht="15">
      <c r="A52" s="355" t="s">
        <v>102</v>
      </c>
      <c r="B52" s="357"/>
      <c r="C52" s="357"/>
      <c r="D52" s="357"/>
      <c r="E52" s="357"/>
      <c r="F52" s="357"/>
    </row>
    <row r="53" spans="1:6" ht="15">
      <c r="A53" s="355" t="s">
        <v>103</v>
      </c>
      <c r="B53" s="357"/>
      <c r="C53" s="357"/>
      <c r="D53" s="357"/>
      <c r="E53" s="357"/>
      <c r="F53" s="357"/>
    </row>
    <row r="54" spans="1:6" ht="15">
      <c r="A54" s="355"/>
      <c r="B54" s="357"/>
      <c r="C54" s="357"/>
      <c r="D54" s="357"/>
      <c r="E54" s="357"/>
      <c r="F54" s="357"/>
    </row>
    <row r="55" spans="1:6" ht="15">
      <c r="A55" s="355" t="s">
        <v>858</v>
      </c>
      <c r="B55" s="357"/>
      <c r="C55" s="357"/>
      <c r="D55" s="357"/>
      <c r="E55" s="357"/>
      <c r="F55" s="357"/>
    </row>
    <row r="56" spans="1:6" ht="15">
      <c r="A56" s="355" t="s">
        <v>859</v>
      </c>
      <c r="B56" s="357"/>
      <c r="C56" s="357"/>
      <c r="D56" s="357"/>
      <c r="E56" s="357"/>
      <c r="F56" s="357"/>
    </row>
    <row r="57" spans="1:6" ht="15">
      <c r="A57" s="355" t="s">
        <v>860</v>
      </c>
      <c r="B57" s="357"/>
      <c r="C57" s="357"/>
      <c r="D57" s="357"/>
      <c r="E57" s="357"/>
      <c r="F57" s="357"/>
    </row>
    <row r="58" spans="1:6" ht="15">
      <c r="A58" s="355" t="s">
        <v>861</v>
      </c>
      <c r="B58" s="357"/>
      <c r="C58" s="357"/>
      <c r="D58" s="357"/>
      <c r="E58" s="357"/>
      <c r="F58" s="357"/>
    </row>
    <row r="59" spans="1:6" ht="15">
      <c r="A59" s="355" t="s">
        <v>862</v>
      </c>
      <c r="B59" s="357"/>
      <c r="C59" s="357"/>
      <c r="D59" s="357"/>
      <c r="E59" s="357"/>
      <c r="F59" s="357"/>
    </row>
    <row r="60" spans="1:6" ht="15">
      <c r="A60" s="355"/>
      <c r="B60" s="357"/>
      <c r="C60" s="357"/>
      <c r="D60" s="357"/>
      <c r="E60" s="357"/>
      <c r="F60" s="357"/>
    </row>
    <row r="61" spans="1:6" ht="15">
      <c r="A61" s="354" t="s">
        <v>863</v>
      </c>
      <c r="B61" s="357"/>
      <c r="C61" s="357"/>
      <c r="D61" s="357"/>
      <c r="E61" s="357"/>
      <c r="F61" s="357"/>
    </row>
    <row r="62" spans="1:6" ht="15">
      <c r="A62" s="354" t="s">
        <v>864</v>
      </c>
      <c r="B62" s="357"/>
      <c r="C62" s="357"/>
      <c r="D62" s="357"/>
      <c r="E62" s="357"/>
      <c r="F62" s="357"/>
    </row>
    <row r="63" spans="1:6" ht="15">
      <c r="A63" s="354" t="s">
        <v>865</v>
      </c>
      <c r="B63" s="357"/>
      <c r="C63" s="357"/>
      <c r="D63" s="357"/>
      <c r="E63" s="357"/>
      <c r="F63" s="357"/>
    </row>
    <row r="64" ht="15">
      <c r="A64" s="354" t="s">
        <v>866</v>
      </c>
    </row>
    <row r="65" ht="15">
      <c r="A65" s="354" t="s">
        <v>867</v>
      </c>
    </row>
    <row r="66" ht="15">
      <c r="A66" s="354" t="s">
        <v>868</v>
      </c>
    </row>
    <row r="68" ht="15">
      <c r="A68" s="357" t="s">
        <v>869</v>
      </c>
    </row>
    <row r="69" ht="15">
      <c r="A69" s="357" t="s">
        <v>870</v>
      </c>
    </row>
    <row r="70" ht="15">
      <c r="A70" s="357" t="s">
        <v>871</v>
      </c>
    </row>
    <row r="71" ht="15">
      <c r="A71" s="357" t="s">
        <v>872</v>
      </c>
    </row>
    <row r="72" ht="15">
      <c r="A72" s="357" t="s">
        <v>873</v>
      </c>
    </row>
    <row r="73" ht="15">
      <c r="A73" s="357" t="s">
        <v>874</v>
      </c>
    </row>
    <row r="75" ht="15">
      <c r="A75" s="357" t="s">
        <v>779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6" t="s">
        <v>875</v>
      </c>
      <c r="B3" s="356"/>
      <c r="C3" s="356"/>
      <c r="D3" s="356"/>
      <c r="E3" s="356"/>
      <c r="F3" s="356"/>
      <c r="G3" s="356"/>
    </row>
    <row r="4" spans="1:7" ht="15">
      <c r="A4" s="356"/>
      <c r="B4" s="356"/>
      <c r="C4" s="356"/>
      <c r="D4" s="356"/>
      <c r="E4" s="356"/>
      <c r="F4" s="356"/>
      <c r="G4" s="356"/>
    </row>
    <row r="5" ht="15">
      <c r="A5" s="357" t="s">
        <v>781</v>
      </c>
    </row>
    <row r="6" ht="15">
      <c r="A6" s="357" t="str">
        <f>CONCATENATE(inputPrYr!C5," estimated expenditures show that at the end of this year")</f>
        <v>2013 estimated expenditures show that at the end of this year</v>
      </c>
    </row>
    <row r="7" ht="15">
      <c r="A7" s="357" t="s">
        <v>876</v>
      </c>
    </row>
    <row r="8" ht="15">
      <c r="A8" s="357" t="s">
        <v>877</v>
      </c>
    </row>
    <row r="10" ht="15">
      <c r="A10" t="s">
        <v>783</v>
      </c>
    </row>
    <row r="11" ht="15">
      <c r="A11" t="s">
        <v>784</v>
      </c>
    </row>
    <row r="12" ht="15">
      <c r="A12" t="s">
        <v>785</v>
      </c>
    </row>
    <row r="13" spans="1:7" ht="15">
      <c r="A13" s="356"/>
      <c r="B13" s="356"/>
      <c r="C13" s="356"/>
      <c r="D13" s="356"/>
      <c r="E13" s="356"/>
      <c r="F13" s="356"/>
      <c r="G13" s="356"/>
    </row>
    <row r="14" ht="15">
      <c r="A14" s="358" t="s">
        <v>878</v>
      </c>
    </row>
    <row r="15" ht="15">
      <c r="A15" s="357"/>
    </row>
    <row r="16" ht="15">
      <c r="A16" s="357" t="s">
        <v>879</v>
      </c>
    </row>
    <row r="17" ht="15">
      <c r="A17" s="357" t="s">
        <v>880</v>
      </c>
    </row>
    <row r="18" ht="15">
      <c r="A18" s="357" t="s">
        <v>881</v>
      </c>
    </row>
    <row r="19" ht="15">
      <c r="A19" s="357"/>
    </row>
    <row r="20" ht="15">
      <c r="A20" s="357" t="s">
        <v>882</v>
      </c>
    </row>
    <row r="21" ht="15">
      <c r="A21" s="357" t="s">
        <v>883</v>
      </c>
    </row>
    <row r="22" ht="15">
      <c r="A22" s="357" t="s">
        <v>884</v>
      </c>
    </row>
    <row r="23" ht="15">
      <c r="A23" s="357" t="s">
        <v>885</v>
      </c>
    </row>
    <row r="24" ht="15">
      <c r="A24" s="357"/>
    </row>
    <row r="25" ht="15">
      <c r="A25" s="358" t="s">
        <v>847</v>
      </c>
    </row>
    <row r="26" ht="15">
      <c r="A26" s="358"/>
    </row>
    <row r="27" ht="15">
      <c r="A27" s="357" t="s">
        <v>848</v>
      </c>
    </row>
    <row r="28" spans="1:6" ht="15">
      <c r="A28" s="357" t="s">
        <v>849</v>
      </c>
      <c r="B28" s="357"/>
      <c r="C28" s="357"/>
      <c r="D28" s="357"/>
      <c r="E28" s="357"/>
      <c r="F28" s="357"/>
    </row>
    <row r="29" spans="1:6" ht="15">
      <c r="A29" s="357" t="s">
        <v>850</v>
      </c>
      <c r="B29" s="357"/>
      <c r="C29" s="357"/>
      <c r="D29" s="357"/>
      <c r="E29" s="357"/>
      <c r="F29" s="357"/>
    </row>
    <row r="30" spans="1:6" ht="15">
      <c r="A30" s="357" t="s">
        <v>851</v>
      </c>
      <c r="B30" s="357"/>
      <c r="C30" s="357"/>
      <c r="D30" s="357"/>
      <c r="E30" s="357"/>
      <c r="F30" s="357"/>
    </row>
    <row r="31" ht="15">
      <c r="A31" s="357"/>
    </row>
    <row r="32" spans="1:7" ht="15">
      <c r="A32" s="358" t="s">
        <v>852</v>
      </c>
      <c r="B32" s="358"/>
      <c r="C32" s="358"/>
      <c r="D32" s="358"/>
      <c r="E32" s="358"/>
      <c r="F32" s="358"/>
      <c r="G32" s="358"/>
    </row>
    <row r="33" spans="1:7" ht="15">
      <c r="A33" s="358" t="s">
        <v>853</v>
      </c>
      <c r="B33" s="358"/>
      <c r="C33" s="358"/>
      <c r="D33" s="358"/>
      <c r="E33" s="358"/>
      <c r="F33" s="358"/>
      <c r="G33" s="358"/>
    </row>
    <row r="34" spans="1:7" ht="15">
      <c r="A34" s="358"/>
      <c r="B34" s="358"/>
      <c r="C34" s="358"/>
      <c r="D34" s="358"/>
      <c r="E34" s="358"/>
      <c r="F34" s="358"/>
      <c r="G34" s="358"/>
    </row>
    <row r="35" spans="1:7" ht="15">
      <c r="A35" s="357" t="s">
        <v>886</v>
      </c>
      <c r="B35" s="357"/>
      <c r="C35" s="357"/>
      <c r="D35" s="357"/>
      <c r="E35" s="357"/>
      <c r="F35" s="357"/>
      <c r="G35" s="357"/>
    </row>
    <row r="36" spans="1:7" ht="15">
      <c r="A36" s="357" t="s">
        <v>887</v>
      </c>
      <c r="B36" s="357"/>
      <c r="C36" s="357"/>
      <c r="D36" s="357"/>
      <c r="E36" s="357"/>
      <c r="F36" s="357"/>
      <c r="G36" s="357"/>
    </row>
    <row r="37" spans="1:7" ht="15">
      <c r="A37" s="357" t="s">
        <v>888</v>
      </c>
      <c r="B37" s="357"/>
      <c r="C37" s="357"/>
      <c r="D37" s="357"/>
      <c r="E37" s="357"/>
      <c r="F37" s="357"/>
      <c r="G37" s="357"/>
    </row>
    <row r="38" spans="1:7" ht="15">
      <c r="A38" s="357" t="s">
        <v>889</v>
      </c>
      <c r="B38" s="357"/>
      <c r="C38" s="357"/>
      <c r="D38" s="357"/>
      <c r="E38" s="357"/>
      <c r="F38" s="357"/>
      <c r="G38" s="357"/>
    </row>
    <row r="39" spans="1:7" ht="15">
      <c r="A39" s="357" t="s">
        <v>890</v>
      </c>
      <c r="B39" s="357"/>
      <c r="C39" s="357"/>
      <c r="D39" s="357"/>
      <c r="E39" s="357"/>
      <c r="F39" s="357"/>
      <c r="G39" s="357"/>
    </row>
    <row r="40" spans="1:7" ht="15">
      <c r="A40" s="358"/>
      <c r="B40" s="358"/>
      <c r="C40" s="358"/>
      <c r="D40" s="358"/>
      <c r="E40" s="358"/>
      <c r="F40" s="358"/>
      <c r="G40" s="358"/>
    </row>
    <row r="41" spans="1:6" ht="15">
      <c r="A41" s="355" t="str">
        <f>CONCATENATE("So, let's look to see if any of your ",inputPrYr!C5-1," expenditures can")</f>
        <v>So, let's look to see if any of your 2012 expenditures can</v>
      </c>
      <c r="B41" s="357"/>
      <c r="C41" s="357"/>
      <c r="D41" s="357"/>
      <c r="E41" s="357"/>
      <c r="F41" s="357"/>
    </row>
    <row r="42" spans="1:6" ht="15">
      <c r="A42" s="355" t="s">
        <v>854</v>
      </c>
      <c r="B42" s="357"/>
      <c r="C42" s="357"/>
      <c r="D42" s="357"/>
      <c r="E42" s="357"/>
      <c r="F42" s="357"/>
    </row>
    <row r="43" spans="1:6" ht="15">
      <c r="A43" s="355" t="s">
        <v>89</v>
      </c>
      <c r="B43" s="357"/>
      <c r="C43" s="357"/>
      <c r="D43" s="357"/>
      <c r="E43" s="357"/>
      <c r="F43" s="357"/>
    </row>
    <row r="44" spans="1:6" ht="15">
      <c r="A44" s="355" t="s">
        <v>90</v>
      </c>
      <c r="B44" s="357"/>
      <c r="C44" s="357"/>
      <c r="D44" s="357"/>
      <c r="E44" s="357"/>
      <c r="F44" s="357"/>
    </row>
    <row r="45" ht="15">
      <c r="A45" s="357"/>
    </row>
    <row r="46" spans="1:6" ht="15">
      <c r="A46" s="355" t="str">
        <f>CONCATENATE("Additionally, do your ",inputPrYr!C5-1," receipts contain a reimbursement")</f>
        <v>Additionally, do your 2012 receipts contain a reimbursement</v>
      </c>
      <c r="B46" s="357"/>
      <c r="C46" s="357"/>
      <c r="D46" s="357"/>
      <c r="E46" s="357"/>
      <c r="F46" s="357"/>
    </row>
    <row r="47" spans="1:6" ht="15">
      <c r="A47" s="355" t="s">
        <v>91</v>
      </c>
      <c r="B47" s="357"/>
      <c r="C47" s="357"/>
      <c r="D47" s="357"/>
      <c r="E47" s="357"/>
      <c r="F47" s="357"/>
    </row>
    <row r="48" spans="1:6" ht="15">
      <c r="A48" s="355" t="s">
        <v>92</v>
      </c>
      <c r="B48" s="357"/>
      <c r="C48" s="357"/>
      <c r="D48" s="357"/>
      <c r="E48" s="357"/>
      <c r="F48" s="357"/>
    </row>
    <row r="49" spans="1:7" ht="15">
      <c r="A49" s="357"/>
      <c r="B49" s="357"/>
      <c r="C49" s="357"/>
      <c r="D49" s="357"/>
      <c r="E49" s="357"/>
      <c r="F49" s="357"/>
      <c r="G49" s="357"/>
    </row>
    <row r="50" spans="1:7" ht="15">
      <c r="A50" s="357" t="s">
        <v>808</v>
      </c>
      <c r="B50" s="357"/>
      <c r="C50" s="357"/>
      <c r="D50" s="357"/>
      <c r="E50" s="357"/>
      <c r="F50" s="357"/>
      <c r="G50" s="357"/>
    </row>
    <row r="51" spans="1:7" ht="15">
      <c r="A51" s="357" t="s">
        <v>809</v>
      </c>
      <c r="B51" s="357"/>
      <c r="C51" s="357"/>
      <c r="D51" s="357"/>
      <c r="E51" s="357"/>
      <c r="F51" s="357"/>
      <c r="G51" s="357"/>
    </row>
    <row r="52" spans="1:7" ht="15">
      <c r="A52" s="357" t="s">
        <v>810</v>
      </c>
      <c r="B52" s="357"/>
      <c r="C52" s="357"/>
      <c r="D52" s="357"/>
      <c r="E52" s="357"/>
      <c r="F52" s="357"/>
      <c r="G52" s="357"/>
    </row>
    <row r="53" spans="1:7" ht="15">
      <c r="A53" s="357" t="s">
        <v>811</v>
      </c>
      <c r="B53" s="357"/>
      <c r="C53" s="357"/>
      <c r="D53" s="357"/>
      <c r="E53" s="357"/>
      <c r="F53" s="357"/>
      <c r="G53" s="357"/>
    </row>
    <row r="54" spans="1:7" ht="15">
      <c r="A54" s="357" t="s">
        <v>812</v>
      </c>
      <c r="B54" s="357"/>
      <c r="C54" s="357"/>
      <c r="D54" s="357"/>
      <c r="E54" s="357"/>
      <c r="F54" s="357"/>
      <c r="G54" s="357"/>
    </row>
    <row r="55" spans="1:7" ht="15">
      <c r="A55" s="357"/>
      <c r="B55" s="357"/>
      <c r="C55" s="357"/>
      <c r="D55" s="357"/>
      <c r="E55" s="357"/>
      <c r="F55" s="357"/>
      <c r="G55" s="357"/>
    </row>
    <row r="56" spans="1:6" ht="15">
      <c r="A56" s="355" t="s">
        <v>101</v>
      </c>
      <c r="B56" s="357"/>
      <c r="C56" s="357"/>
      <c r="D56" s="357"/>
      <c r="E56" s="357"/>
      <c r="F56" s="357"/>
    </row>
    <row r="57" spans="1:6" ht="15">
      <c r="A57" s="355" t="s">
        <v>102</v>
      </c>
      <c r="B57" s="357"/>
      <c r="C57" s="357"/>
      <c r="D57" s="357"/>
      <c r="E57" s="357"/>
      <c r="F57" s="357"/>
    </row>
    <row r="58" spans="1:6" ht="15">
      <c r="A58" s="355" t="s">
        <v>103</v>
      </c>
      <c r="B58" s="357"/>
      <c r="C58" s="357"/>
      <c r="D58" s="357"/>
      <c r="E58" s="357"/>
      <c r="F58" s="357"/>
    </row>
    <row r="59" spans="1:6" ht="15">
      <c r="A59" s="355"/>
      <c r="B59" s="357"/>
      <c r="C59" s="357"/>
      <c r="D59" s="357"/>
      <c r="E59" s="357"/>
      <c r="F59" s="357"/>
    </row>
    <row r="60" spans="1:7" ht="15">
      <c r="A60" s="357" t="s">
        <v>891</v>
      </c>
      <c r="B60" s="357"/>
      <c r="C60" s="357"/>
      <c r="D60" s="357"/>
      <c r="E60" s="357"/>
      <c r="F60" s="357"/>
      <c r="G60" s="357"/>
    </row>
    <row r="61" spans="1:7" ht="15">
      <c r="A61" s="357" t="s">
        <v>892</v>
      </c>
      <c r="B61" s="357"/>
      <c r="C61" s="357"/>
      <c r="D61" s="357"/>
      <c r="E61" s="357"/>
      <c r="F61" s="357"/>
      <c r="G61" s="357"/>
    </row>
    <row r="62" spans="1:7" ht="15">
      <c r="A62" s="357" t="s">
        <v>893</v>
      </c>
      <c r="B62" s="357"/>
      <c r="C62" s="357"/>
      <c r="D62" s="357"/>
      <c r="E62" s="357"/>
      <c r="F62" s="357"/>
      <c r="G62" s="357"/>
    </row>
    <row r="63" spans="1:7" ht="15">
      <c r="A63" s="357" t="s">
        <v>894</v>
      </c>
      <c r="B63" s="357"/>
      <c r="C63" s="357"/>
      <c r="D63" s="357"/>
      <c r="E63" s="357"/>
      <c r="F63" s="357"/>
      <c r="G63" s="357"/>
    </row>
    <row r="64" spans="1:7" ht="15">
      <c r="A64" s="357" t="s">
        <v>895</v>
      </c>
      <c r="B64" s="357"/>
      <c r="C64" s="357"/>
      <c r="D64" s="357"/>
      <c r="E64" s="357"/>
      <c r="F64" s="357"/>
      <c r="G64" s="357"/>
    </row>
    <row r="66" spans="1:6" ht="15">
      <c r="A66" s="355" t="s">
        <v>858</v>
      </c>
      <c r="B66" s="357"/>
      <c r="C66" s="357"/>
      <c r="D66" s="357"/>
      <c r="E66" s="357"/>
      <c r="F66" s="357"/>
    </row>
    <row r="67" spans="1:6" ht="15">
      <c r="A67" s="355" t="s">
        <v>859</v>
      </c>
      <c r="B67" s="357"/>
      <c r="C67" s="357"/>
      <c r="D67" s="357"/>
      <c r="E67" s="357"/>
      <c r="F67" s="357"/>
    </row>
    <row r="68" spans="1:6" ht="15">
      <c r="A68" s="355" t="s">
        <v>860</v>
      </c>
      <c r="B68" s="357"/>
      <c r="C68" s="357"/>
      <c r="D68" s="357"/>
      <c r="E68" s="357"/>
      <c r="F68" s="357"/>
    </row>
    <row r="69" spans="1:6" ht="15">
      <c r="A69" s="355" t="s">
        <v>861</v>
      </c>
      <c r="B69" s="357"/>
      <c r="C69" s="357"/>
      <c r="D69" s="357"/>
      <c r="E69" s="357"/>
      <c r="F69" s="357"/>
    </row>
    <row r="70" spans="1:6" ht="15">
      <c r="A70" s="355" t="s">
        <v>862</v>
      </c>
      <c r="B70" s="357"/>
      <c r="C70" s="357"/>
      <c r="D70" s="357"/>
      <c r="E70" s="357"/>
      <c r="F70" s="357"/>
    </row>
    <row r="71" ht="15">
      <c r="A71" s="357"/>
    </row>
    <row r="72" ht="15">
      <c r="A72" s="357" t="s">
        <v>779</v>
      </c>
    </row>
    <row r="73" ht="15">
      <c r="A73" s="357"/>
    </row>
    <row r="74" ht="15">
      <c r="A74" s="357"/>
    </row>
    <row r="75" ht="15">
      <c r="A75" s="357"/>
    </row>
    <row r="78" ht="15">
      <c r="A78" s="358"/>
    </row>
    <row r="80" ht="15">
      <c r="A80" s="357"/>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2" ht="15">
      <c r="A102" s="357"/>
    </row>
    <row r="103" ht="15">
      <c r="A103" s="357"/>
    </row>
    <row r="104" ht="15">
      <c r="A104" s="357"/>
    </row>
    <row r="105" ht="15">
      <c r="A105" s="357"/>
    </row>
    <row r="106" ht="15">
      <c r="A106" s="35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6" t="s">
        <v>108</v>
      </c>
      <c r="B3" s="356"/>
      <c r="C3" s="356"/>
      <c r="D3" s="356"/>
      <c r="E3" s="356"/>
      <c r="F3" s="356"/>
      <c r="G3" s="356"/>
    </row>
    <row r="4" spans="1:7" ht="15">
      <c r="A4" s="356" t="s">
        <v>109</v>
      </c>
      <c r="B4" s="356"/>
      <c r="C4" s="356"/>
      <c r="D4" s="356"/>
      <c r="E4" s="356"/>
      <c r="F4" s="356"/>
      <c r="G4" s="356"/>
    </row>
    <row r="5" spans="1:7" ht="15">
      <c r="A5" s="356"/>
      <c r="B5" s="356"/>
      <c r="C5" s="356"/>
      <c r="D5" s="356"/>
      <c r="E5" s="356"/>
      <c r="F5" s="356"/>
      <c r="G5" s="356"/>
    </row>
    <row r="6" spans="1:7" ht="15">
      <c r="A6" s="356"/>
      <c r="B6" s="356"/>
      <c r="C6" s="356"/>
      <c r="D6" s="356"/>
      <c r="E6" s="356"/>
      <c r="F6" s="356"/>
      <c r="G6" s="356"/>
    </row>
    <row r="7" ht="15">
      <c r="A7" s="357" t="s">
        <v>75</v>
      </c>
    </row>
    <row r="8" ht="15">
      <c r="A8" s="357" t="str">
        <f>CONCATENATE("estimated ",inputPrYr!C5," 'total expenditures' exceed your ",inputPrYr!C5,"")</f>
        <v>estimated 2013 'total expenditures' exceed your 2013</v>
      </c>
    </row>
    <row r="9" ht="15">
      <c r="A9" s="360" t="s">
        <v>110</v>
      </c>
    </row>
    <row r="10" ht="15">
      <c r="A10" s="357"/>
    </row>
    <row r="11" ht="15">
      <c r="A11" s="357" t="s">
        <v>111</v>
      </c>
    </row>
    <row r="12" ht="15">
      <c r="A12" s="357" t="s">
        <v>112</v>
      </c>
    </row>
    <row r="13" ht="15">
      <c r="A13" s="357" t="s">
        <v>113</v>
      </c>
    </row>
    <row r="14" ht="15">
      <c r="A14" s="357"/>
    </row>
    <row r="15" ht="15">
      <c r="A15" s="358" t="s">
        <v>114</v>
      </c>
    </row>
    <row r="16" spans="1:7" ht="15">
      <c r="A16" s="356"/>
      <c r="B16" s="356"/>
      <c r="C16" s="356"/>
      <c r="D16" s="356"/>
      <c r="E16" s="356"/>
      <c r="F16" s="356"/>
      <c r="G16" s="356"/>
    </row>
    <row r="17" spans="1:8" ht="15">
      <c r="A17" s="361" t="s">
        <v>115</v>
      </c>
      <c r="B17" s="362"/>
      <c r="C17" s="362"/>
      <c r="D17" s="362"/>
      <c r="E17" s="362"/>
      <c r="F17" s="362"/>
      <c r="G17" s="362"/>
      <c r="H17" s="362"/>
    </row>
    <row r="18" spans="1:7" ht="15">
      <c r="A18" s="357" t="s">
        <v>116</v>
      </c>
      <c r="B18" s="363"/>
      <c r="C18" s="363"/>
      <c r="D18" s="363"/>
      <c r="E18" s="363"/>
      <c r="F18" s="363"/>
      <c r="G18" s="363"/>
    </row>
    <row r="19" ht="15">
      <c r="A19" s="357" t="s">
        <v>117</v>
      </c>
    </row>
    <row r="20" ht="15">
      <c r="A20" s="357" t="s">
        <v>118</v>
      </c>
    </row>
    <row r="22" ht="15">
      <c r="A22" s="358" t="s">
        <v>119</v>
      </c>
    </row>
    <row r="24" ht="15">
      <c r="A24" s="357" t="s">
        <v>120</v>
      </c>
    </row>
    <row r="25" ht="15">
      <c r="A25" s="357" t="s">
        <v>121</v>
      </c>
    </row>
    <row r="26" ht="15">
      <c r="A26" s="357" t="s">
        <v>122</v>
      </c>
    </row>
    <row r="28" ht="15">
      <c r="A28" s="358" t="s">
        <v>123</v>
      </c>
    </row>
    <row r="30" ht="15">
      <c r="A30" t="s">
        <v>124</v>
      </c>
    </row>
    <row r="31" ht="15">
      <c r="A31" t="s">
        <v>125</v>
      </c>
    </row>
    <row r="32" ht="15">
      <c r="A32" t="s">
        <v>126</v>
      </c>
    </row>
    <row r="33" ht="15">
      <c r="A33" s="357" t="s">
        <v>127</v>
      </c>
    </row>
    <row r="35" ht="15">
      <c r="A35" t="s">
        <v>128</v>
      </c>
    </row>
    <row r="36" ht="15">
      <c r="A36" t="s">
        <v>129</v>
      </c>
    </row>
    <row r="37" ht="15">
      <c r="A37" t="s">
        <v>130</v>
      </c>
    </row>
    <row r="38" ht="15">
      <c r="A38" t="s">
        <v>131</v>
      </c>
    </row>
    <row r="40" ht="15">
      <c r="A40" t="s">
        <v>132</v>
      </c>
    </row>
    <row r="41" ht="15">
      <c r="A41" t="s">
        <v>133</v>
      </c>
    </row>
    <row r="42" ht="15">
      <c r="A42" t="s">
        <v>134</v>
      </c>
    </row>
    <row r="43" ht="15">
      <c r="A43" t="s">
        <v>135</v>
      </c>
    </row>
    <row r="44" ht="15">
      <c r="A44" t="s">
        <v>136</v>
      </c>
    </row>
    <row r="45" ht="15">
      <c r="A45" t="s">
        <v>137</v>
      </c>
    </row>
    <row r="47" ht="15">
      <c r="A47" t="s">
        <v>138</v>
      </c>
    </row>
    <row r="48" ht="15">
      <c r="A48" t="s">
        <v>139</v>
      </c>
    </row>
    <row r="49" ht="15">
      <c r="A49" s="357" t="s">
        <v>140</v>
      </c>
    </row>
    <row r="50" ht="15">
      <c r="A50" s="357" t="s">
        <v>141</v>
      </c>
    </row>
    <row r="52" ht="15">
      <c r="A52" t="s">
        <v>779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34" customWidth="1"/>
    <col min="2" max="2" width="11.19921875" style="436" customWidth="1"/>
    <col min="3" max="3" width="7.3984375" style="436" customWidth="1"/>
    <col min="4" max="4" width="8.8984375" style="436" customWidth="1"/>
    <col min="5" max="5" width="1.59765625" style="436" customWidth="1"/>
    <col min="6" max="6" width="14.296875" style="436" customWidth="1"/>
    <col min="7" max="7" width="2.59765625" style="436" customWidth="1"/>
    <col min="8" max="8" width="9.796875" style="436" customWidth="1"/>
    <col min="9" max="9" width="2" style="436" customWidth="1"/>
    <col min="10" max="10" width="8.59765625" style="436" customWidth="1"/>
    <col min="11" max="11" width="11.69921875" style="436"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866" t="s">
        <v>162</v>
      </c>
      <c r="C6" s="861"/>
      <c r="D6" s="861"/>
      <c r="E6" s="861"/>
      <c r="F6" s="861"/>
      <c r="G6" s="861"/>
      <c r="H6" s="861"/>
      <c r="I6" s="861"/>
      <c r="J6" s="861"/>
      <c r="K6" s="861"/>
      <c r="L6" s="437"/>
    </row>
    <row r="7" spans="1:12" ht="40.5" customHeight="1">
      <c r="A7" s="435"/>
      <c r="B7" s="867" t="s">
        <v>163</v>
      </c>
      <c r="C7" s="868"/>
      <c r="D7" s="868"/>
      <c r="E7" s="868"/>
      <c r="F7" s="868"/>
      <c r="G7" s="868"/>
      <c r="H7" s="868"/>
      <c r="I7" s="868"/>
      <c r="J7" s="868"/>
      <c r="K7" s="868"/>
      <c r="L7" s="435"/>
    </row>
    <row r="8" spans="1:12" ht="14.25">
      <c r="A8" s="435"/>
      <c r="B8" s="863" t="s">
        <v>164</v>
      </c>
      <c r="C8" s="863"/>
      <c r="D8" s="863"/>
      <c r="E8" s="863"/>
      <c r="F8" s="863"/>
      <c r="G8" s="863"/>
      <c r="H8" s="863"/>
      <c r="I8" s="863"/>
      <c r="J8" s="863"/>
      <c r="K8" s="863"/>
      <c r="L8" s="435"/>
    </row>
    <row r="9" spans="1:12" ht="14.25">
      <c r="A9" s="435"/>
      <c r="L9" s="435"/>
    </row>
    <row r="10" spans="1:12" ht="14.25">
      <c r="A10" s="435"/>
      <c r="B10" s="863" t="s">
        <v>165</v>
      </c>
      <c r="C10" s="863"/>
      <c r="D10" s="863"/>
      <c r="E10" s="863"/>
      <c r="F10" s="863"/>
      <c r="G10" s="863"/>
      <c r="H10" s="863"/>
      <c r="I10" s="863"/>
      <c r="J10" s="863"/>
      <c r="K10" s="863"/>
      <c r="L10" s="435"/>
    </row>
    <row r="11" spans="1:12" ht="14.25">
      <c r="A11" s="435"/>
      <c r="B11" s="594"/>
      <c r="C11" s="594"/>
      <c r="D11" s="594"/>
      <c r="E11" s="594"/>
      <c r="F11" s="594"/>
      <c r="G11" s="594"/>
      <c r="H11" s="594"/>
      <c r="I11" s="594"/>
      <c r="J11" s="594"/>
      <c r="K11" s="594"/>
      <c r="L11" s="435"/>
    </row>
    <row r="12" spans="1:12" ht="32.25" customHeight="1">
      <c r="A12" s="435"/>
      <c r="B12" s="864" t="s">
        <v>166</v>
      </c>
      <c r="C12" s="864"/>
      <c r="D12" s="864"/>
      <c r="E12" s="864"/>
      <c r="F12" s="864"/>
      <c r="G12" s="864"/>
      <c r="H12" s="864"/>
      <c r="I12" s="864"/>
      <c r="J12" s="864"/>
      <c r="K12" s="864"/>
      <c r="L12" s="435"/>
    </row>
    <row r="13" spans="1:12" ht="14.25">
      <c r="A13" s="435"/>
      <c r="L13" s="435"/>
    </row>
    <row r="14" spans="1:12" ht="14.25">
      <c r="A14" s="435"/>
      <c r="B14" s="438" t="s">
        <v>167</v>
      </c>
      <c r="L14" s="435"/>
    </row>
    <row r="15" spans="1:12" ht="14.25">
      <c r="A15" s="435"/>
      <c r="L15" s="435"/>
    </row>
    <row r="16" spans="1:12" ht="14.25">
      <c r="A16" s="435"/>
      <c r="B16" s="436" t="s">
        <v>168</v>
      </c>
      <c r="L16" s="435"/>
    </row>
    <row r="17" spans="1:12" ht="14.25">
      <c r="A17" s="435"/>
      <c r="B17" s="436" t="s">
        <v>169</v>
      </c>
      <c r="L17" s="435"/>
    </row>
    <row r="18" spans="1:12" ht="14.25">
      <c r="A18" s="435"/>
      <c r="L18" s="435"/>
    </row>
    <row r="19" spans="1:12" ht="14.25">
      <c r="A19" s="435"/>
      <c r="B19" s="438" t="s">
        <v>259</v>
      </c>
      <c r="L19" s="435"/>
    </row>
    <row r="20" spans="1:12" ht="14.25">
      <c r="A20" s="435"/>
      <c r="B20" s="438"/>
      <c r="L20" s="435"/>
    </row>
    <row r="21" spans="1:12" ht="14.25">
      <c r="A21" s="435"/>
      <c r="B21" s="436" t="s">
        <v>260</v>
      </c>
      <c r="L21" s="435"/>
    </row>
    <row r="22" spans="1:12" ht="14.25">
      <c r="A22" s="435"/>
      <c r="L22" s="435"/>
    </row>
    <row r="23" spans="1:12" ht="14.25">
      <c r="A23" s="435"/>
      <c r="B23" s="436" t="s">
        <v>170</v>
      </c>
      <c r="E23" s="436" t="s">
        <v>171</v>
      </c>
      <c r="F23" s="859">
        <v>312000000</v>
      </c>
      <c r="G23" s="859"/>
      <c r="L23" s="435"/>
    </row>
    <row r="24" spans="1:12" ht="14.25">
      <c r="A24" s="435"/>
      <c r="L24" s="435"/>
    </row>
    <row r="25" spans="1:12" ht="14.25">
      <c r="A25" s="435"/>
      <c r="C25" s="873">
        <f>F23</f>
        <v>312000000</v>
      </c>
      <c r="D25" s="873"/>
      <c r="E25" s="436" t="s">
        <v>172</v>
      </c>
      <c r="F25" s="439">
        <v>1000</v>
      </c>
      <c r="G25" s="439" t="s">
        <v>171</v>
      </c>
      <c r="H25" s="595">
        <f>F23/F25</f>
        <v>312000</v>
      </c>
      <c r="L25" s="435"/>
    </row>
    <row r="26" spans="1:12" ht="15" thickBot="1">
      <c r="A26" s="435"/>
      <c r="L26" s="435"/>
    </row>
    <row r="27" spans="1:12" ht="14.25">
      <c r="A27" s="435"/>
      <c r="B27" s="440" t="s">
        <v>167</v>
      </c>
      <c r="C27" s="441"/>
      <c r="D27" s="441"/>
      <c r="E27" s="441"/>
      <c r="F27" s="441"/>
      <c r="G27" s="441"/>
      <c r="H27" s="441"/>
      <c r="I27" s="441"/>
      <c r="J27" s="441"/>
      <c r="K27" s="442"/>
      <c r="L27" s="435"/>
    </row>
    <row r="28" spans="1:12" ht="14.25">
      <c r="A28" s="435"/>
      <c r="B28" s="443">
        <f>F23</f>
        <v>312000000</v>
      </c>
      <c r="C28" s="444" t="s">
        <v>173</v>
      </c>
      <c r="D28" s="444"/>
      <c r="E28" s="444" t="s">
        <v>172</v>
      </c>
      <c r="F28" s="592">
        <v>1000</v>
      </c>
      <c r="G28" s="592" t="s">
        <v>171</v>
      </c>
      <c r="H28" s="445">
        <f>B28/F28</f>
        <v>312000</v>
      </c>
      <c r="I28" s="444" t="s">
        <v>174</v>
      </c>
      <c r="J28" s="444"/>
      <c r="K28" s="446"/>
      <c r="L28" s="435"/>
    </row>
    <row r="29" spans="1:12" ht="15" thickBot="1">
      <c r="A29" s="435"/>
      <c r="B29" s="447"/>
      <c r="C29" s="448"/>
      <c r="D29" s="448"/>
      <c r="E29" s="448"/>
      <c r="F29" s="448"/>
      <c r="G29" s="448"/>
      <c r="H29" s="448"/>
      <c r="I29" s="448"/>
      <c r="J29" s="448"/>
      <c r="K29" s="449"/>
      <c r="L29" s="435"/>
    </row>
    <row r="30" spans="1:12" ht="40.5" customHeight="1">
      <c r="A30" s="435"/>
      <c r="B30" s="862" t="s">
        <v>163</v>
      </c>
      <c r="C30" s="862"/>
      <c r="D30" s="862"/>
      <c r="E30" s="862"/>
      <c r="F30" s="862"/>
      <c r="G30" s="862"/>
      <c r="H30" s="862"/>
      <c r="I30" s="862"/>
      <c r="J30" s="862"/>
      <c r="K30" s="862"/>
      <c r="L30" s="435"/>
    </row>
    <row r="31" spans="1:12" ht="14.25">
      <c r="A31" s="435"/>
      <c r="B31" s="863" t="s">
        <v>175</v>
      </c>
      <c r="C31" s="863"/>
      <c r="D31" s="863"/>
      <c r="E31" s="863"/>
      <c r="F31" s="863"/>
      <c r="G31" s="863"/>
      <c r="H31" s="863"/>
      <c r="I31" s="863"/>
      <c r="J31" s="863"/>
      <c r="K31" s="863"/>
      <c r="L31" s="435"/>
    </row>
    <row r="32" spans="1:12" ht="14.25">
      <c r="A32" s="435"/>
      <c r="L32" s="435"/>
    </row>
    <row r="33" spans="1:12" ht="14.25">
      <c r="A33" s="435"/>
      <c r="B33" s="863" t="s">
        <v>176</v>
      </c>
      <c r="C33" s="863"/>
      <c r="D33" s="863"/>
      <c r="E33" s="863"/>
      <c r="F33" s="863"/>
      <c r="G33" s="863"/>
      <c r="H33" s="863"/>
      <c r="I33" s="863"/>
      <c r="J33" s="863"/>
      <c r="K33" s="863"/>
      <c r="L33" s="435"/>
    </row>
    <row r="34" spans="1:12" ht="14.25">
      <c r="A34" s="435"/>
      <c r="L34" s="435"/>
    </row>
    <row r="35" spans="1:12" ht="89.25" customHeight="1">
      <c r="A35" s="435"/>
      <c r="B35" s="864" t="s">
        <v>177</v>
      </c>
      <c r="C35" s="865"/>
      <c r="D35" s="865"/>
      <c r="E35" s="865"/>
      <c r="F35" s="865"/>
      <c r="G35" s="865"/>
      <c r="H35" s="865"/>
      <c r="I35" s="865"/>
      <c r="J35" s="865"/>
      <c r="K35" s="865"/>
      <c r="L35" s="435"/>
    </row>
    <row r="36" spans="1:12" ht="14.25">
      <c r="A36" s="435"/>
      <c r="L36" s="435"/>
    </row>
    <row r="37" spans="1:12" ht="14.25">
      <c r="A37" s="435"/>
      <c r="B37" s="438" t="s">
        <v>178</v>
      </c>
      <c r="L37" s="435"/>
    </row>
    <row r="38" spans="1:12" ht="14.25">
      <c r="A38" s="435"/>
      <c r="L38" s="435"/>
    </row>
    <row r="39" spans="1:12" ht="14.25">
      <c r="A39" s="435"/>
      <c r="B39" s="436" t="s">
        <v>179</v>
      </c>
      <c r="L39" s="435"/>
    </row>
    <row r="40" spans="1:12" ht="14.25">
      <c r="A40" s="435"/>
      <c r="L40" s="435"/>
    </row>
    <row r="41" spans="1:12" ht="14.25">
      <c r="A41" s="435"/>
      <c r="C41" s="878">
        <v>312000000</v>
      </c>
      <c r="D41" s="878"/>
      <c r="E41" s="436" t="s">
        <v>172</v>
      </c>
      <c r="F41" s="439">
        <v>1000</v>
      </c>
      <c r="G41" s="439" t="s">
        <v>171</v>
      </c>
      <c r="H41" s="450">
        <f>C41/F41</f>
        <v>312000</v>
      </c>
      <c r="L41" s="435"/>
    </row>
    <row r="42" spans="1:12" ht="14.25">
      <c r="A42" s="435"/>
      <c r="L42" s="435"/>
    </row>
    <row r="43" spans="1:12" ht="14.25">
      <c r="A43" s="435"/>
      <c r="B43" s="436" t="s">
        <v>180</v>
      </c>
      <c r="L43" s="435"/>
    </row>
    <row r="44" spans="1:12" ht="14.25">
      <c r="A44" s="435"/>
      <c r="L44" s="435"/>
    </row>
    <row r="45" spans="1:12" ht="14.25">
      <c r="A45" s="435"/>
      <c r="B45" s="436" t="s">
        <v>181</v>
      </c>
      <c r="L45" s="435"/>
    </row>
    <row r="46" spans="1:12" ht="15" thickBot="1">
      <c r="A46" s="435"/>
      <c r="L46" s="435"/>
    </row>
    <row r="47" spans="1:12" ht="14.25">
      <c r="A47" s="435"/>
      <c r="B47" s="451" t="s">
        <v>167</v>
      </c>
      <c r="C47" s="441"/>
      <c r="D47" s="441"/>
      <c r="E47" s="441"/>
      <c r="F47" s="441"/>
      <c r="G47" s="441"/>
      <c r="H47" s="441"/>
      <c r="I47" s="441"/>
      <c r="J47" s="441"/>
      <c r="K47" s="442"/>
      <c r="L47" s="435"/>
    </row>
    <row r="48" spans="1:12" ht="14.25">
      <c r="A48" s="435"/>
      <c r="B48" s="879">
        <v>312000000</v>
      </c>
      <c r="C48" s="859"/>
      <c r="D48" s="444" t="s">
        <v>182</v>
      </c>
      <c r="E48" s="444" t="s">
        <v>172</v>
      </c>
      <c r="F48" s="592">
        <v>1000</v>
      </c>
      <c r="G48" s="592" t="s">
        <v>171</v>
      </c>
      <c r="H48" s="445">
        <f>B48/F48</f>
        <v>312000</v>
      </c>
      <c r="I48" s="444" t="s">
        <v>183</v>
      </c>
      <c r="J48" s="444"/>
      <c r="K48" s="446"/>
      <c r="L48" s="435"/>
    </row>
    <row r="49" spans="1:12" ht="14.25">
      <c r="A49" s="435"/>
      <c r="B49" s="452"/>
      <c r="C49" s="444"/>
      <c r="D49" s="444"/>
      <c r="E49" s="444"/>
      <c r="F49" s="444"/>
      <c r="G49" s="444"/>
      <c r="H49" s="444"/>
      <c r="I49" s="444"/>
      <c r="J49" s="444"/>
      <c r="K49" s="446"/>
      <c r="L49" s="435"/>
    </row>
    <row r="50" spans="1:12" ht="14.25">
      <c r="A50" s="435"/>
      <c r="B50" s="453">
        <v>50000</v>
      </c>
      <c r="C50" s="444" t="s">
        <v>184</v>
      </c>
      <c r="D50" s="444"/>
      <c r="E50" s="444" t="s">
        <v>172</v>
      </c>
      <c r="F50" s="445">
        <f>H48</f>
        <v>312000</v>
      </c>
      <c r="G50" s="874" t="s">
        <v>185</v>
      </c>
      <c r="H50" s="875"/>
      <c r="I50" s="592" t="s">
        <v>171</v>
      </c>
      <c r="J50" s="454">
        <f>B50/F50</f>
        <v>0.16025641025641027</v>
      </c>
      <c r="K50" s="446"/>
      <c r="L50" s="435"/>
    </row>
    <row r="51" spans="1:15" ht="15" thickBot="1">
      <c r="A51" s="435"/>
      <c r="B51" s="447"/>
      <c r="C51" s="448"/>
      <c r="D51" s="448"/>
      <c r="E51" s="448"/>
      <c r="F51" s="448"/>
      <c r="G51" s="448"/>
      <c r="H51" s="448"/>
      <c r="I51" s="876" t="s">
        <v>186</v>
      </c>
      <c r="J51" s="876"/>
      <c r="K51" s="877"/>
      <c r="L51" s="435"/>
      <c r="O51" s="575"/>
    </row>
    <row r="52" spans="1:12" ht="40.5" customHeight="1">
      <c r="A52" s="435"/>
      <c r="B52" s="862" t="s">
        <v>163</v>
      </c>
      <c r="C52" s="862"/>
      <c r="D52" s="862"/>
      <c r="E52" s="862"/>
      <c r="F52" s="862"/>
      <c r="G52" s="862"/>
      <c r="H52" s="862"/>
      <c r="I52" s="862"/>
      <c r="J52" s="862"/>
      <c r="K52" s="862"/>
      <c r="L52" s="435"/>
    </row>
    <row r="53" spans="1:12" ht="14.25">
      <c r="A53" s="435"/>
      <c r="B53" s="863" t="s">
        <v>187</v>
      </c>
      <c r="C53" s="863"/>
      <c r="D53" s="863"/>
      <c r="E53" s="863"/>
      <c r="F53" s="863"/>
      <c r="G53" s="863"/>
      <c r="H53" s="863"/>
      <c r="I53" s="863"/>
      <c r="J53" s="863"/>
      <c r="K53" s="863"/>
      <c r="L53" s="435"/>
    </row>
    <row r="54" spans="1:12" ht="14.25">
      <c r="A54" s="435"/>
      <c r="B54" s="594"/>
      <c r="C54" s="594"/>
      <c r="D54" s="594"/>
      <c r="E54" s="594"/>
      <c r="F54" s="594"/>
      <c r="G54" s="594"/>
      <c r="H54" s="594"/>
      <c r="I54" s="594"/>
      <c r="J54" s="594"/>
      <c r="K54" s="594"/>
      <c r="L54" s="435"/>
    </row>
    <row r="55" spans="1:12" ht="14.25">
      <c r="A55" s="435"/>
      <c r="B55" s="866" t="s">
        <v>188</v>
      </c>
      <c r="C55" s="866"/>
      <c r="D55" s="866"/>
      <c r="E55" s="866"/>
      <c r="F55" s="866"/>
      <c r="G55" s="866"/>
      <c r="H55" s="866"/>
      <c r="I55" s="866"/>
      <c r="J55" s="866"/>
      <c r="K55" s="866"/>
      <c r="L55" s="435"/>
    </row>
    <row r="56" spans="1:12" ht="15" customHeight="1">
      <c r="A56" s="435"/>
      <c r="L56" s="435"/>
    </row>
    <row r="57" spans="1:24" ht="74.25" customHeight="1">
      <c r="A57" s="435"/>
      <c r="B57" s="864" t="s">
        <v>189</v>
      </c>
      <c r="C57" s="865"/>
      <c r="D57" s="865"/>
      <c r="E57" s="865"/>
      <c r="F57" s="865"/>
      <c r="G57" s="865"/>
      <c r="H57" s="865"/>
      <c r="I57" s="865"/>
      <c r="J57" s="865"/>
      <c r="K57" s="865"/>
      <c r="L57" s="435"/>
      <c r="M57" s="455"/>
      <c r="N57" s="456"/>
      <c r="O57" s="456"/>
      <c r="P57" s="456"/>
      <c r="Q57" s="456"/>
      <c r="R57" s="456"/>
      <c r="S57" s="456"/>
      <c r="T57" s="456"/>
      <c r="U57" s="456"/>
      <c r="V57" s="456"/>
      <c r="W57" s="456"/>
      <c r="X57" s="456"/>
    </row>
    <row r="58" spans="1:24" ht="15" customHeight="1">
      <c r="A58" s="435"/>
      <c r="B58" s="864"/>
      <c r="C58" s="865"/>
      <c r="D58" s="865"/>
      <c r="E58" s="865"/>
      <c r="F58" s="865"/>
      <c r="G58" s="865"/>
      <c r="H58" s="865"/>
      <c r="I58" s="865"/>
      <c r="J58" s="865"/>
      <c r="K58" s="865"/>
      <c r="L58" s="435"/>
      <c r="M58" s="455"/>
      <c r="N58" s="456"/>
      <c r="O58" s="456"/>
      <c r="P58" s="456"/>
      <c r="Q58" s="456"/>
      <c r="R58" s="456"/>
      <c r="S58" s="456"/>
      <c r="T58" s="456"/>
      <c r="U58" s="456"/>
      <c r="V58" s="456"/>
      <c r="W58" s="456"/>
      <c r="X58" s="456"/>
    </row>
    <row r="59" spans="1:24" ht="14.25">
      <c r="A59" s="435"/>
      <c r="B59" s="438" t="s">
        <v>178</v>
      </c>
      <c r="L59" s="435"/>
      <c r="M59" s="456"/>
      <c r="N59" s="456"/>
      <c r="O59" s="456"/>
      <c r="P59" s="456"/>
      <c r="Q59" s="456"/>
      <c r="R59" s="456"/>
      <c r="S59" s="456"/>
      <c r="T59" s="456"/>
      <c r="U59" s="456"/>
      <c r="V59" s="456"/>
      <c r="W59" s="456"/>
      <c r="X59" s="456"/>
    </row>
    <row r="60" spans="1:24" ht="14.25">
      <c r="A60" s="435"/>
      <c r="L60" s="435"/>
      <c r="M60" s="456"/>
      <c r="N60" s="456"/>
      <c r="O60" s="456"/>
      <c r="P60" s="456"/>
      <c r="Q60" s="456"/>
      <c r="R60" s="456"/>
      <c r="S60" s="456"/>
      <c r="T60" s="456"/>
      <c r="U60" s="456"/>
      <c r="V60" s="456"/>
      <c r="W60" s="456"/>
      <c r="X60" s="456"/>
    </row>
    <row r="61" spans="1:24" ht="14.25">
      <c r="A61" s="435"/>
      <c r="B61" s="436" t="s">
        <v>1092</v>
      </c>
      <c r="L61" s="435"/>
      <c r="M61" s="456"/>
      <c r="N61" s="456"/>
      <c r="O61" s="456"/>
      <c r="P61" s="456"/>
      <c r="Q61" s="456"/>
      <c r="R61" s="456"/>
      <c r="S61" s="456"/>
      <c r="T61" s="456"/>
      <c r="U61" s="456"/>
      <c r="V61" s="456"/>
      <c r="W61" s="456"/>
      <c r="X61" s="456"/>
    </row>
    <row r="62" spans="1:24" ht="14.25">
      <c r="A62" s="435"/>
      <c r="B62" s="436" t="s">
        <v>261</v>
      </c>
      <c r="L62" s="435"/>
      <c r="M62" s="456"/>
      <c r="N62" s="456"/>
      <c r="O62" s="456"/>
      <c r="P62" s="456"/>
      <c r="Q62" s="456"/>
      <c r="R62" s="456"/>
      <c r="S62" s="456"/>
      <c r="T62" s="456"/>
      <c r="U62" s="456"/>
      <c r="V62" s="456"/>
      <c r="W62" s="456"/>
      <c r="X62" s="456"/>
    </row>
    <row r="63" spans="1:24" ht="14.25">
      <c r="A63" s="435"/>
      <c r="B63" s="436" t="s">
        <v>262</v>
      </c>
      <c r="L63" s="435"/>
      <c r="M63" s="456"/>
      <c r="N63" s="456"/>
      <c r="O63" s="456"/>
      <c r="P63" s="456"/>
      <c r="Q63" s="456"/>
      <c r="R63" s="456"/>
      <c r="S63" s="456"/>
      <c r="T63" s="456"/>
      <c r="U63" s="456"/>
      <c r="V63" s="456"/>
      <c r="W63" s="456"/>
      <c r="X63" s="456"/>
    </row>
    <row r="64" spans="1:24" ht="14.25">
      <c r="A64" s="435"/>
      <c r="L64" s="435"/>
      <c r="M64" s="456"/>
      <c r="N64" s="456"/>
      <c r="O64" s="456"/>
      <c r="P64" s="456"/>
      <c r="Q64" s="456"/>
      <c r="R64" s="456"/>
      <c r="S64" s="456"/>
      <c r="T64" s="456"/>
      <c r="U64" s="456"/>
      <c r="V64" s="456"/>
      <c r="W64" s="456"/>
      <c r="X64" s="456"/>
    </row>
    <row r="65" spans="1:24" ht="14.25">
      <c r="A65" s="435"/>
      <c r="B65" s="436" t="s">
        <v>1093</v>
      </c>
      <c r="L65" s="435"/>
      <c r="M65" s="456"/>
      <c r="N65" s="456"/>
      <c r="O65" s="456"/>
      <c r="P65" s="456"/>
      <c r="Q65" s="456"/>
      <c r="R65" s="456"/>
      <c r="S65" s="456"/>
      <c r="T65" s="456"/>
      <c r="U65" s="456"/>
      <c r="V65" s="456"/>
      <c r="W65" s="456"/>
      <c r="X65" s="456"/>
    </row>
    <row r="66" spans="1:24" ht="14.25">
      <c r="A66" s="435"/>
      <c r="B66" s="436" t="s">
        <v>1094</v>
      </c>
      <c r="L66" s="435"/>
      <c r="M66" s="456"/>
      <c r="N66" s="456"/>
      <c r="O66" s="456"/>
      <c r="P66" s="456"/>
      <c r="Q66" s="456"/>
      <c r="R66" s="456"/>
      <c r="S66" s="456"/>
      <c r="T66" s="456"/>
      <c r="U66" s="456"/>
      <c r="V66" s="456"/>
      <c r="W66" s="456"/>
      <c r="X66" s="456"/>
    </row>
    <row r="67" spans="1:24" ht="14.25">
      <c r="A67" s="435"/>
      <c r="L67" s="435"/>
      <c r="M67" s="456"/>
      <c r="N67" s="456"/>
      <c r="O67" s="456"/>
      <c r="P67" s="456"/>
      <c r="Q67" s="456"/>
      <c r="R67" s="456"/>
      <c r="S67" s="456"/>
      <c r="T67" s="456"/>
      <c r="U67" s="456"/>
      <c r="V67" s="456"/>
      <c r="W67" s="456"/>
      <c r="X67" s="456"/>
    </row>
    <row r="68" spans="1:24" ht="14.25">
      <c r="A68" s="435"/>
      <c r="B68" s="436" t="s">
        <v>1095</v>
      </c>
      <c r="L68" s="435"/>
      <c r="M68" s="457"/>
      <c r="N68" s="458"/>
      <c r="O68" s="458"/>
      <c r="P68" s="458"/>
      <c r="Q68" s="458"/>
      <c r="R68" s="458"/>
      <c r="S68" s="458"/>
      <c r="T68" s="458"/>
      <c r="U68" s="458"/>
      <c r="V68" s="458"/>
      <c r="W68" s="458"/>
      <c r="X68" s="456"/>
    </row>
    <row r="69" spans="1:24" ht="14.25">
      <c r="A69" s="435"/>
      <c r="B69" s="436" t="s">
        <v>263</v>
      </c>
      <c r="L69" s="435"/>
      <c r="M69" s="456"/>
      <c r="N69" s="456"/>
      <c r="O69" s="456"/>
      <c r="P69" s="456"/>
      <c r="Q69" s="456"/>
      <c r="R69" s="456"/>
      <c r="S69" s="456"/>
      <c r="T69" s="456"/>
      <c r="U69" s="456"/>
      <c r="V69" s="456"/>
      <c r="W69" s="456"/>
      <c r="X69" s="456"/>
    </row>
    <row r="70" spans="1:24" ht="14.25">
      <c r="A70" s="435"/>
      <c r="B70" s="436" t="s">
        <v>264</v>
      </c>
      <c r="L70" s="435"/>
      <c r="M70" s="456"/>
      <c r="N70" s="456"/>
      <c r="O70" s="456"/>
      <c r="P70" s="456"/>
      <c r="Q70" s="456"/>
      <c r="R70" s="456"/>
      <c r="S70" s="456"/>
      <c r="T70" s="456"/>
      <c r="U70" s="456"/>
      <c r="V70" s="456"/>
      <c r="W70" s="456"/>
      <c r="X70" s="456"/>
    </row>
    <row r="71" spans="1:12" ht="15" thickBot="1">
      <c r="A71" s="435"/>
      <c r="B71" s="444"/>
      <c r="C71" s="444"/>
      <c r="D71" s="444"/>
      <c r="E71" s="444"/>
      <c r="F71" s="444"/>
      <c r="G71" s="444"/>
      <c r="H71" s="444"/>
      <c r="I71" s="444"/>
      <c r="J71" s="444"/>
      <c r="K71" s="444"/>
      <c r="L71" s="435"/>
    </row>
    <row r="72" spans="1:12" ht="14.25">
      <c r="A72" s="435"/>
      <c r="B72" s="440" t="s">
        <v>167</v>
      </c>
      <c r="C72" s="441"/>
      <c r="D72" s="441"/>
      <c r="E72" s="441"/>
      <c r="F72" s="441"/>
      <c r="G72" s="441"/>
      <c r="H72" s="441"/>
      <c r="I72" s="441"/>
      <c r="J72" s="441"/>
      <c r="K72" s="442"/>
      <c r="L72" s="459"/>
    </row>
    <row r="73" spans="1:12" ht="14.25">
      <c r="A73" s="435"/>
      <c r="B73" s="452"/>
      <c r="C73" s="444" t="s">
        <v>173</v>
      </c>
      <c r="D73" s="444"/>
      <c r="E73" s="444"/>
      <c r="F73" s="444"/>
      <c r="G73" s="444"/>
      <c r="H73" s="444"/>
      <c r="I73" s="444"/>
      <c r="J73" s="444"/>
      <c r="K73" s="446"/>
      <c r="L73" s="459"/>
    </row>
    <row r="74" spans="1:12" ht="14.25">
      <c r="A74" s="435"/>
      <c r="B74" s="452" t="s">
        <v>1096</v>
      </c>
      <c r="C74" s="859">
        <v>312000000</v>
      </c>
      <c r="D74" s="859"/>
      <c r="E74" s="592" t="s">
        <v>172</v>
      </c>
      <c r="F74" s="592">
        <v>1000</v>
      </c>
      <c r="G74" s="592" t="s">
        <v>171</v>
      </c>
      <c r="H74" s="589">
        <f>C74/F74</f>
        <v>312000</v>
      </c>
      <c r="I74" s="444" t="s">
        <v>1097</v>
      </c>
      <c r="J74" s="444"/>
      <c r="K74" s="446"/>
      <c r="L74" s="459"/>
    </row>
    <row r="75" spans="1:12" ht="14.25">
      <c r="A75" s="435"/>
      <c r="B75" s="452"/>
      <c r="C75" s="444"/>
      <c r="D75" s="444"/>
      <c r="E75" s="592"/>
      <c r="F75" s="444"/>
      <c r="G75" s="444"/>
      <c r="H75" s="444"/>
      <c r="I75" s="444"/>
      <c r="J75" s="444"/>
      <c r="K75" s="446"/>
      <c r="L75" s="459"/>
    </row>
    <row r="76" spans="1:12" ht="14.25">
      <c r="A76" s="435"/>
      <c r="B76" s="452"/>
      <c r="C76" s="444" t="s">
        <v>1098</v>
      </c>
      <c r="D76" s="444"/>
      <c r="E76" s="592"/>
      <c r="F76" s="444" t="s">
        <v>1097</v>
      </c>
      <c r="G76" s="444"/>
      <c r="H76" s="444"/>
      <c r="I76" s="444"/>
      <c r="J76" s="444"/>
      <c r="K76" s="446"/>
      <c r="L76" s="459"/>
    </row>
    <row r="77" spans="1:12" ht="14.25">
      <c r="A77" s="435"/>
      <c r="B77" s="452" t="s">
        <v>1101</v>
      </c>
      <c r="C77" s="859">
        <v>50000</v>
      </c>
      <c r="D77" s="859"/>
      <c r="E77" s="592" t="s">
        <v>172</v>
      </c>
      <c r="F77" s="589">
        <f>H74</f>
        <v>312000</v>
      </c>
      <c r="G77" s="592" t="s">
        <v>171</v>
      </c>
      <c r="H77" s="454">
        <f>C77/F77</f>
        <v>0.16025641025641027</v>
      </c>
      <c r="I77" s="444" t="s">
        <v>1099</v>
      </c>
      <c r="J77" s="444"/>
      <c r="K77" s="446"/>
      <c r="L77" s="459"/>
    </row>
    <row r="78" spans="1:12" ht="14.25">
      <c r="A78" s="435"/>
      <c r="B78" s="452"/>
      <c r="C78" s="444"/>
      <c r="D78" s="444"/>
      <c r="E78" s="592"/>
      <c r="F78" s="444"/>
      <c r="G78" s="444"/>
      <c r="H78" s="444"/>
      <c r="I78" s="444"/>
      <c r="J78" s="444"/>
      <c r="K78" s="446"/>
      <c r="L78" s="459"/>
    </row>
    <row r="79" spans="1:12" ht="14.25">
      <c r="A79" s="435"/>
      <c r="B79" s="460"/>
      <c r="C79" s="461" t="s">
        <v>1100</v>
      </c>
      <c r="D79" s="461"/>
      <c r="E79" s="598"/>
      <c r="F79" s="461"/>
      <c r="G79" s="461"/>
      <c r="H79" s="461"/>
      <c r="I79" s="461"/>
      <c r="J79" s="461"/>
      <c r="K79" s="462"/>
      <c r="L79" s="459"/>
    </row>
    <row r="80" spans="1:12" ht="14.25">
      <c r="A80" s="435"/>
      <c r="B80" s="452" t="s">
        <v>1143</v>
      </c>
      <c r="C80" s="859">
        <v>100000</v>
      </c>
      <c r="D80" s="859"/>
      <c r="E80" s="592" t="s">
        <v>425</v>
      </c>
      <c r="F80" s="592">
        <v>0.115</v>
      </c>
      <c r="G80" s="592" t="s">
        <v>171</v>
      </c>
      <c r="H80" s="589">
        <f>C80*F80</f>
        <v>11500</v>
      </c>
      <c r="I80" s="444" t="s">
        <v>1102</v>
      </c>
      <c r="J80" s="444"/>
      <c r="K80" s="446"/>
      <c r="L80" s="459"/>
    </row>
    <row r="81" spans="1:12" ht="14.25">
      <c r="A81" s="435"/>
      <c r="B81" s="452"/>
      <c r="C81" s="444"/>
      <c r="D81" s="444"/>
      <c r="E81" s="592"/>
      <c r="F81" s="444"/>
      <c r="G81" s="444"/>
      <c r="H81" s="444"/>
      <c r="I81" s="444"/>
      <c r="J81" s="444"/>
      <c r="K81" s="446"/>
      <c r="L81" s="459"/>
    </row>
    <row r="82" spans="1:12" ht="14.25">
      <c r="A82" s="435"/>
      <c r="B82" s="460"/>
      <c r="C82" s="461" t="s">
        <v>1103</v>
      </c>
      <c r="D82" s="461"/>
      <c r="E82" s="598"/>
      <c r="F82" s="461" t="s">
        <v>1099</v>
      </c>
      <c r="G82" s="461"/>
      <c r="H82" s="461"/>
      <c r="I82" s="461"/>
      <c r="J82" s="461" t="s">
        <v>1104</v>
      </c>
      <c r="K82" s="462"/>
      <c r="L82" s="459"/>
    </row>
    <row r="83" spans="1:12" ht="14.25">
      <c r="A83" s="435"/>
      <c r="B83" s="452" t="s">
        <v>1144</v>
      </c>
      <c r="C83" s="869">
        <f>H80</f>
        <v>11500</v>
      </c>
      <c r="D83" s="869"/>
      <c r="E83" s="592" t="s">
        <v>425</v>
      </c>
      <c r="F83" s="454">
        <f>H77</f>
        <v>0.16025641025641027</v>
      </c>
      <c r="G83" s="592" t="s">
        <v>172</v>
      </c>
      <c r="H83" s="592">
        <v>1000</v>
      </c>
      <c r="I83" s="592" t="s">
        <v>171</v>
      </c>
      <c r="J83" s="590">
        <f>C83*F83/H83</f>
        <v>1.842948717948718</v>
      </c>
      <c r="K83" s="446"/>
      <c r="L83" s="459"/>
    </row>
    <row r="84" spans="1:12" ht="15" thickBot="1">
      <c r="A84" s="435"/>
      <c r="B84" s="447"/>
      <c r="C84" s="463"/>
      <c r="D84" s="463"/>
      <c r="E84" s="464"/>
      <c r="F84" s="465"/>
      <c r="G84" s="464"/>
      <c r="H84" s="464"/>
      <c r="I84" s="464"/>
      <c r="J84" s="466"/>
      <c r="K84" s="449"/>
      <c r="L84" s="459"/>
    </row>
    <row r="85" spans="1:12" ht="40.5" customHeight="1">
      <c r="A85" s="435"/>
      <c r="B85" s="862" t="s">
        <v>163</v>
      </c>
      <c r="C85" s="862"/>
      <c r="D85" s="862"/>
      <c r="E85" s="862"/>
      <c r="F85" s="862"/>
      <c r="G85" s="862"/>
      <c r="H85" s="862"/>
      <c r="I85" s="862"/>
      <c r="J85" s="862"/>
      <c r="K85" s="862"/>
      <c r="L85" s="435"/>
    </row>
    <row r="86" spans="1:12" ht="14.25">
      <c r="A86" s="435"/>
      <c r="B86" s="866" t="s">
        <v>1105</v>
      </c>
      <c r="C86" s="866"/>
      <c r="D86" s="866"/>
      <c r="E86" s="866"/>
      <c r="F86" s="866"/>
      <c r="G86" s="866"/>
      <c r="H86" s="866"/>
      <c r="I86" s="866"/>
      <c r="J86" s="866"/>
      <c r="K86" s="866"/>
      <c r="L86" s="435"/>
    </row>
    <row r="87" spans="1:12" ht="14.25">
      <c r="A87" s="435"/>
      <c r="B87" s="467"/>
      <c r="C87" s="467"/>
      <c r="D87" s="467"/>
      <c r="E87" s="467"/>
      <c r="F87" s="467"/>
      <c r="G87" s="467"/>
      <c r="H87" s="467"/>
      <c r="I87" s="467"/>
      <c r="J87" s="467"/>
      <c r="K87" s="467"/>
      <c r="L87" s="435"/>
    </row>
    <row r="88" spans="1:12" ht="14.25">
      <c r="A88" s="435"/>
      <c r="B88" s="866" t="s">
        <v>1106</v>
      </c>
      <c r="C88" s="866"/>
      <c r="D88" s="866"/>
      <c r="E88" s="866"/>
      <c r="F88" s="866"/>
      <c r="G88" s="866"/>
      <c r="H88" s="866"/>
      <c r="I88" s="866"/>
      <c r="J88" s="866"/>
      <c r="K88" s="866"/>
      <c r="L88" s="435"/>
    </row>
    <row r="89" spans="1:12" ht="14.25">
      <c r="A89" s="435"/>
      <c r="B89" s="591"/>
      <c r="C89" s="591"/>
      <c r="D89" s="591"/>
      <c r="E89" s="591"/>
      <c r="F89" s="591"/>
      <c r="G89" s="591"/>
      <c r="H89" s="591"/>
      <c r="I89" s="591"/>
      <c r="J89" s="591"/>
      <c r="K89" s="591"/>
      <c r="L89" s="435"/>
    </row>
    <row r="90" spans="1:12" ht="45" customHeight="1">
      <c r="A90" s="435"/>
      <c r="B90" s="864" t="s">
        <v>1107</v>
      </c>
      <c r="C90" s="864"/>
      <c r="D90" s="864"/>
      <c r="E90" s="864"/>
      <c r="F90" s="864"/>
      <c r="G90" s="864"/>
      <c r="H90" s="864"/>
      <c r="I90" s="864"/>
      <c r="J90" s="864"/>
      <c r="K90" s="864"/>
      <c r="L90" s="435"/>
    </row>
    <row r="91" spans="1:12" ht="15" customHeight="1" thickBot="1">
      <c r="A91" s="435"/>
      <c r="L91" s="435"/>
    </row>
    <row r="92" spans="1:12" ht="15" customHeight="1">
      <c r="A92" s="435"/>
      <c r="B92" s="468" t="s">
        <v>167</v>
      </c>
      <c r="C92" s="469"/>
      <c r="D92" s="469"/>
      <c r="E92" s="469"/>
      <c r="F92" s="469"/>
      <c r="G92" s="469"/>
      <c r="H92" s="469"/>
      <c r="I92" s="469"/>
      <c r="J92" s="469"/>
      <c r="K92" s="470"/>
      <c r="L92" s="435"/>
    </row>
    <row r="93" spans="1:12" ht="15" customHeight="1">
      <c r="A93" s="435"/>
      <c r="B93" s="471"/>
      <c r="C93" s="596" t="s">
        <v>173</v>
      </c>
      <c r="D93" s="596"/>
      <c r="E93" s="596"/>
      <c r="F93" s="596"/>
      <c r="G93" s="596"/>
      <c r="H93" s="596"/>
      <c r="I93" s="596"/>
      <c r="J93" s="596"/>
      <c r="K93" s="472"/>
      <c r="L93" s="435"/>
    </row>
    <row r="94" spans="1:12" ht="15" customHeight="1">
      <c r="A94" s="435"/>
      <c r="B94" s="471" t="s">
        <v>1096</v>
      </c>
      <c r="C94" s="859">
        <v>312000000</v>
      </c>
      <c r="D94" s="859"/>
      <c r="E94" s="592" t="s">
        <v>172</v>
      </c>
      <c r="F94" s="592">
        <v>1000</v>
      </c>
      <c r="G94" s="592" t="s">
        <v>171</v>
      </c>
      <c r="H94" s="589">
        <f>C94/F94</f>
        <v>312000</v>
      </c>
      <c r="I94" s="596" t="s">
        <v>1097</v>
      </c>
      <c r="J94" s="596"/>
      <c r="K94" s="472"/>
      <c r="L94" s="435"/>
    </row>
    <row r="95" spans="1:12" ht="15" customHeight="1">
      <c r="A95" s="435"/>
      <c r="B95" s="471"/>
      <c r="C95" s="596"/>
      <c r="D95" s="596"/>
      <c r="E95" s="592"/>
      <c r="F95" s="596"/>
      <c r="G95" s="596"/>
      <c r="H95" s="596"/>
      <c r="I95" s="596"/>
      <c r="J95" s="596"/>
      <c r="K95" s="472"/>
      <c r="L95" s="435"/>
    </row>
    <row r="96" spans="1:12" ht="15" customHeight="1">
      <c r="A96" s="435"/>
      <c r="B96" s="471"/>
      <c r="C96" s="596" t="s">
        <v>1098</v>
      </c>
      <c r="D96" s="596"/>
      <c r="E96" s="592"/>
      <c r="F96" s="596" t="s">
        <v>1097</v>
      </c>
      <c r="G96" s="596"/>
      <c r="H96" s="596"/>
      <c r="I96" s="596"/>
      <c r="J96" s="596"/>
      <c r="K96" s="472"/>
      <c r="L96" s="435"/>
    </row>
    <row r="97" spans="1:12" ht="15" customHeight="1">
      <c r="A97" s="435"/>
      <c r="B97" s="471" t="s">
        <v>1101</v>
      </c>
      <c r="C97" s="859">
        <v>50000</v>
      </c>
      <c r="D97" s="859"/>
      <c r="E97" s="592" t="s">
        <v>172</v>
      </c>
      <c r="F97" s="589">
        <f>H94</f>
        <v>312000</v>
      </c>
      <c r="G97" s="592" t="s">
        <v>171</v>
      </c>
      <c r="H97" s="454">
        <f>C97/F97</f>
        <v>0.16025641025641027</v>
      </c>
      <c r="I97" s="596" t="s">
        <v>1099</v>
      </c>
      <c r="J97" s="596"/>
      <c r="K97" s="472"/>
      <c r="L97" s="435"/>
    </row>
    <row r="98" spans="1:12" ht="15" customHeight="1">
      <c r="A98" s="435"/>
      <c r="B98" s="471"/>
      <c r="C98" s="596"/>
      <c r="D98" s="596"/>
      <c r="E98" s="592"/>
      <c r="F98" s="596"/>
      <c r="G98" s="596"/>
      <c r="H98" s="596"/>
      <c r="I98" s="596"/>
      <c r="J98" s="596"/>
      <c r="K98" s="472"/>
      <c r="L98" s="435"/>
    </row>
    <row r="99" spans="1:12" ht="15" customHeight="1">
      <c r="A99" s="435"/>
      <c r="B99" s="473"/>
      <c r="C99" s="474" t="s">
        <v>1108</v>
      </c>
      <c r="D99" s="474"/>
      <c r="E99" s="598"/>
      <c r="F99" s="474"/>
      <c r="G99" s="474"/>
      <c r="H99" s="474"/>
      <c r="I99" s="474"/>
      <c r="J99" s="474"/>
      <c r="K99" s="475"/>
      <c r="L99" s="435"/>
    </row>
    <row r="100" spans="1:12" ht="15" customHeight="1">
      <c r="A100" s="435"/>
      <c r="B100" s="471" t="s">
        <v>1143</v>
      </c>
      <c r="C100" s="859">
        <v>2500000</v>
      </c>
      <c r="D100" s="859"/>
      <c r="E100" s="592" t="s">
        <v>425</v>
      </c>
      <c r="F100" s="476">
        <v>0.3</v>
      </c>
      <c r="G100" s="592" t="s">
        <v>171</v>
      </c>
      <c r="H100" s="589">
        <f>C100*F100</f>
        <v>750000</v>
      </c>
      <c r="I100" s="596" t="s">
        <v>1102</v>
      </c>
      <c r="J100" s="596"/>
      <c r="K100" s="472"/>
      <c r="L100" s="435"/>
    </row>
    <row r="101" spans="1:12" ht="15" customHeight="1">
      <c r="A101" s="435"/>
      <c r="B101" s="471"/>
      <c r="C101" s="596"/>
      <c r="D101" s="596"/>
      <c r="E101" s="592"/>
      <c r="F101" s="596"/>
      <c r="G101" s="596"/>
      <c r="H101" s="596"/>
      <c r="I101" s="596"/>
      <c r="J101" s="596"/>
      <c r="K101" s="472"/>
      <c r="L101" s="435"/>
    </row>
    <row r="102" spans="1:12" ht="15" customHeight="1">
      <c r="A102" s="435"/>
      <c r="B102" s="473"/>
      <c r="C102" s="474" t="s">
        <v>1103</v>
      </c>
      <c r="D102" s="474"/>
      <c r="E102" s="598"/>
      <c r="F102" s="474" t="s">
        <v>1099</v>
      </c>
      <c r="G102" s="474"/>
      <c r="H102" s="474"/>
      <c r="I102" s="474"/>
      <c r="J102" s="474" t="s">
        <v>1104</v>
      </c>
      <c r="K102" s="475"/>
      <c r="L102" s="435"/>
    </row>
    <row r="103" spans="1:12" ht="15" customHeight="1">
      <c r="A103" s="435"/>
      <c r="B103" s="471" t="s">
        <v>1144</v>
      </c>
      <c r="C103" s="869">
        <f>H100</f>
        <v>750000</v>
      </c>
      <c r="D103" s="869"/>
      <c r="E103" s="592" t="s">
        <v>425</v>
      </c>
      <c r="F103" s="454">
        <f>H97</f>
        <v>0.16025641025641027</v>
      </c>
      <c r="G103" s="592" t="s">
        <v>172</v>
      </c>
      <c r="H103" s="592">
        <v>1000</v>
      </c>
      <c r="I103" s="592" t="s">
        <v>171</v>
      </c>
      <c r="J103" s="590">
        <f>C103*F103/H103</f>
        <v>120.19230769230771</v>
      </c>
      <c r="K103" s="472"/>
      <c r="L103" s="435"/>
    </row>
    <row r="104" spans="1:12" ht="15" customHeight="1" thickBot="1">
      <c r="A104" s="435"/>
      <c r="B104" s="477"/>
      <c r="C104" s="463"/>
      <c r="D104" s="463"/>
      <c r="E104" s="464"/>
      <c r="F104" s="465"/>
      <c r="G104" s="464"/>
      <c r="H104" s="464"/>
      <c r="I104" s="464"/>
      <c r="J104" s="466"/>
      <c r="K104" s="597"/>
      <c r="L104" s="435"/>
    </row>
    <row r="105" spans="1:12" ht="40.5" customHeight="1">
      <c r="A105" s="435"/>
      <c r="B105" s="862" t="s">
        <v>163</v>
      </c>
      <c r="C105" s="872"/>
      <c r="D105" s="872"/>
      <c r="E105" s="872"/>
      <c r="F105" s="872"/>
      <c r="G105" s="872"/>
      <c r="H105" s="872"/>
      <c r="I105" s="872"/>
      <c r="J105" s="872"/>
      <c r="K105" s="872"/>
      <c r="L105" s="435"/>
    </row>
    <row r="106" spans="1:12" ht="15" customHeight="1">
      <c r="A106" s="435"/>
      <c r="B106" s="860" t="s">
        <v>1109</v>
      </c>
      <c r="C106" s="861"/>
      <c r="D106" s="861"/>
      <c r="E106" s="861"/>
      <c r="F106" s="861"/>
      <c r="G106" s="861"/>
      <c r="H106" s="861"/>
      <c r="I106" s="861"/>
      <c r="J106" s="861"/>
      <c r="K106" s="861"/>
      <c r="L106" s="435"/>
    </row>
    <row r="107" spans="1:12" ht="15" customHeight="1">
      <c r="A107" s="435"/>
      <c r="B107" s="596"/>
      <c r="C107" s="478"/>
      <c r="D107" s="478"/>
      <c r="E107" s="592"/>
      <c r="F107" s="454"/>
      <c r="G107" s="592"/>
      <c r="H107" s="592"/>
      <c r="I107" s="592"/>
      <c r="J107" s="590"/>
      <c r="K107" s="596"/>
      <c r="L107" s="435"/>
    </row>
    <row r="108" spans="1:12" ht="15" customHeight="1">
      <c r="A108" s="435"/>
      <c r="B108" s="860" t="s">
        <v>1110</v>
      </c>
      <c r="C108" s="870"/>
      <c r="D108" s="870"/>
      <c r="E108" s="870"/>
      <c r="F108" s="870"/>
      <c r="G108" s="870"/>
      <c r="H108" s="870"/>
      <c r="I108" s="870"/>
      <c r="J108" s="870"/>
      <c r="K108" s="870"/>
      <c r="L108" s="435"/>
    </row>
    <row r="109" spans="1:12" ht="15" customHeight="1">
      <c r="A109" s="435"/>
      <c r="B109" s="596"/>
      <c r="C109" s="478"/>
      <c r="D109" s="478"/>
      <c r="E109" s="592"/>
      <c r="F109" s="454"/>
      <c r="G109" s="592"/>
      <c r="H109" s="592"/>
      <c r="I109" s="592"/>
      <c r="J109" s="590"/>
      <c r="K109" s="596"/>
      <c r="L109" s="435"/>
    </row>
    <row r="110" spans="1:12" ht="59.25" customHeight="1">
      <c r="A110" s="435"/>
      <c r="B110" s="871" t="s">
        <v>1111</v>
      </c>
      <c r="C110" s="865"/>
      <c r="D110" s="865"/>
      <c r="E110" s="865"/>
      <c r="F110" s="865"/>
      <c r="G110" s="865"/>
      <c r="H110" s="865"/>
      <c r="I110" s="865"/>
      <c r="J110" s="865"/>
      <c r="K110" s="865"/>
      <c r="L110" s="435"/>
    </row>
    <row r="111" spans="1:12" ht="15" thickBot="1">
      <c r="A111" s="435"/>
      <c r="B111" s="594"/>
      <c r="C111" s="594"/>
      <c r="D111" s="594"/>
      <c r="E111" s="594"/>
      <c r="F111" s="594"/>
      <c r="G111" s="594"/>
      <c r="H111" s="594"/>
      <c r="I111" s="594"/>
      <c r="J111" s="594"/>
      <c r="K111" s="594"/>
      <c r="L111" s="479"/>
    </row>
    <row r="112" spans="1:12" ht="14.25">
      <c r="A112" s="435"/>
      <c r="B112" s="440" t="s">
        <v>167</v>
      </c>
      <c r="C112" s="441"/>
      <c r="D112" s="441"/>
      <c r="E112" s="441"/>
      <c r="F112" s="441"/>
      <c r="G112" s="441"/>
      <c r="H112" s="441"/>
      <c r="I112" s="441"/>
      <c r="J112" s="441"/>
      <c r="K112" s="442"/>
      <c r="L112" s="435"/>
    </row>
    <row r="113" spans="1:12" ht="14.25">
      <c r="A113" s="435"/>
      <c r="B113" s="452"/>
      <c r="C113" s="444" t="s">
        <v>173</v>
      </c>
      <c r="D113" s="444"/>
      <c r="E113" s="444"/>
      <c r="F113" s="444"/>
      <c r="G113" s="444"/>
      <c r="H113" s="444"/>
      <c r="I113" s="444"/>
      <c r="J113" s="444"/>
      <c r="K113" s="446"/>
      <c r="L113" s="435"/>
    </row>
    <row r="114" spans="1:12" ht="14.25">
      <c r="A114" s="435"/>
      <c r="B114" s="452" t="s">
        <v>1096</v>
      </c>
      <c r="C114" s="859">
        <v>312000000</v>
      </c>
      <c r="D114" s="859"/>
      <c r="E114" s="592" t="s">
        <v>172</v>
      </c>
      <c r="F114" s="592">
        <v>1000</v>
      </c>
      <c r="G114" s="592" t="s">
        <v>171</v>
      </c>
      <c r="H114" s="589">
        <f>C114/F114</f>
        <v>312000</v>
      </c>
      <c r="I114" s="444" t="s">
        <v>1097</v>
      </c>
      <c r="J114" s="444"/>
      <c r="K114" s="446"/>
      <c r="L114" s="435"/>
    </row>
    <row r="115" spans="1:12" ht="14.25">
      <c r="A115" s="435"/>
      <c r="B115" s="452"/>
      <c r="C115" s="444"/>
      <c r="D115" s="444"/>
      <c r="E115" s="592"/>
      <c r="F115" s="444"/>
      <c r="G115" s="444"/>
      <c r="H115" s="444"/>
      <c r="I115" s="444"/>
      <c r="J115" s="444"/>
      <c r="K115" s="446"/>
      <c r="L115" s="435"/>
    </row>
    <row r="116" spans="1:12" ht="14.25">
      <c r="A116" s="435"/>
      <c r="B116" s="452"/>
      <c r="C116" s="444" t="s">
        <v>1098</v>
      </c>
      <c r="D116" s="444"/>
      <c r="E116" s="592"/>
      <c r="F116" s="444" t="s">
        <v>1097</v>
      </c>
      <c r="G116" s="444"/>
      <c r="H116" s="444"/>
      <c r="I116" s="444"/>
      <c r="J116" s="444"/>
      <c r="K116" s="446"/>
      <c r="L116" s="435"/>
    </row>
    <row r="117" spans="1:12" ht="14.25">
      <c r="A117" s="435"/>
      <c r="B117" s="452" t="s">
        <v>1101</v>
      </c>
      <c r="C117" s="859">
        <v>50000</v>
      </c>
      <c r="D117" s="859"/>
      <c r="E117" s="592" t="s">
        <v>172</v>
      </c>
      <c r="F117" s="589">
        <f>H114</f>
        <v>312000</v>
      </c>
      <c r="G117" s="592" t="s">
        <v>171</v>
      </c>
      <c r="H117" s="454">
        <f>C117/F117</f>
        <v>0.16025641025641027</v>
      </c>
      <c r="I117" s="444" t="s">
        <v>1099</v>
      </c>
      <c r="J117" s="444"/>
      <c r="K117" s="446"/>
      <c r="L117" s="435"/>
    </row>
    <row r="118" spans="1:12" ht="14.25">
      <c r="A118" s="435"/>
      <c r="B118" s="452"/>
      <c r="C118" s="444"/>
      <c r="D118" s="444"/>
      <c r="E118" s="592"/>
      <c r="F118" s="444"/>
      <c r="G118" s="444"/>
      <c r="H118" s="444"/>
      <c r="I118" s="444"/>
      <c r="J118" s="444"/>
      <c r="K118" s="446"/>
      <c r="L118" s="435"/>
    </row>
    <row r="119" spans="1:12" ht="14.25">
      <c r="A119" s="435"/>
      <c r="B119" s="460"/>
      <c r="C119" s="461" t="s">
        <v>1108</v>
      </c>
      <c r="D119" s="461"/>
      <c r="E119" s="598"/>
      <c r="F119" s="461"/>
      <c r="G119" s="461"/>
      <c r="H119" s="461"/>
      <c r="I119" s="461"/>
      <c r="J119" s="461"/>
      <c r="K119" s="462"/>
      <c r="L119" s="435"/>
    </row>
    <row r="120" spans="1:12" ht="14.25">
      <c r="A120" s="435"/>
      <c r="B120" s="452" t="s">
        <v>1143</v>
      </c>
      <c r="C120" s="859">
        <v>2500000</v>
      </c>
      <c r="D120" s="859"/>
      <c r="E120" s="592" t="s">
        <v>425</v>
      </c>
      <c r="F120" s="476">
        <v>0.25</v>
      </c>
      <c r="G120" s="592" t="s">
        <v>171</v>
      </c>
      <c r="H120" s="589">
        <f>C120*F120</f>
        <v>625000</v>
      </c>
      <c r="I120" s="444" t="s">
        <v>1102</v>
      </c>
      <c r="J120" s="444"/>
      <c r="K120" s="446"/>
      <c r="L120" s="435"/>
    </row>
    <row r="121" spans="1:12" ht="14.25">
      <c r="A121" s="435"/>
      <c r="B121" s="452"/>
      <c r="C121" s="444"/>
      <c r="D121" s="444"/>
      <c r="E121" s="592"/>
      <c r="F121" s="444"/>
      <c r="G121" s="444"/>
      <c r="H121" s="444"/>
      <c r="I121" s="444"/>
      <c r="J121" s="444"/>
      <c r="K121" s="446"/>
      <c r="L121" s="435"/>
    </row>
    <row r="122" spans="1:12" ht="14.25">
      <c r="A122" s="435"/>
      <c r="B122" s="460"/>
      <c r="C122" s="461" t="s">
        <v>1103</v>
      </c>
      <c r="D122" s="461"/>
      <c r="E122" s="598"/>
      <c r="F122" s="461" t="s">
        <v>1099</v>
      </c>
      <c r="G122" s="461"/>
      <c r="H122" s="461"/>
      <c r="I122" s="461"/>
      <c r="J122" s="461" t="s">
        <v>1104</v>
      </c>
      <c r="K122" s="462"/>
      <c r="L122" s="435"/>
    </row>
    <row r="123" spans="1:12" ht="14.25">
      <c r="A123" s="435"/>
      <c r="B123" s="452" t="s">
        <v>1144</v>
      </c>
      <c r="C123" s="869">
        <f>H120</f>
        <v>625000</v>
      </c>
      <c r="D123" s="869"/>
      <c r="E123" s="592" t="s">
        <v>425</v>
      </c>
      <c r="F123" s="454">
        <f>H117</f>
        <v>0.16025641025641027</v>
      </c>
      <c r="G123" s="592" t="s">
        <v>172</v>
      </c>
      <c r="H123" s="592">
        <v>1000</v>
      </c>
      <c r="I123" s="592" t="s">
        <v>171</v>
      </c>
      <c r="J123" s="590">
        <f>C123*F123/H123</f>
        <v>100.16025641025642</v>
      </c>
      <c r="K123" s="446"/>
      <c r="L123" s="435"/>
    </row>
    <row r="124" spans="1:12" ht="15" thickBot="1">
      <c r="A124" s="435"/>
      <c r="B124" s="447"/>
      <c r="C124" s="463"/>
      <c r="D124" s="463"/>
      <c r="E124" s="464"/>
      <c r="F124" s="465"/>
      <c r="G124" s="464"/>
      <c r="H124" s="464"/>
      <c r="I124" s="464"/>
      <c r="J124" s="466"/>
      <c r="K124" s="449"/>
      <c r="L124" s="435"/>
    </row>
    <row r="125" spans="1:12" ht="40.5" customHeight="1">
      <c r="A125" s="435"/>
      <c r="B125" s="862" t="s">
        <v>163</v>
      </c>
      <c r="C125" s="862"/>
      <c r="D125" s="862"/>
      <c r="E125" s="862"/>
      <c r="F125" s="862"/>
      <c r="G125" s="862"/>
      <c r="H125" s="862"/>
      <c r="I125" s="862"/>
      <c r="J125" s="862"/>
      <c r="K125" s="862"/>
      <c r="L125" s="479"/>
    </row>
    <row r="126" spans="1:12" ht="14.25">
      <c r="A126" s="435"/>
      <c r="B126" s="866" t="s">
        <v>1112</v>
      </c>
      <c r="C126" s="866"/>
      <c r="D126" s="866"/>
      <c r="E126" s="866"/>
      <c r="F126" s="866"/>
      <c r="G126" s="866"/>
      <c r="H126" s="866"/>
      <c r="I126" s="866"/>
      <c r="J126" s="866"/>
      <c r="K126" s="866"/>
      <c r="L126" s="479"/>
    </row>
    <row r="127" spans="1:12" ht="14.25">
      <c r="A127" s="435"/>
      <c r="B127" s="594"/>
      <c r="C127" s="594"/>
      <c r="D127" s="594"/>
      <c r="E127" s="594"/>
      <c r="F127" s="594"/>
      <c r="G127" s="594"/>
      <c r="H127" s="594"/>
      <c r="I127" s="594"/>
      <c r="J127" s="594"/>
      <c r="K127" s="594"/>
      <c r="L127" s="479"/>
    </row>
    <row r="128" spans="1:12" ht="14.25">
      <c r="A128" s="435"/>
      <c r="B128" s="866" t="s">
        <v>1113</v>
      </c>
      <c r="C128" s="866"/>
      <c r="D128" s="866"/>
      <c r="E128" s="866"/>
      <c r="F128" s="866"/>
      <c r="G128" s="866"/>
      <c r="H128" s="866"/>
      <c r="I128" s="866"/>
      <c r="J128" s="866"/>
      <c r="K128" s="866"/>
      <c r="L128" s="479"/>
    </row>
    <row r="129" spans="1:12" ht="14.25">
      <c r="A129" s="435"/>
      <c r="B129" s="591"/>
      <c r="C129" s="591"/>
      <c r="D129" s="591"/>
      <c r="E129" s="591"/>
      <c r="F129" s="591"/>
      <c r="G129" s="591"/>
      <c r="H129" s="591"/>
      <c r="I129" s="591"/>
      <c r="J129" s="591"/>
      <c r="K129" s="591"/>
      <c r="L129" s="479"/>
    </row>
    <row r="130" spans="1:12" ht="74.25" customHeight="1">
      <c r="A130" s="435"/>
      <c r="B130" s="864" t="s">
        <v>1145</v>
      </c>
      <c r="C130" s="864"/>
      <c r="D130" s="864"/>
      <c r="E130" s="864"/>
      <c r="F130" s="864"/>
      <c r="G130" s="864"/>
      <c r="H130" s="864"/>
      <c r="I130" s="864"/>
      <c r="J130" s="864"/>
      <c r="K130" s="864"/>
      <c r="L130" s="479"/>
    </row>
    <row r="131" spans="1:12" ht="15" thickBot="1">
      <c r="A131" s="435"/>
      <c r="L131" s="435"/>
    </row>
    <row r="132" spans="1:12" ht="14.25">
      <c r="A132" s="435"/>
      <c r="B132" s="440" t="s">
        <v>167</v>
      </c>
      <c r="C132" s="441"/>
      <c r="D132" s="441"/>
      <c r="E132" s="441"/>
      <c r="F132" s="441"/>
      <c r="G132" s="441"/>
      <c r="H132" s="441"/>
      <c r="I132" s="441"/>
      <c r="J132" s="441"/>
      <c r="K132" s="442"/>
      <c r="L132" s="435"/>
    </row>
    <row r="133" spans="1:12" ht="14.25">
      <c r="A133" s="435"/>
      <c r="B133" s="452"/>
      <c r="C133" s="880" t="s">
        <v>1114</v>
      </c>
      <c r="D133" s="880"/>
      <c r="E133" s="444"/>
      <c r="F133" s="592" t="s">
        <v>1115</v>
      </c>
      <c r="G133" s="444"/>
      <c r="H133" s="880" t="s">
        <v>1102</v>
      </c>
      <c r="I133" s="880"/>
      <c r="J133" s="444"/>
      <c r="K133" s="446"/>
      <c r="L133" s="435"/>
    </row>
    <row r="134" spans="1:12" ht="14.25">
      <c r="A134" s="435"/>
      <c r="B134" s="452" t="s">
        <v>1096</v>
      </c>
      <c r="C134" s="859">
        <v>100000</v>
      </c>
      <c r="D134" s="859"/>
      <c r="E134" s="592" t="s">
        <v>425</v>
      </c>
      <c r="F134" s="592">
        <v>0.115</v>
      </c>
      <c r="G134" s="592" t="s">
        <v>171</v>
      </c>
      <c r="H134" s="884">
        <f>C134*F134</f>
        <v>11500</v>
      </c>
      <c r="I134" s="884"/>
      <c r="J134" s="444"/>
      <c r="K134" s="446"/>
      <c r="L134" s="435"/>
    </row>
    <row r="135" spans="1:12" ht="14.25">
      <c r="A135" s="435"/>
      <c r="B135" s="452"/>
      <c r="C135" s="444"/>
      <c r="D135" s="444"/>
      <c r="E135" s="444"/>
      <c r="F135" s="444"/>
      <c r="G135" s="444"/>
      <c r="H135" s="444"/>
      <c r="I135" s="444"/>
      <c r="J135" s="444"/>
      <c r="K135" s="446"/>
      <c r="L135" s="435"/>
    </row>
    <row r="136" spans="1:12" ht="14.25">
      <c r="A136" s="435"/>
      <c r="B136" s="460"/>
      <c r="C136" s="885" t="s">
        <v>1102</v>
      </c>
      <c r="D136" s="885"/>
      <c r="E136" s="461"/>
      <c r="F136" s="598" t="s">
        <v>1116</v>
      </c>
      <c r="G136" s="598"/>
      <c r="H136" s="461"/>
      <c r="I136" s="461"/>
      <c r="J136" s="461" t="s">
        <v>1117</v>
      </c>
      <c r="K136" s="462"/>
      <c r="L136" s="435"/>
    </row>
    <row r="137" spans="1:12" ht="14.25">
      <c r="A137" s="435"/>
      <c r="B137" s="452" t="s">
        <v>1101</v>
      </c>
      <c r="C137" s="884">
        <f>H134</f>
        <v>11500</v>
      </c>
      <c r="D137" s="884"/>
      <c r="E137" s="592" t="s">
        <v>425</v>
      </c>
      <c r="F137" s="480">
        <v>52.869</v>
      </c>
      <c r="G137" s="592" t="s">
        <v>172</v>
      </c>
      <c r="H137" s="592">
        <v>1000</v>
      </c>
      <c r="I137" s="592" t="s">
        <v>171</v>
      </c>
      <c r="J137" s="481">
        <f>C137*F137/H137</f>
        <v>607.9935</v>
      </c>
      <c r="K137" s="446"/>
      <c r="L137" s="435"/>
    </row>
    <row r="138" spans="1:12" ht="15" thickBot="1">
      <c r="A138" s="435"/>
      <c r="B138" s="447"/>
      <c r="C138" s="576"/>
      <c r="D138" s="576"/>
      <c r="E138" s="464"/>
      <c r="F138" s="577"/>
      <c r="G138" s="464"/>
      <c r="H138" s="464"/>
      <c r="I138" s="464"/>
      <c r="J138" s="578"/>
      <c r="K138" s="449"/>
      <c r="L138" s="435"/>
    </row>
    <row r="139" spans="1:12" ht="40.5" customHeight="1">
      <c r="A139" s="435"/>
      <c r="B139" s="563" t="s">
        <v>163</v>
      </c>
      <c r="C139" s="564"/>
      <c r="D139" s="564"/>
      <c r="E139" s="565"/>
      <c r="F139" s="566"/>
      <c r="G139" s="565"/>
      <c r="H139" s="565"/>
      <c r="I139" s="565"/>
      <c r="J139" s="567"/>
      <c r="K139" s="568"/>
      <c r="L139" s="435"/>
    </row>
    <row r="140" spans="1:12" ht="14.25">
      <c r="A140" s="435"/>
      <c r="B140" s="569" t="s">
        <v>1146</v>
      </c>
      <c r="C140" s="570"/>
      <c r="D140" s="570"/>
      <c r="E140" s="571"/>
      <c r="F140" s="572"/>
      <c r="G140" s="571"/>
      <c r="H140" s="571"/>
      <c r="I140" s="571"/>
      <c r="J140" s="573"/>
      <c r="K140" s="574"/>
      <c r="L140" s="435"/>
    </row>
    <row r="141" spans="1:12" ht="14.25">
      <c r="A141" s="435"/>
      <c r="B141" s="452"/>
      <c r="C141" s="589"/>
      <c r="D141" s="589"/>
      <c r="E141" s="592"/>
      <c r="F141" s="579"/>
      <c r="G141" s="592"/>
      <c r="H141" s="592"/>
      <c r="I141" s="592"/>
      <c r="J141" s="481"/>
      <c r="K141" s="446"/>
      <c r="L141" s="435"/>
    </row>
    <row r="142" spans="1:12" ht="14.25">
      <c r="A142" s="435"/>
      <c r="B142" s="569" t="s">
        <v>1147</v>
      </c>
      <c r="C142" s="570"/>
      <c r="D142" s="570"/>
      <c r="E142" s="571"/>
      <c r="F142" s="572"/>
      <c r="G142" s="571"/>
      <c r="H142" s="571"/>
      <c r="I142" s="571"/>
      <c r="J142" s="573"/>
      <c r="K142" s="574"/>
      <c r="L142" s="435"/>
    </row>
    <row r="143" spans="1:12" ht="14.25">
      <c r="A143" s="435"/>
      <c r="B143" s="452"/>
      <c r="C143" s="589"/>
      <c r="D143" s="589"/>
      <c r="E143" s="592"/>
      <c r="F143" s="579"/>
      <c r="G143" s="592"/>
      <c r="H143" s="592"/>
      <c r="I143" s="592"/>
      <c r="J143" s="481"/>
      <c r="K143" s="446"/>
      <c r="L143" s="435"/>
    </row>
    <row r="144" spans="1:12" ht="76.5" customHeight="1">
      <c r="A144" s="435"/>
      <c r="B144" s="886" t="s">
        <v>1148</v>
      </c>
      <c r="C144" s="887"/>
      <c r="D144" s="887"/>
      <c r="E144" s="887"/>
      <c r="F144" s="887"/>
      <c r="G144" s="887"/>
      <c r="H144" s="887"/>
      <c r="I144" s="887"/>
      <c r="J144" s="887"/>
      <c r="K144" s="888"/>
      <c r="L144" s="435"/>
    </row>
    <row r="145" spans="1:12" ht="15" thickBot="1">
      <c r="A145" s="435"/>
      <c r="B145" s="452"/>
      <c r="C145" s="589"/>
      <c r="D145" s="589"/>
      <c r="E145" s="592"/>
      <c r="F145" s="579"/>
      <c r="G145" s="592"/>
      <c r="H145" s="592"/>
      <c r="I145" s="592"/>
      <c r="J145" s="481"/>
      <c r="K145" s="446"/>
      <c r="L145" s="435"/>
    </row>
    <row r="146" spans="1:12" ht="14.25">
      <c r="A146" s="435"/>
      <c r="B146" s="440" t="s">
        <v>167</v>
      </c>
      <c r="C146" s="580"/>
      <c r="D146" s="580"/>
      <c r="E146" s="581"/>
      <c r="F146" s="582"/>
      <c r="G146" s="581"/>
      <c r="H146" s="581"/>
      <c r="I146" s="581"/>
      <c r="J146" s="583"/>
      <c r="K146" s="442"/>
      <c r="L146" s="435"/>
    </row>
    <row r="147" spans="1:12" ht="14.25">
      <c r="A147" s="435"/>
      <c r="B147" s="452"/>
      <c r="C147" s="884" t="s">
        <v>1149</v>
      </c>
      <c r="D147" s="884"/>
      <c r="E147" s="592"/>
      <c r="F147" s="579" t="s">
        <v>1150</v>
      </c>
      <c r="G147" s="592"/>
      <c r="H147" s="592"/>
      <c r="I147" s="592"/>
      <c r="J147" s="882" t="s">
        <v>1151</v>
      </c>
      <c r="K147" s="889"/>
      <c r="L147" s="435"/>
    </row>
    <row r="148" spans="1:12" ht="14.25">
      <c r="A148" s="435"/>
      <c r="B148" s="452"/>
      <c r="C148" s="881">
        <v>52.869</v>
      </c>
      <c r="D148" s="881"/>
      <c r="E148" s="592" t="s">
        <v>425</v>
      </c>
      <c r="F148" s="593">
        <v>312000000</v>
      </c>
      <c r="G148" s="584" t="s">
        <v>172</v>
      </c>
      <c r="H148" s="592">
        <v>1000</v>
      </c>
      <c r="I148" s="592" t="s">
        <v>171</v>
      </c>
      <c r="J148" s="882">
        <f>C148*(F148/1000)</f>
        <v>16495128</v>
      </c>
      <c r="K148" s="883"/>
      <c r="L148" s="435"/>
    </row>
    <row r="149" spans="1:12" ht="15" thickBot="1">
      <c r="A149" s="435"/>
      <c r="B149" s="447"/>
      <c r="C149" s="576"/>
      <c r="D149" s="576"/>
      <c r="E149" s="464"/>
      <c r="F149" s="577"/>
      <c r="G149" s="464"/>
      <c r="H149" s="464"/>
      <c r="I149" s="464"/>
      <c r="J149" s="578"/>
      <c r="K149" s="449"/>
      <c r="L149" s="435"/>
    </row>
    <row r="150" spans="1:12" ht="15" thickBot="1">
      <c r="A150" s="435"/>
      <c r="B150" s="447"/>
      <c r="C150" s="448"/>
      <c r="D150" s="448"/>
      <c r="E150" s="448"/>
      <c r="F150" s="448"/>
      <c r="G150" s="448"/>
      <c r="H150" s="448"/>
      <c r="I150" s="448"/>
      <c r="J150" s="448"/>
      <c r="K150" s="449"/>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482"/>
      <c r="B154" s="482"/>
      <c r="C154" s="482"/>
      <c r="D154" s="482"/>
      <c r="E154" s="482"/>
      <c r="F154" s="482"/>
      <c r="G154" s="482"/>
      <c r="H154" s="482"/>
      <c r="I154" s="482"/>
      <c r="J154" s="482"/>
      <c r="K154" s="482"/>
      <c r="L154" s="482"/>
    </row>
    <row r="155" spans="1:12" ht="14.25">
      <c r="A155" s="482"/>
      <c r="B155" s="482"/>
      <c r="C155" s="482"/>
      <c r="D155" s="482"/>
      <c r="E155" s="482"/>
      <c r="F155" s="482"/>
      <c r="G155" s="482"/>
      <c r="H155" s="482"/>
      <c r="I155" s="482"/>
      <c r="J155" s="482"/>
      <c r="K155" s="482"/>
      <c r="L155" s="482"/>
    </row>
    <row r="156" spans="1:12" ht="14.25">
      <c r="A156" s="482"/>
      <c r="B156" s="482"/>
      <c r="C156" s="482"/>
      <c r="D156" s="482"/>
      <c r="E156" s="482"/>
      <c r="F156" s="482"/>
      <c r="G156" s="482"/>
      <c r="H156" s="482"/>
      <c r="I156" s="482"/>
      <c r="J156" s="482"/>
      <c r="K156" s="482"/>
      <c r="L156" s="482"/>
    </row>
    <row r="157" spans="1:12" ht="14.25">
      <c r="A157" s="482"/>
      <c r="B157" s="482"/>
      <c r="C157" s="482"/>
      <c r="D157" s="482"/>
      <c r="E157" s="482"/>
      <c r="F157" s="482"/>
      <c r="G157" s="482"/>
      <c r="H157" s="482"/>
      <c r="I157" s="482"/>
      <c r="J157" s="482"/>
      <c r="K157" s="482"/>
      <c r="L157" s="482"/>
    </row>
    <row r="158" spans="1:12" ht="14.25">
      <c r="A158" s="482"/>
      <c r="B158" s="482"/>
      <c r="C158" s="482"/>
      <c r="D158" s="482"/>
      <c r="E158" s="482"/>
      <c r="F158" s="482"/>
      <c r="G158" s="482"/>
      <c r="H158" s="482"/>
      <c r="I158" s="482"/>
      <c r="J158" s="482"/>
      <c r="K158" s="482"/>
      <c r="L158" s="482"/>
    </row>
    <row r="159" spans="1:12" ht="14.25">
      <c r="A159" s="482"/>
      <c r="B159" s="482"/>
      <c r="C159" s="482"/>
      <c r="D159" s="482"/>
      <c r="E159" s="482"/>
      <c r="F159" s="482"/>
      <c r="G159" s="482"/>
      <c r="H159" s="482"/>
      <c r="I159" s="482"/>
      <c r="J159" s="482"/>
      <c r="K159" s="482"/>
      <c r="L159" s="482"/>
    </row>
    <row r="160" spans="1:12" ht="14.25">
      <c r="A160" s="482"/>
      <c r="B160" s="482"/>
      <c r="C160" s="482"/>
      <c r="D160" s="482"/>
      <c r="E160" s="482"/>
      <c r="F160" s="482"/>
      <c r="G160" s="482"/>
      <c r="H160" s="482"/>
      <c r="I160" s="482"/>
      <c r="J160" s="482"/>
      <c r="K160" s="482"/>
      <c r="L160" s="482"/>
    </row>
    <row r="161" spans="1:12" ht="14.25">
      <c r="A161" s="482"/>
      <c r="B161" s="482"/>
      <c r="C161" s="482"/>
      <c r="D161" s="482"/>
      <c r="E161" s="482"/>
      <c r="F161" s="482"/>
      <c r="G161" s="482"/>
      <c r="H161" s="482"/>
      <c r="I161" s="482"/>
      <c r="J161" s="482"/>
      <c r="K161" s="482"/>
      <c r="L161" s="482"/>
    </row>
    <row r="162" spans="1:12" ht="14.25">
      <c r="A162" s="482"/>
      <c r="B162" s="482"/>
      <c r="C162" s="482"/>
      <c r="D162" s="482"/>
      <c r="E162" s="482"/>
      <c r="F162" s="482"/>
      <c r="G162" s="482"/>
      <c r="H162" s="482"/>
      <c r="I162" s="482"/>
      <c r="J162" s="482"/>
      <c r="K162" s="482"/>
      <c r="L162" s="482"/>
    </row>
    <row r="163" spans="1:12" ht="14.25">
      <c r="A163" s="482"/>
      <c r="B163" s="482"/>
      <c r="C163" s="482"/>
      <c r="D163" s="482"/>
      <c r="E163" s="482"/>
      <c r="F163" s="482"/>
      <c r="G163" s="482"/>
      <c r="H163" s="482"/>
      <c r="I163" s="482"/>
      <c r="J163" s="482"/>
      <c r="K163" s="482"/>
      <c r="L163" s="482"/>
    </row>
    <row r="164" spans="1:12" ht="14.25">
      <c r="A164" s="482"/>
      <c r="B164" s="482"/>
      <c r="C164" s="482"/>
      <c r="D164" s="482"/>
      <c r="E164" s="482"/>
      <c r="F164" s="482"/>
      <c r="G164" s="482"/>
      <c r="H164" s="482"/>
      <c r="I164" s="482"/>
      <c r="J164" s="482"/>
      <c r="K164" s="482"/>
      <c r="L164" s="482"/>
    </row>
    <row r="165" spans="1:12" ht="14.25">
      <c r="A165" s="482"/>
      <c r="B165" s="482"/>
      <c r="C165" s="482"/>
      <c r="D165" s="482"/>
      <c r="E165" s="482"/>
      <c r="F165" s="482"/>
      <c r="G165" s="482"/>
      <c r="H165" s="482"/>
      <c r="I165" s="482"/>
      <c r="J165" s="482"/>
      <c r="K165" s="482"/>
      <c r="L165" s="482"/>
    </row>
    <row r="166" spans="1:12" ht="14.25">
      <c r="A166" s="482"/>
      <c r="B166" s="482"/>
      <c r="C166" s="482"/>
      <c r="D166" s="482"/>
      <c r="E166" s="482"/>
      <c r="F166" s="482"/>
      <c r="G166" s="482"/>
      <c r="H166" s="482"/>
      <c r="I166" s="482"/>
      <c r="J166" s="482"/>
      <c r="K166" s="482"/>
      <c r="L166" s="482"/>
    </row>
    <row r="167" spans="1:12" ht="14.25">
      <c r="A167" s="482"/>
      <c r="B167" s="482"/>
      <c r="C167" s="482"/>
      <c r="D167" s="482"/>
      <c r="E167" s="482"/>
      <c r="F167" s="482"/>
      <c r="G167" s="482"/>
      <c r="H167" s="482"/>
      <c r="I167" s="482"/>
      <c r="J167" s="482"/>
      <c r="K167" s="482"/>
      <c r="L167" s="482"/>
    </row>
    <row r="168" spans="1:12" ht="14.25">
      <c r="A168" s="482"/>
      <c r="B168" s="482"/>
      <c r="C168" s="482"/>
      <c r="D168" s="482"/>
      <c r="E168" s="482"/>
      <c r="F168" s="482"/>
      <c r="G168" s="482"/>
      <c r="H168" s="482"/>
      <c r="I168" s="482"/>
      <c r="J168" s="482"/>
      <c r="K168" s="482"/>
      <c r="L168" s="482"/>
    </row>
    <row r="169" spans="1:12" ht="14.25">
      <c r="A169" s="482"/>
      <c r="B169" s="482"/>
      <c r="C169" s="482"/>
      <c r="D169" s="482"/>
      <c r="E169" s="482"/>
      <c r="F169" s="482"/>
      <c r="G169" s="482"/>
      <c r="H169" s="482"/>
      <c r="I169" s="482"/>
      <c r="J169" s="482"/>
      <c r="K169" s="482"/>
      <c r="L169" s="482"/>
    </row>
    <row r="170" spans="1:12" ht="14.25">
      <c r="A170" s="482"/>
      <c r="B170" s="482"/>
      <c r="C170" s="482"/>
      <c r="D170" s="482"/>
      <c r="E170" s="482"/>
      <c r="F170" s="482"/>
      <c r="G170" s="482"/>
      <c r="H170" s="482"/>
      <c r="I170" s="482"/>
      <c r="J170" s="482"/>
      <c r="K170" s="482"/>
      <c r="L170" s="482"/>
    </row>
    <row r="171" spans="1:12" ht="14.25">
      <c r="A171" s="482"/>
      <c r="B171" s="482"/>
      <c r="C171" s="482"/>
      <c r="D171" s="482"/>
      <c r="E171" s="482"/>
      <c r="F171" s="482"/>
      <c r="G171" s="482"/>
      <c r="H171" s="482"/>
      <c r="I171" s="482"/>
      <c r="J171" s="482"/>
      <c r="K171" s="482"/>
      <c r="L171" s="482"/>
    </row>
    <row r="172" spans="1:12" ht="14.25">
      <c r="A172" s="482"/>
      <c r="B172" s="482"/>
      <c r="C172" s="482"/>
      <c r="D172" s="482"/>
      <c r="E172" s="482"/>
      <c r="F172" s="482"/>
      <c r="G172" s="482"/>
      <c r="H172" s="482"/>
      <c r="I172" s="482"/>
      <c r="J172" s="482"/>
      <c r="K172" s="482"/>
      <c r="L172" s="482"/>
    </row>
    <row r="173" spans="1:12" ht="14.25">
      <c r="A173" s="482"/>
      <c r="B173" s="482"/>
      <c r="C173" s="482"/>
      <c r="D173" s="482"/>
      <c r="E173" s="482"/>
      <c r="F173" s="482"/>
      <c r="G173" s="482"/>
      <c r="H173" s="482"/>
      <c r="I173" s="482"/>
      <c r="J173" s="482"/>
      <c r="K173" s="482"/>
      <c r="L173" s="482"/>
    </row>
    <row r="174" spans="1:12" ht="14.25">
      <c r="A174" s="482"/>
      <c r="B174" s="482"/>
      <c r="C174" s="482"/>
      <c r="D174" s="482"/>
      <c r="E174" s="482"/>
      <c r="F174" s="482"/>
      <c r="G174" s="482"/>
      <c r="H174" s="482"/>
      <c r="I174" s="482"/>
      <c r="J174" s="482"/>
      <c r="K174" s="482"/>
      <c r="L174" s="482"/>
    </row>
    <row r="175" spans="1:12" ht="14.25">
      <c r="A175" s="482"/>
      <c r="B175" s="482"/>
      <c r="C175" s="482"/>
      <c r="D175" s="482"/>
      <c r="E175" s="482"/>
      <c r="F175" s="482"/>
      <c r="G175" s="482"/>
      <c r="H175" s="482"/>
      <c r="I175" s="482"/>
      <c r="J175" s="482"/>
      <c r="K175" s="482"/>
      <c r="L175" s="482"/>
    </row>
    <row r="176" spans="1:12" ht="14.25">
      <c r="A176" s="482"/>
      <c r="B176" s="482"/>
      <c r="C176" s="482"/>
      <c r="D176" s="482"/>
      <c r="E176" s="482"/>
      <c r="F176" s="482"/>
      <c r="G176" s="482"/>
      <c r="H176" s="482"/>
      <c r="I176" s="482"/>
      <c r="J176" s="482"/>
      <c r="K176" s="482"/>
      <c r="L176" s="482"/>
    </row>
    <row r="177" spans="1:12" ht="14.25">
      <c r="A177" s="482"/>
      <c r="B177" s="482"/>
      <c r="C177" s="482"/>
      <c r="D177" s="482"/>
      <c r="E177" s="482"/>
      <c r="F177" s="482"/>
      <c r="G177" s="482"/>
      <c r="H177" s="482"/>
      <c r="I177" s="482"/>
      <c r="J177" s="482"/>
      <c r="K177" s="482"/>
      <c r="L177" s="482"/>
    </row>
    <row r="178" spans="1:12" ht="14.25">
      <c r="A178" s="482"/>
      <c r="B178" s="482"/>
      <c r="C178" s="482"/>
      <c r="D178" s="482"/>
      <c r="E178" s="482"/>
      <c r="F178" s="482"/>
      <c r="G178" s="482"/>
      <c r="H178" s="482"/>
      <c r="I178" s="482"/>
      <c r="J178" s="482"/>
      <c r="K178" s="482"/>
      <c r="L178" s="482"/>
    </row>
    <row r="179" spans="1:12" ht="14.25">
      <c r="A179" s="482"/>
      <c r="B179" s="482"/>
      <c r="C179" s="482"/>
      <c r="D179" s="482"/>
      <c r="E179" s="482"/>
      <c r="F179" s="482"/>
      <c r="G179" s="482"/>
      <c r="H179" s="482"/>
      <c r="I179" s="482"/>
      <c r="J179" s="482"/>
      <c r="K179" s="482"/>
      <c r="L179" s="482"/>
    </row>
    <row r="180" spans="1:12" ht="14.25">
      <c r="A180" s="482"/>
      <c r="B180" s="482"/>
      <c r="C180" s="482"/>
      <c r="D180" s="482"/>
      <c r="E180" s="482"/>
      <c r="F180" s="482"/>
      <c r="G180" s="482"/>
      <c r="H180" s="482"/>
      <c r="I180" s="482"/>
      <c r="J180" s="482"/>
      <c r="K180" s="482"/>
      <c r="L180" s="482"/>
    </row>
    <row r="181" spans="1:12" ht="14.25">
      <c r="A181" s="482"/>
      <c r="B181" s="482"/>
      <c r="C181" s="482"/>
      <c r="D181" s="482"/>
      <c r="E181" s="482"/>
      <c r="F181" s="482"/>
      <c r="G181" s="482"/>
      <c r="H181" s="482"/>
      <c r="I181" s="482"/>
      <c r="J181" s="482"/>
      <c r="K181" s="482"/>
      <c r="L181" s="482"/>
    </row>
    <row r="182" spans="1:12" ht="14.25">
      <c r="A182" s="482"/>
      <c r="B182" s="482"/>
      <c r="C182" s="482"/>
      <c r="D182" s="482"/>
      <c r="E182" s="482"/>
      <c r="F182" s="482"/>
      <c r="G182" s="482"/>
      <c r="H182" s="482"/>
      <c r="I182" s="482"/>
      <c r="J182" s="482"/>
      <c r="K182" s="482"/>
      <c r="L182" s="482"/>
    </row>
    <row r="183" spans="1:12" ht="14.25">
      <c r="A183" s="482"/>
      <c r="B183" s="482"/>
      <c r="C183" s="482"/>
      <c r="D183" s="482"/>
      <c r="E183" s="482"/>
      <c r="F183" s="482"/>
      <c r="G183" s="482"/>
      <c r="H183" s="482"/>
      <c r="I183" s="482"/>
      <c r="J183" s="482"/>
      <c r="K183" s="482"/>
      <c r="L183" s="482"/>
    </row>
    <row r="184" spans="1:12" ht="14.25">
      <c r="A184" s="482"/>
      <c r="B184" s="482"/>
      <c r="C184" s="482"/>
      <c r="D184" s="482"/>
      <c r="E184" s="482"/>
      <c r="F184" s="482"/>
      <c r="G184" s="482"/>
      <c r="H184" s="482"/>
      <c r="I184" s="482"/>
      <c r="J184" s="482"/>
      <c r="K184" s="482"/>
      <c r="L184" s="482"/>
    </row>
    <row r="185" spans="1:12" ht="14.25">
      <c r="A185" s="482"/>
      <c r="B185" s="482"/>
      <c r="C185" s="482"/>
      <c r="D185" s="482"/>
      <c r="E185" s="482"/>
      <c r="F185" s="482"/>
      <c r="G185" s="482"/>
      <c r="H185" s="482"/>
      <c r="I185" s="482"/>
      <c r="J185" s="482"/>
      <c r="K185" s="482"/>
      <c r="L185" s="482"/>
    </row>
    <row r="186" spans="1:12" ht="14.25">
      <c r="A186" s="482"/>
      <c r="B186" s="482"/>
      <c r="C186" s="482"/>
      <c r="D186" s="482"/>
      <c r="E186" s="482"/>
      <c r="F186" s="482"/>
      <c r="G186" s="482"/>
      <c r="H186" s="482"/>
      <c r="I186" s="482"/>
      <c r="J186" s="482"/>
      <c r="K186" s="482"/>
      <c r="L186" s="482"/>
    </row>
    <row r="187" spans="1:12" ht="14.25">
      <c r="A187" s="482"/>
      <c r="B187" s="482"/>
      <c r="C187" s="482"/>
      <c r="D187" s="482"/>
      <c r="E187" s="482"/>
      <c r="F187" s="482"/>
      <c r="G187" s="482"/>
      <c r="H187" s="482"/>
      <c r="I187" s="482"/>
      <c r="J187" s="482"/>
      <c r="K187" s="482"/>
      <c r="L187" s="482"/>
    </row>
    <row r="188" spans="1:12" ht="14.25">
      <c r="A188" s="482"/>
      <c r="B188" s="482"/>
      <c r="C188" s="482"/>
      <c r="D188" s="482"/>
      <c r="E188" s="482"/>
      <c r="F188" s="482"/>
      <c r="G188" s="482"/>
      <c r="H188" s="482"/>
      <c r="I188" s="482"/>
      <c r="J188" s="482"/>
      <c r="K188" s="482"/>
      <c r="L188" s="482"/>
    </row>
    <row r="189" spans="1:12" ht="14.25">
      <c r="A189" s="482"/>
      <c r="B189" s="482"/>
      <c r="C189" s="482"/>
      <c r="D189" s="482"/>
      <c r="E189" s="482"/>
      <c r="F189" s="482"/>
      <c r="G189" s="482"/>
      <c r="H189" s="482"/>
      <c r="I189" s="482"/>
      <c r="J189" s="482"/>
      <c r="K189" s="482"/>
      <c r="L189" s="482"/>
    </row>
    <row r="190" spans="1:12" ht="14.25">
      <c r="A190" s="482"/>
      <c r="B190" s="482"/>
      <c r="C190" s="482"/>
      <c r="D190" s="482"/>
      <c r="E190" s="482"/>
      <c r="F190" s="482"/>
      <c r="G190" s="482"/>
      <c r="H190" s="482"/>
      <c r="I190" s="482"/>
      <c r="J190" s="482"/>
      <c r="K190" s="482"/>
      <c r="L190" s="482"/>
    </row>
    <row r="191" spans="1:12" ht="14.25">
      <c r="A191" s="482"/>
      <c r="B191" s="482"/>
      <c r="C191" s="482"/>
      <c r="D191" s="482"/>
      <c r="E191" s="482"/>
      <c r="F191" s="482"/>
      <c r="G191" s="482"/>
      <c r="H191" s="482"/>
      <c r="I191" s="482"/>
      <c r="J191" s="482"/>
      <c r="K191" s="482"/>
      <c r="L191" s="482"/>
    </row>
    <row r="192" spans="1:12" ht="14.25">
      <c r="A192" s="482"/>
      <c r="B192" s="482"/>
      <c r="C192" s="482"/>
      <c r="D192" s="482"/>
      <c r="E192" s="482"/>
      <c r="F192" s="482"/>
      <c r="G192" s="482"/>
      <c r="H192" s="482"/>
      <c r="I192" s="482"/>
      <c r="J192" s="482"/>
      <c r="K192" s="482"/>
      <c r="L192" s="482"/>
    </row>
    <row r="193" spans="1:12" ht="14.25">
      <c r="A193" s="482"/>
      <c r="B193" s="482"/>
      <c r="C193" s="482"/>
      <c r="D193" s="482"/>
      <c r="E193" s="482"/>
      <c r="F193" s="482"/>
      <c r="G193" s="482"/>
      <c r="H193" s="482"/>
      <c r="I193" s="482"/>
      <c r="J193" s="482"/>
      <c r="K193" s="482"/>
      <c r="L193" s="482"/>
    </row>
    <row r="194" spans="1:12" ht="14.25">
      <c r="A194" s="482"/>
      <c r="B194" s="482"/>
      <c r="C194" s="482"/>
      <c r="D194" s="482"/>
      <c r="E194" s="482"/>
      <c r="F194" s="482"/>
      <c r="G194" s="482"/>
      <c r="H194" s="482"/>
      <c r="I194" s="482"/>
      <c r="J194" s="482"/>
      <c r="K194" s="482"/>
      <c r="L194" s="482"/>
    </row>
    <row r="195" spans="1:12" ht="14.25">
      <c r="A195" s="482"/>
      <c r="B195" s="482"/>
      <c r="C195" s="482"/>
      <c r="D195" s="482"/>
      <c r="E195" s="482"/>
      <c r="F195" s="482"/>
      <c r="G195" s="482"/>
      <c r="H195" s="482"/>
      <c r="I195" s="482"/>
      <c r="J195" s="482"/>
      <c r="K195" s="482"/>
      <c r="L195" s="482"/>
    </row>
    <row r="196" spans="1:12" ht="14.25">
      <c r="A196" s="482"/>
      <c r="B196" s="482"/>
      <c r="C196" s="482"/>
      <c r="D196" s="482"/>
      <c r="E196" s="482"/>
      <c r="F196" s="482"/>
      <c r="G196" s="482"/>
      <c r="H196" s="482"/>
      <c r="I196" s="482"/>
      <c r="J196" s="482"/>
      <c r="K196" s="482"/>
      <c r="L196" s="482"/>
    </row>
    <row r="197" spans="1:12" ht="14.25">
      <c r="A197" s="482"/>
      <c r="B197" s="482"/>
      <c r="C197" s="482"/>
      <c r="D197" s="482"/>
      <c r="E197" s="482"/>
      <c r="F197" s="482"/>
      <c r="G197" s="482"/>
      <c r="H197" s="482"/>
      <c r="I197" s="482"/>
      <c r="J197" s="482"/>
      <c r="K197" s="482"/>
      <c r="L197" s="482"/>
    </row>
    <row r="198" spans="1:12" ht="14.25">
      <c r="A198" s="482"/>
      <c r="B198" s="482"/>
      <c r="C198" s="482"/>
      <c r="D198" s="482"/>
      <c r="E198" s="482"/>
      <c r="F198" s="482"/>
      <c r="G198" s="482"/>
      <c r="H198" s="482"/>
      <c r="I198" s="482"/>
      <c r="J198" s="482"/>
      <c r="K198" s="482"/>
      <c r="L198" s="482"/>
    </row>
    <row r="199" spans="1:12" ht="14.25">
      <c r="A199" s="482"/>
      <c r="B199" s="482"/>
      <c r="C199" s="482"/>
      <c r="D199" s="482"/>
      <c r="E199" s="482"/>
      <c r="F199" s="482"/>
      <c r="G199" s="482"/>
      <c r="H199" s="482"/>
      <c r="I199" s="482"/>
      <c r="J199" s="482"/>
      <c r="K199" s="482"/>
      <c r="L199" s="482"/>
    </row>
    <row r="200" spans="1:12" ht="14.25">
      <c r="A200" s="482"/>
      <c r="B200" s="482"/>
      <c r="C200" s="482"/>
      <c r="D200" s="482"/>
      <c r="E200" s="482"/>
      <c r="F200" s="482"/>
      <c r="G200" s="482"/>
      <c r="H200" s="482"/>
      <c r="I200" s="482"/>
      <c r="J200" s="482"/>
      <c r="K200" s="482"/>
      <c r="L200" s="482"/>
    </row>
    <row r="201" spans="1:12" ht="14.25">
      <c r="A201" s="482"/>
      <c r="B201" s="482"/>
      <c r="C201" s="482"/>
      <c r="D201" s="482"/>
      <c r="E201" s="482"/>
      <c r="F201" s="482"/>
      <c r="G201" s="482"/>
      <c r="H201" s="482"/>
      <c r="I201" s="482"/>
      <c r="J201" s="482"/>
      <c r="K201" s="482"/>
      <c r="L201" s="482"/>
    </row>
    <row r="202" spans="1:12" ht="14.25">
      <c r="A202" s="482"/>
      <c r="B202" s="482"/>
      <c r="C202" s="482"/>
      <c r="D202" s="482"/>
      <c r="E202" s="482"/>
      <c r="F202" s="482"/>
      <c r="G202" s="482"/>
      <c r="H202" s="482"/>
      <c r="I202" s="482"/>
      <c r="J202" s="482"/>
      <c r="K202" s="482"/>
      <c r="L202" s="482"/>
    </row>
    <row r="203" spans="1:12" ht="14.25">
      <c r="A203" s="482"/>
      <c r="B203" s="482"/>
      <c r="C203" s="482"/>
      <c r="D203" s="482"/>
      <c r="E203" s="482"/>
      <c r="F203" s="482"/>
      <c r="G203" s="482"/>
      <c r="H203" s="482"/>
      <c r="I203" s="482"/>
      <c r="J203" s="482"/>
      <c r="K203" s="482"/>
      <c r="L203" s="482"/>
    </row>
    <row r="204" spans="1:12" ht="14.25">
      <c r="A204" s="482"/>
      <c r="B204" s="482"/>
      <c r="C204" s="482"/>
      <c r="D204" s="482"/>
      <c r="E204" s="482"/>
      <c r="F204" s="482"/>
      <c r="G204" s="482"/>
      <c r="H204" s="482"/>
      <c r="I204" s="482"/>
      <c r="J204" s="482"/>
      <c r="K204" s="482"/>
      <c r="L204" s="482"/>
    </row>
    <row r="205" spans="1:12" ht="14.25">
      <c r="A205" s="482"/>
      <c r="B205" s="482"/>
      <c r="C205" s="482"/>
      <c r="D205" s="482"/>
      <c r="E205" s="482"/>
      <c r="F205" s="482"/>
      <c r="G205" s="482"/>
      <c r="H205" s="482"/>
      <c r="I205" s="482"/>
      <c r="J205" s="482"/>
      <c r="K205" s="482"/>
      <c r="L205" s="482"/>
    </row>
    <row r="206" spans="1:12" ht="14.25">
      <c r="A206" s="482"/>
      <c r="B206" s="482"/>
      <c r="C206" s="482"/>
      <c r="D206" s="482"/>
      <c r="E206" s="482"/>
      <c r="F206" s="482"/>
      <c r="G206" s="482"/>
      <c r="H206" s="482"/>
      <c r="I206" s="482"/>
      <c r="J206" s="482"/>
      <c r="K206" s="482"/>
      <c r="L206" s="482"/>
    </row>
    <row r="207" spans="1:12" ht="14.25">
      <c r="A207" s="482"/>
      <c r="B207" s="482"/>
      <c r="C207" s="482"/>
      <c r="D207" s="482"/>
      <c r="E207" s="482"/>
      <c r="F207" s="482"/>
      <c r="G207" s="482"/>
      <c r="H207" s="482"/>
      <c r="I207" s="482"/>
      <c r="J207" s="482"/>
      <c r="K207" s="482"/>
      <c r="L207" s="482"/>
    </row>
    <row r="208" spans="1:12" ht="14.25">
      <c r="A208" s="482"/>
      <c r="B208" s="482"/>
      <c r="C208" s="482"/>
      <c r="D208" s="482"/>
      <c r="E208" s="482"/>
      <c r="F208" s="482"/>
      <c r="G208" s="482"/>
      <c r="H208" s="482"/>
      <c r="I208" s="482"/>
      <c r="J208" s="482"/>
      <c r="K208" s="482"/>
      <c r="L208" s="482"/>
    </row>
    <row r="209" spans="1:12" ht="14.25">
      <c r="A209" s="482"/>
      <c r="B209" s="482"/>
      <c r="C209" s="482"/>
      <c r="D209" s="482"/>
      <c r="E209" s="482"/>
      <c r="F209" s="482"/>
      <c r="G209" s="482"/>
      <c r="H209" s="482"/>
      <c r="I209" s="482"/>
      <c r="J209" s="482"/>
      <c r="K209" s="482"/>
      <c r="L209" s="482"/>
    </row>
    <row r="210" spans="1:12" ht="14.25">
      <c r="A210" s="482"/>
      <c r="B210" s="482"/>
      <c r="C210" s="482"/>
      <c r="D210" s="482"/>
      <c r="E210" s="482"/>
      <c r="F210" s="482"/>
      <c r="G210" s="482"/>
      <c r="H210" s="482"/>
      <c r="I210" s="482"/>
      <c r="J210" s="482"/>
      <c r="K210" s="482"/>
      <c r="L210" s="482"/>
    </row>
    <row r="211" spans="1:12" ht="14.25">
      <c r="A211" s="482"/>
      <c r="B211" s="482"/>
      <c r="C211" s="482"/>
      <c r="D211" s="482"/>
      <c r="E211" s="482"/>
      <c r="F211" s="482"/>
      <c r="G211" s="482"/>
      <c r="H211" s="482"/>
      <c r="I211" s="482"/>
      <c r="J211" s="482"/>
      <c r="K211" s="482"/>
      <c r="L211" s="482"/>
    </row>
    <row r="212" spans="1:12" ht="14.25">
      <c r="A212" s="482"/>
      <c r="B212" s="482"/>
      <c r="C212" s="482"/>
      <c r="D212" s="482"/>
      <c r="E212" s="482"/>
      <c r="F212" s="482"/>
      <c r="G212" s="482"/>
      <c r="H212" s="482"/>
      <c r="I212" s="482"/>
      <c r="J212" s="482"/>
      <c r="K212" s="482"/>
      <c r="L212" s="482"/>
    </row>
    <row r="213" spans="1:12" ht="14.25">
      <c r="A213" s="482"/>
      <c r="B213" s="482"/>
      <c r="C213" s="482"/>
      <c r="D213" s="482"/>
      <c r="E213" s="482"/>
      <c r="F213" s="482"/>
      <c r="G213" s="482"/>
      <c r="H213" s="482"/>
      <c r="I213" s="482"/>
      <c r="J213" s="482"/>
      <c r="K213" s="482"/>
      <c r="L213" s="482"/>
    </row>
    <row r="214" spans="1:12" ht="14.25">
      <c r="A214" s="482"/>
      <c r="B214" s="482"/>
      <c r="C214" s="482"/>
      <c r="D214" s="482"/>
      <c r="E214" s="482"/>
      <c r="F214" s="482"/>
      <c r="G214" s="482"/>
      <c r="H214" s="482"/>
      <c r="I214" s="482"/>
      <c r="J214" s="482"/>
      <c r="K214" s="482"/>
      <c r="L214" s="482"/>
    </row>
    <row r="215" spans="1:12" ht="14.25">
      <c r="A215" s="482"/>
      <c r="B215" s="482"/>
      <c r="C215" s="482"/>
      <c r="D215" s="482"/>
      <c r="E215" s="482"/>
      <c r="F215" s="482"/>
      <c r="G215" s="482"/>
      <c r="H215" s="482"/>
      <c r="I215" s="482"/>
      <c r="J215" s="482"/>
      <c r="K215" s="482"/>
      <c r="L215" s="482"/>
    </row>
    <row r="216" spans="1:12" ht="14.25">
      <c r="A216" s="482"/>
      <c r="B216" s="482"/>
      <c r="C216" s="482"/>
      <c r="D216" s="482"/>
      <c r="E216" s="482"/>
      <c r="F216" s="482"/>
      <c r="G216" s="482"/>
      <c r="H216" s="482"/>
      <c r="I216" s="482"/>
      <c r="J216" s="482"/>
      <c r="K216" s="482"/>
      <c r="L216" s="482"/>
    </row>
    <row r="217" spans="1:12" ht="14.25">
      <c r="A217" s="482"/>
      <c r="B217" s="482"/>
      <c r="C217" s="482"/>
      <c r="D217" s="482"/>
      <c r="E217" s="482"/>
      <c r="F217" s="482"/>
      <c r="G217" s="482"/>
      <c r="H217" s="482"/>
      <c r="I217" s="482"/>
      <c r="J217" s="482"/>
      <c r="K217" s="482"/>
      <c r="L217" s="482"/>
    </row>
    <row r="218" spans="1:12" ht="14.25">
      <c r="A218" s="482"/>
      <c r="B218" s="482"/>
      <c r="C218" s="482"/>
      <c r="D218" s="482"/>
      <c r="E218" s="482"/>
      <c r="F218" s="482"/>
      <c r="G218" s="482"/>
      <c r="H218" s="482"/>
      <c r="I218" s="482"/>
      <c r="J218" s="482"/>
      <c r="K218" s="482"/>
      <c r="L218" s="482"/>
    </row>
    <row r="219" spans="1:12" ht="14.25">
      <c r="A219" s="482"/>
      <c r="B219" s="482"/>
      <c r="C219" s="482"/>
      <c r="D219" s="482"/>
      <c r="E219" s="482"/>
      <c r="F219" s="482"/>
      <c r="G219" s="482"/>
      <c r="H219" s="482"/>
      <c r="I219" s="482"/>
      <c r="J219" s="482"/>
      <c r="K219" s="482"/>
      <c r="L219" s="482"/>
    </row>
    <row r="220" spans="1:12" ht="14.25">
      <c r="A220" s="482"/>
      <c r="B220" s="482"/>
      <c r="C220" s="482"/>
      <c r="D220" s="482"/>
      <c r="E220" s="482"/>
      <c r="F220" s="482"/>
      <c r="G220" s="482"/>
      <c r="H220" s="482"/>
      <c r="I220" s="482"/>
      <c r="J220" s="482"/>
      <c r="K220" s="482"/>
      <c r="L220" s="482"/>
    </row>
    <row r="221" spans="1:12" ht="14.25">
      <c r="A221" s="482"/>
      <c r="B221" s="482"/>
      <c r="C221" s="482"/>
      <c r="D221" s="482"/>
      <c r="E221" s="482"/>
      <c r="F221" s="482"/>
      <c r="G221" s="482"/>
      <c r="H221" s="482"/>
      <c r="I221" s="482"/>
      <c r="J221" s="482"/>
      <c r="K221" s="482"/>
      <c r="L221" s="482"/>
    </row>
    <row r="222" spans="1:12" ht="14.25">
      <c r="A222" s="482"/>
      <c r="B222" s="482"/>
      <c r="C222" s="482"/>
      <c r="D222" s="482"/>
      <c r="E222" s="482"/>
      <c r="F222" s="482"/>
      <c r="G222" s="482"/>
      <c r="H222" s="482"/>
      <c r="I222" s="482"/>
      <c r="J222" s="482"/>
      <c r="K222" s="482"/>
      <c r="L222" s="482"/>
    </row>
    <row r="223" spans="1:12" ht="14.25">
      <c r="A223" s="482"/>
      <c r="B223" s="482"/>
      <c r="C223" s="482"/>
      <c r="D223" s="482"/>
      <c r="E223" s="482"/>
      <c r="F223" s="482"/>
      <c r="G223" s="482"/>
      <c r="H223" s="482"/>
      <c r="I223" s="482"/>
      <c r="J223" s="482"/>
      <c r="K223" s="482"/>
      <c r="L223" s="482"/>
    </row>
    <row r="224" spans="1:12" ht="14.25">
      <c r="A224" s="482"/>
      <c r="B224" s="482"/>
      <c r="C224" s="482"/>
      <c r="D224" s="482"/>
      <c r="E224" s="482"/>
      <c r="F224" s="482"/>
      <c r="G224" s="482"/>
      <c r="H224" s="482"/>
      <c r="I224" s="482"/>
      <c r="J224" s="482"/>
      <c r="K224" s="482"/>
      <c r="L224" s="482"/>
    </row>
    <row r="225" spans="1:12" ht="14.25">
      <c r="A225" s="482"/>
      <c r="B225" s="482"/>
      <c r="C225" s="482"/>
      <c r="D225" s="482"/>
      <c r="E225" s="482"/>
      <c r="F225" s="482"/>
      <c r="G225" s="482"/>
      <c r="H225" s="482"/>
      <c r="I225" s="482"/>
      <c r="J225" s="482"/>
      <c r="K225" s="482"/>
      <c r="L225" s="482"/>
    </row>
    <row r="226" spans="1:12" ht="14.25">
      <c r="A226" s="482"/>
      <c r="B226" s="482"/>
      <c r="C226" s="482"/>
      <c r="D226" s="482"/>
      <c r="E226" s="482"/>
      <c r="F226" s="482"/>
      <c r="G226" s="482"/>
      <c r="H226" s="482"/>
      <c r="I226" s="482"/>
      <c r="J226" s="482"/>
      <c r="K226" s="482"/>
      <c r="L226" s="482"/>
    </row>
    <row r="227" spans="1:12" ht="14.25">
      <c r="A227" s="482"/>
      <c r="B227" s="482"/>
      <c r="C227" s="482"/>
      <c r="D227" s="482"/>
      <c r="E227" s="482"/>
      <c r="F227" s="482"/>
      <c r="G227" s="482"/>
      <c r="H227" s="482"/>
      <c r="I227" s="482"/>
      <c r="J227" s="482"/>
      <c r="K227" s="482"/>
      <c r="L227" s="482"/>
    </row>
    <row r="228" spans="1:12" ht="14.25">
      <c r="A228" s="482"/>
      <c r="B228" s="482"/>
      <c r="C228" s="482"/>
      <c r="D228" s="482"/>
      <c r="E228" s="482"/>
      <c r="F228" s="482"/>
      <c r="G228" s="482"/>
      <c r="H228" s="482"/>
      <c r="I228" s="482"/>
      <c r="J228" s="482"/>
      <c r="K228" s="482"/>
      <c r="L228" s="482"/>
    </row>
    <row r="229" spans="1:12" ht="14.25">
      <c r="A229" s="482"/>
      <c r="B229" s="482"/>
      <c r="C229" s="482"/>
      <c r="D229" s="482"/>
      <c r="E229" s="482"/>
      <c r="F229" s="482"/>
      <c r="G229" s="482"/>
      <c r="H229" s="482"/>
      <c r="I229" s="482"/>
      <c r="J229" s="482"/>
      <c r="K229" s="482"/>
      <c r="L229" s="482"/>
    </row>
    <row r="230" spans="1:12" ht="14.25">
      <c r="A230" s="482"/>
      <c r="B230" s="482"/>
      <c r="C230" s="482"/>
      <c r="D230" s="482"/>
      <c r="E230" s="482"/>
      <c r="F230" s="482"/>
      <c r="G230" s="482"/>
      <c r="H230" s="482"/>
      <c r="I230" s="482"/>
      <c r="J230" s="482"/>
      <c r="K230" s="482"/>
      <c r="L230" s="482"/>
    </row>
    <row r="231" spans="1:12" ht="14.25">
      <c r="A231" s="482"/>
      <c r="B231" s="482"/>
      <c r="C231" s="482"/>
      <c r="D231" s="482"/>
      <c r="E231" s="482"/>
      <c r="F231" s="482"/>
      <c r="G231" s="482"/>
      <c r="H231" s="482"/>
      <c r="I231" s="482"/>
      <c r="J231" s="482"/>
      <c r="K231" s="482"/>
      <c r="L231" s="482"/>
    </row>
    <row r="232" spans="1:12" ht="14.25">
      <c r="A232" s="482"/>
      <c r="B232" s="482"/>
      <c r="C232" s="482"/>
      <c r="D232" s="482"/>
      <c r="E232" s="482"/>
      <c r="F232" s="482"/>
      <c r="G232" s="482"/>
      <c r="H232" s="482"/>
      <c r="I232" s="482"/>
      <c r="J232" s="482"/>
      <c r="K232" s="482"/>
      <c r="L232" s="482"/>
    </row>
    <row r="233" spans="1:12" ht="14.25">
      <c r="A233" s="482"/>
      <c r="B233" s="482"/>
      <c r="C233" s="482"/>
      <c r="D233" s="482"/>
      <c r="E233" s="482"/>
      <c r="F233" s="482"/>
      <c r="G233" s="482"/>
      <c r="H233" s="482"/>
      <c r="I233" s="482"/>
      <c r="J233" s="482"/>
      <c r="K233" s="482"/>
      <c r="L233" s="482"/>
    </row>
    <row r="234" spans="1:12" ht="14.25">
      <c r="A234" s="482"/>
      <c r="B234" s="482"/>
      <c r="C234" s="482"/>
      <c r="D234" s="482"/>
      <c r="E234" s="482"/>
      <c r="F234" s="482"/>
      <c r="G234" s="482"/>
      <c r="H234" s="482"/>
      <c r="I234" s="482"/>
      <c r="J234" s="482"/>
      <c r="K234" s="482"/>
      <c r="L234" s="482"/>
    </row>
    <row r="235" spans="1:12" ht="14.25">
      <c r="A235" s="482"/>
      <c r="B235" s="482"/>
      <c r="C235" s="482"/>
      <c r="D235" s="482"/>
      <c r="E235" s="482"/>
      <c r="F235" s="482"/>
      <c r="G235" s="482"/>
      <c r="H235" s="482"/>
      <c r="I235" s="482"/>
      <c r="J235" s="482"/>
      <c r="K235" s="482"/>
      <c r="L235" s="482"/>
    </row>
    <row r="236" spans="1:12" ht="14.25">
      <c r="A236" s="482"/>
      <c r="B236" s="482"/>
      <c r="C236" s="482"/>
      <c r="D236" s="482"/>
      <c r="E236" s="482"/>
      <c r="F236" s="482"/>
      <c r="G236" s="482"/>
      <c r="H236" s="482"/>
      <c r="I236" s="482"/>
      <c r="J236" s="482"/>
      <c r="K236" s="482"/>
      <c r="L236" s="482"/>
    </row>
    <row r="237" spans="1:12" ht="14.25">
      <c r="A237" s="482"/>
      <c r="B237" s="482"/>
      <c r="C237" s="482"/>
      <c r="D237" s="482"/>
      <c r="E237" s="482"/>
      <c r="F237" s="482"/>
      <c r="G237" s="482"/>
      <c r="H237" s="482"/>
      <c r="I237" s="482"/>
      <c r="J237" s="482"/>
      <c r="K237" s="482"/>
      <c r="L237" s="482"/>
    </row>
    <row r="238" spans="1:12" ht="14.25">
      <c r="A238" s="482"/>
      <c r="B238" s="482"/>
      <c r="C238" s="482"/>
      <c r="D238" s="482"/>
      <c r="E238" s="482"/>
      <c r="F238" s="482"/>
      <c r="G238" s="482"/>
      <c r="H238" s="482"/>
      <c r="I238" s="482"/>
      <c r="J238" s="482"/>
      <c r="K238" s="482"/>
      <c r="L238" s="482"/>
    </row>
    <row r="239" spans="1:12" ht="14.25">
      <c r="A239" s="482"/>
      <c r="B239" s="482"/>
      <c r="C239" s="482"/>
      <c r="D239" s="482"/>
      <c r="E239" s="482"/>
      <c r="F239" s="482"/>
      <c r="G239" s="482"/>
      <c r="H239" s="482"/>
      <c r="I239" s="482"/>
      <c r="J239" s="482"/>
      <c r="K239" s="482"/>
      <c r="L239" s="482"/>
    </row>
    <row r="240" spans="1:12" ht="14.25">
      <c r="A240" s="482"/>
      <c r="B240" s="482"/>
      <c r="C240" s="482"/>
      <c r="D240" s="482"/>
      <c r="E240" s="482"/>
      <c r="F240" s="482"/>
      <c r="G240" s="482"/>
      <c r="H240" s="482"/>
      <c r="I240" s="482"/>
      <c r="J240" s="482"/>
      <c r="K240" s="482"/>
      <c r="L240" s="482"/>
    </row>
    <row r="241" spans="1:12" ht="14.25">
      <c r="A241" s="482"/>
      <c r="B241" s="482"/>
      <c r="C241" s="482"/>
      <c r="D241" s="482"/>
      <c r="E241" s="482"/>
      <c r="F241" s="482"/>
      <c r="G241" s="482"/>
      <c r="H241" s="482"/>
      <c r="I241" s="482"/>
      <c r="J241" s="482"/>
      <c r="K241" s="482"/>
      <c r="L241" s="482"/>
    </row>
    <row r="242" spans="1:12" ht="14.25">
      <c r="A242" s="482"/>
      <c r="B242" s="482"/>
      <c r="C242" s="482"/>
      <c r="D242" s="482"/>
      <c r="E242" s="482"/>
      <c r="F242" s="482"/>
      <c r="G242" s="482"/>
      <c r="H242" s="482"/>
      <c r="I242" s="482"/>
      <c r="J242" s="482"/>
      <c r="K242" s="482"/>
      <c r="L242" s="482"/>
    </row>
    <row r="243" spans="1:12" ht="14.25">
      <c r="A243" s="482"/>
      <c r="B243" s="482"/>
      <c r="C243" s="482"/>
      <c r="D243" s="482"/>
      <c r="E243" s="482"/>
      <c r="F243" s="482"/>
      <c r="G243" s="482"/>
      <c r="H243" s="482"/>
      <c r="I243" s="482"/>
      <c r="J243" s="482"/>
      <c r="K243" s="482"/>
      <c r="L243" s="482"/>
    </row>
    <row r="244" spans="1:12" ht="14.25">
      <c r="A244" s="482"/>
      <c r="B244" s="482"/>
      <c r="C244" s="482"/>
      <c r="D244" s="482"/>
      <c r="E244" s="482"/>
      <c r="F244" s="482"/>
      <c r="G244" s="482"/>
      <c r="H244" s="482"/>
      <c r="I244" s="482"/>
      <c r="J244" s="482"/>
      <c r="K244" s="482"/>
      <c r="L244" s="482"/>
    </row>
    <row r="245" spans="1:12" ht="14.25">
      <c r="A245" s="482"/>
      <c r="B245" s="482"/>
      <c r="C245" s="482"/>
      <c r="D245" s="482"/>
      <c r="E245" s="482"/>
      <c r="F245" s="482"/>
      <c r="G245" s="482"/>
      <c r="H245" s="482"/>
      <c r="I245" s="482"/>
      <c r="J245" s="482"/>
      <c r="K245" s="482"/>
      <c r="L245" s="482"/>
    </row>
    <row r="246" spans="1:12" ht="14.25">
      <c r="A246" s="482"/>
      <c r="B246" s="482"/>
      <c r="C246" s="482"/>
      <c r="D246" s="482"/>
      <c r="E246" s="482"/>
      <c r="F246" s="482"/>
      <c r="G246" s="482"/>
      <c r="H246" s="482"/>
      <c r="I246" s="482"/>
      <c r="J246" s="482"/>
      <c r="K246" s="482"/>
      <c r="L246" s="482"/>
    </row>
    <row r="247" spans="1:12" ht="14.25">
      <c r="A247" s="482"/>
      <c r="B247" s="482"/>
      <c r="C247" s="482"/>
      <c r="D247" s="482"/>
      <c r="E247" s="482"/>
      <c r="F247" s="482"/>
      <c r="G247" s="482"/>
      <c r="H247" s="482"/>
      <c r="I247" s="482"/>
      <c r="J247" s="482"/>
      <c r="K247" s="482"/>
      <c r="L247" s="482"/>
    </row>
    <row r="248" spans="1:12" ht="14.25">
      <c r="A248" s="482"/>
      <c r="B248" s="482"/>
      <c r="C248" s="482"/>
      <c r="D248" s="482"/>
      <c r="E248" s="482"/>
      <c r="F248" s="482"/>
      <c r="G248" s="482"/>
      <c r="H248" s="482"/>
      <c r="I248" s="482"/>
      <c r="J248" s="482"/>
      <c r="K248" s="482"/>
      <c r="L248" s="482"/>
    </row>
    <row r="249" spans="1:12" ht="14.25">
      <c r="A249" s="482"/>
      <c r="B249" s="482"/>
      <c r="C249" s="482"/>
      <c r="D249" s="482"/>
      <c r="E249" s="482"/>
      <c r="F249" s="482"/>
      <c r="G249" s="482"/>
      <c r="H249" s="482"/>
      <c r="I249" s="482"/>
      <c r="J249" s="482"/>
      <c r="K249" s="482"/>
      <c r="L249" s="482"/>
    </row>
    <row r="250" spans="1:12" ht="14.25">
      <c r="A250" s="482"/>
      <c r="B250" s="482"/>
      <c r="C250" s="482"/>
      <c r="D250" s="482"/>
      <c r="E250" s="482"/>
      <c r="F250" s="482"/>
      <c r="G250" s="482"/>
      <c r="H250" s="482"/>
      <c r="I250" s="482"/>
      <c r="J250" s="482"/>
      <c r="K250" s="482"/>
      <c r="L250" s="482"/>
    </row>
    <row r="251" spans="1:12" ht="14.25">
      <c r="A251" s="482"/>
      <c r="B251" s="482"/>
      <c r="C251" s="482"/>
      <c r="D251" s="482"/>
      <c r="E251" s="482"/>
      <c r="F251" s="482"/>
      <c r="G251" s="482"/>
      <c r="H251" s="482"/>
      <c r="I251" s="482"/>
      <c r="J251" s="482"/>
      <c r="K251" s="482"/>
      <c r="L251" s="482"/>
    </row>
    <row r="252" spans="1:12" ht="14.25">
      <c r="A252" s="482"/>
      <c r="B252" s="482"/>
      <c r="C252" s="482"/>
      <c r="D252" s="482"/>
      <c r="E252" s="482"/>
      <c r="F252" s="482"/>
      <c r="G252" s="482"/>
      <c r="H252" s="482"/>
      <c r="I252" s="482"/>
      <c r="J252" s="482"/>
      <c r="K252" s="482"/>
      <c r="L252" s="482"/>
    </row>
    <row r="253" spans="1:12" ht="14.25">
      <c r="A253" s="482"/>
      <c r="B253" s="482"/>
      <c r="C253" s="482"/>
      <c r="D253" s="482"/>
      <c r="E253" s="482"/>
      <c r="F253" s="482"/>
      <c r="G253" s="482"/>
      <c r="H253" s="482"/>
      <c r="I253" s="482"/>
      <c r="J253" s="482"/>
      <c r="K253" s="482"/>
      <c r="L253" s="482"/>
    </row>
    <row r="254" spans="1:12" ht="14.25">
      <c r="A254" s="482"/>
      <c r="B254" s="482"/>
      <c r="C254" s="482"/>
      <c r="D254" s="482"/>
      <c r="E254" s="482"/>
      <c r="F254" s="482"/>
      <c r="G254" s="482"/>
      <c r="H254" s="482"/>
      <c r="I254" s="482"/>
      <c r="J254" s="482"/>
      <c r="K254" s="482"/>
      <c r="L254" s="482"/>
    </row>
    <row r="255" spans="1:12" ht="14.25">
      <c r="A255" s="482"/>
      <c r="B255" s="482"/>
      <c r="C255" s="482"/>
      <c r="D255" s="482"/>
      <c r="E255" s="482"/>
      <c r="F255" s="482"/>
      <c r="G255" s="482"/>
      <c r="H255" s="482"/>
      <c r="I255" s="482"/>
      <c r="J255" s="482"/>
      <c r="K255" s="482"/>
      <c r="L255" s="482"/>
    </row>
    <row r="256" spans="1:12" ht="14.25">
      <c r="A256" s="482"/>
      <c r="B256" s="482"/>
      <c r="C256" s="482"/>
      <c r="D256" s="482"/>
      <c r="E256" s="482"/>
      <c r="F256" s="482"/>
      <c r="G256" s="482"/>
      <c r="H256" s="482"/>
      <c r="I256" s="482"/>
      <c r="J256" s="482"/>
      <c r="K256" s="482"/>
      <c r="L256" s="482"/>
    </row>
    <row r="257" spans="1:12" ht="14.25">
      <c r="A257" s="482"/>
      <c r="B257" s="482"/>
      <c r="C257" s="482"/>
      <c r="D257" s="482"/>
      <c r="E257" s="482"/>
      <c r="F257" s="482"/>
      <c r="G257" s="482"/>
      <c r="H257" s="482"/>
      <c r="I257" s="482"/>
      <c r="J257" s="482"/>
      <c r="K257" s="482"/>
      <c r="L257" s="482"/>
    </row>
    <row r="258" spans="1:12" ht="14.25">
      <c r="A258" s="482"/>
      <c r="B258" s="482"/>
      <c r="C258" s="482"/>
      <c r="D258" s="482"/>
      <c r="E258" s="482"/>
      <c r="F258" s="482"/>
      <c r="G258" s="482"/>
      <c r="H258" s="482"/>
      <c r="I258" s="482"/>
      <c r="J258" s="482"/>
      <c r="K258" s="482"/>
      <c r="L258" s="482"/>
    </row>
    <row r="259" spans="1:12" ht="14.25">
      <c r="A259" s="482"/>
      <c r="B259" s="482"/>
      <c r="C259" s="482"/>
      <c r="D259" s="482"/>
      <c r="E259" s="482"/>
      <c r="F259" s="482"/>
      <c r="G259" s="482"/>
      <c r="H259" s="482"/>
      <c r="I259" s="482"/>
      <c r="J259" s="482"/>
      <c r="K259" s="482"/>
      <c r="L259" s="482"/>
    </row>
    <row r="260" spans="1:12" ht="14.25">
      <c r="A260" s="482"/>
      <c r="B260" s="482"/>
      <c r="C260" s="482"/>
      <c r="D260" s="482"/>
      <c r="E260" s="482"/>
      <c r="F260" s="482"/>
      <c r="G260" s="482"/>
      <c r="H260" s="482"/>
      <c r="I260" s="482"/>
      <c r="J260" s="482"/>
      <c r="K260" s="482"/>
      <c r="L260" s="482"/>
    </row>
    <row r="261" spans="1:12" ht="14.25">
      <c r="A261" s="482"/>
      <c r="B261" s="482"/>
      <c r="C261" s="482"/>
      <c r="D261" s="482"/>
      <c r="E261" s="482"/>
      <c r="F261" s="482"/>
      <c r="G261" s="482"/>
      <c r="H261" s="482"/>
      <c r="I261" s="482"/>
      <c r="J261" s="482"/>
      <c r="K261" s="482"/>
      <c r="L261" s="482"/>
    </row>
    <row r="262" spans="1:12" ht="14.25">
      <c r="A262" s="482"/>
      <c r="B262" s="482"/>
      <c r="C262" s="482"/>
      <c r="D262" s="482"/>
      <c r="E262" s="482"/>
      <c r="F262" s="482"/>
      <c r="G262" s="482"/>
      <c r="H262" s="482"/>
      <c r="I262" s="482"/>
      <c r="J262" s="482"/>
      <c r="K262" s="482"/>
      <c r="L262" s="482"/>
    </row>
    <row r="263" spans="1:12" ht="14.25">
      <c r="A263" s="482"/>
      <c r="B263" s="482"/>
      <c r="C263" s="482"/>
      <c r="D263" s="482"/>
      <c r="E263" s="482"/>
      <c r="F263" s="482"/>
      <c r="G263" s="482"/>
      <c r="H263" s="482"/>
      <c r="I263" s="482"/>
      <c r="J263" s="482"/>
      <c r="K263" s="482"/>
      <c r="L263" s="482"/>
    </row>
    <row r="264" spans="1:12" ht="14.25">
      <c r="A264" s="482"/>
      <c r="B264" s="482"/>
      <c r="C264" s="482"/>
      <c r="D264" s="482"/>
      <c r="E264" s="482"/>
      <c r="F264" s="482"/>
      <c r="G264" s="482"/>
      <c r="H264" s="482"/>
      <c r="I264" s="482"/>
      <c r="J264" s="482"/>
      <c r="K264" s="482"/>
      <c r="L264" s="482"/>
    </row>
    <row r="265" spans="1:12" ht="14.25">
      <c r="A265" s="482"/>
      <c r="B265" s="482"/>
      <c r="C265" s="482"/>
      <c r="D265" s="482"/>
      <c r="E265" s="482"/>
      <c r="F265" s="482"/>
      <c r="G265" s="482"/>
      <c r="H265" s="482"/>
      <c r="I265" s="482"/>
      <c r="J265" s="482"/>
      <c r="K265" s="482"/>
      <c r="L265" s="482"/>
    </row>
    <row r="266" spans="1:12" ht="14.25">
      <c r="A266" s="482"/>
      <c r="B266" s="482"/>
      <c r="C266" s="482"/>
      <c r="D266" s="482"/>
      <c r="E266" s="482"/>
      <c r="F266" s="482"/>
      <c r="G266" s="482"/>
      <c r="H266" s="482"/>
      <c r="I266" s="482"/>
      <c r="J266" s="482"/>
      <c r="K266" s="482"/>
      <c r="L266" s="482"/>
    </row>
    <row r="267" spans="1:12" ht="14.25">
      <c r="A267" s="482"/>
      <c r="B267" s="482"/>
      <c r="C267" s="482"/>
      <c r="D267" s="482"/>
      <c r="E267" s="482"/>
      <c r="F267" s="482"/>
      <c r="G267" s="482"/>
      <c r="H267" s="482"/>
      <c r="I267" s="482"/>
      <c r="J267" s="482"/>
      <c r="K267" s="482"/>
      <c r="L267" s="482"/>
    </row>
    <row r="268" spans="1:12" ht="14.25">
      <c r="A268" s="482"/>
      <c r="B268" s="482"/>
      <c r="C268" s="482"/>
      <c r="D268" s="482"/>
      <c r="E268" s="482"/>
      <c r="F268" s="482"/>
      <c r="G268" s="482"/>
      <c r="H268" s="482"/>
      <c r="I268" s="482"/>
      <c r="J268" s="482"/>
      <c r="K268" s="482"/>
      <c r="L268" s="482"/>
    </row>
    <row r="269" spans="1:12" ht="14.25">
      <c r="A269" s="482"/>
      <c r="B269" s="482"/>
      <c r="C269" s="482"/>
      <c r="D269" s="482"/>
      <c r="E269" s="482"/>
      <c r="F269" s="482"/>
      <c r="G269" s="482"/>
      <c r="H269" s="482"/>
      <c r="I269" s="482"/>
      <c r="J269" s="482"/>
      <c r="K269" s="482"/>
      <c r="L269" s="482"/>
    </row>
    <row r="270" spans="1:12" ht="14.25">
      <c r="A270" s="482"/>
      <c r="B270" s="482"/>
      <c r="C270" s="482"/>
      <c r="D270" s="482"/>
      <c r="E270" s="482"/>
      <c r="F270" s="482"/>
      <c r="G270" s="482"/>
      <c r="H270" s="482"/>
      <c r="I270" s="482"/>
      <c r="J270" s="482"/>
      <c r="K270" s="482"/>
      <c r="L270" s="482"/>
    </row>
    <row r="271" spans="1:12" ht="14.25">
      <c r="A271" s="482"/>
      <c r="B271" s="482"/>
      <c r="C271" s="482"/>
      <c r="D271" s="482"/>
      <c r="E271" s="482"/>
      <c r="F271" s="482"/>
      <c r="G271" s="482"/>
      <c r="H271" s="482"/>
      <c r="I271" s="482"/>
      <c r="J271" s="482"/>
      <c r="K271" s="482"/>
      <c r="L271" s="482"/>
    </row>
    <row r="272" spans="1:12" ht="14.25">
      <c r="A272" s="482"/>
      <c r="B272" s="482"/>
      <c r="C272" s="482"/>
      <c r="D272" s="482"/>
      <c r="E272" s="482"/>
      <c r="F272" s="482"/>
      <c r="G272" s="482"/>
      <c r="H272" s="482"/>
      <c r="I272" s="482"/>
      <c r="J272" s="482"/>
      <c r="K272" s="482"/>
      <c r="L272" s="482"/>
    </row>
    <row r="273" spans="1:12" ht="14.25">
      <c r="A273" s="482"/>
      <c r="B273" s="482"/>
      <c r="C273" s="482"/>
      <c r="D273" s="482"/>
      <c r="E273" s="482"/>
      <c r="F273" s="482"/>
      <c r="G273" s="482"/>
      <c r="H273" s="482"/>
      <c r="I273" s="482"/>
      <c r="J273" s="482"/>
      <c r="K273" s="482"/>
      <c r="L273" s="482"/>
    </row>
    <row r="274" spans="1:12" ht="14.25">
      <c r="A274" s="482"/>
      <c r="B274" s="482"/>
      <c r="C274" s="482"/>
      <c r="D274" s="482"/>
      <c r="E274" s="482"/>
      <c r="F274" s="482"/>
      <c r="G274" s="482"/>
      <c r="H274" s="482"/>
      <c r="I274" s="482"/>
      <c r="J274" s="482"/>
      <c r="K274" s="482"/>
      <c r="L274" s="482"/>
    </row>
    <row r="275" spans="1:12" ht="14.25">
      <c r="A275" s="482"/>
      <c r="B275" s="482"/>
      <c r="C275" s="482"/>
      <c r="D275" s="482"/>
      <c r="E275" s="482"/>
      <c r="F275" s="482"/>
      <c r="G275" s="482"/>
      <c r="H275" s="482"/>
      <c r="I275" s="482"/>
      <c r="J275" s="482"/>
      <c r="K275" s="482"/>
      <c r="L275" s="482"/>
    </row>
    <row r="276" spans="1:12" ht="14.25">
      <c r="A276" s="482"/>
      <c r="B276" s="482"/>
      <c r="C276" s="482"/>
      <c r="D276" s="482"/>
      <c r="E276" s="482"/>
      <c r="F276" s="482"/>
      <c r="G276" s="482"/>
      <c r="H276" s="482"/>
      <c r="I276" s="482"/>
      <c r="J276" s="482"/>
      <c r="K276" s="482"/>
      <c r="L276" s="482"/>
    </row>
    <row r="277" spans="1:12" ht="14.25">
      <c r="A277" s="482"/>
      <c r="B277" s="482"/>
      <c r="C277" s="482"/>
      <c r="D277" s="482"/>
      <c r="E277" s="482"/>
      <c r="F277" s="482"/>
      <c r="G277" s="482"/>
      <c r="H277" s="482"/>
      <c r="I277" s="482"/>
      <c r="J277" s="482"/>
      <c r="K277" s="482"/>
      <c r="L277" s="482"/>
    </row>
    <row r="278" spans="1:12" ht="14.25">
      <c r="A278" s="482"/>
      <c r="B278" s="482"/>
      <c r="C278" s="482"/>
      <c r="D278" s="482"/>
      <c r="E278" s="482"/>
      <c r="F278" s="482"/>
      <c r="G278" s="482"/>
      <c r="H278" s="482"/>
      <c r="I278" s="482"/>
      <c r="J278" s="482"/>
      <c r="K278" s="482"/>
      <c r="L278" s="482"/>
    </row>
    <row r="279" spans="1:12" ht="14.25">
      <c r="A279" s="482"/>
      <c r="B279" s="482"/>
      <c r="C279" s="482"/>
      <c r="D279" s="482"/>
      <c r="E279" s="482"/>
      <c r="F279" s="482"/>
      <c r="G279" s="482"/>
      <c r="H279" s="482"/>
      <c r="I279" s="482"/>
      <c r="J279" s="482"/>
      <c r="K279" s="482"/>
      <c r="L279" s="482"/>
    </row>
    <row r="280" spans="1:12" ht="14.25">
      <c r="A280" s="482"/>
      <c r="B280" s="482"/>
      <c r="C280" s="482"/>
      <c r="D280" s="482"/>
      <c r="E280" s="482"/>
      <c r="F280" s="482"/>
      <c r="G280" s="482"/>
      <c r="H280" s="482"/>
      <c r="I280" s="482"/>
      <c r="J280" s="482"/>
      <c r="K280" s="482"/>
      <c r="L280" s="482"/>
    </row>
    <row r="281" spans="1:12" ht="14.25">
      <c r="A281" s="482"/>
      <c r="B281" s="482"/>
      <c r="C281" s="482"/>
      <c r="D281" s="482"/>
      <c r="E281" s="482"/>
      <c r="F281" s="482"/>
      <c r="G281" s="482"/>
      <c r="H281" s="482"/>
      <c r="I281" s="482"/>
      <c r="J281" s="482"/>
      <c r="K281" s="482"/>
      <c r="L281" s="482"/>
    </row>
    <row r="282" spans="1:12" ht="14.25">
      <c r="A282" s="482"/>
      <c r="B282" s="482"/>
      <c r="C282" s="482"/>
      <c r="D282" s="482"/>
      <c r="E282" s="482"/>
      <c r="F282" s="482"/>
      <c r="G282" s="482"/>
      <c r="H282" s="482"/>
      <c r="I282" s="482"/>
      <c r="J282" s="482"/>
      <c r="K282" s="482"/>
      <c r="L282" s="482"/>
    </row>
    <row r="283" spans="1:12" ht="14.25">
      <c r="A283" s="482"/>
      <c r="B283" s="482"/>
      <c r="C283" s="482"/>
      <c r="D283" s="482"/>
      <c r="E283" s="482"/>
      <c r="F283" s="482"/>
      <c r="G283" s="482"/>
      <c r="H283" s="482"/>
      <c r="I283" s="482"/>
      <c r="J283" s="482"/>
      <c r="K283" s="482"/>
      <c r="L283" s="482"/>
    </row>
    <row r="284" spans="1:12" ht="14.25">
      <c r="A284" s="482"/>
      <c r="B284" s="482"/>
      <c r="C284" s="482"/>
      <c r="D284" s="482"/>
      <c r="E284" s="482"/>
      <c r="F284" s="482"/>
      <c r="G284" s="482"/>
      <c r="H284" s="482"/>
      <c r="I284" s="482"/>
      <c r="J284" s="482"/>
      <c r="K284" s="482"/>
      <c r="L284" s="482"/>
    </row>
    <row r="285" spans="1:12" ht="14.25">
      <c r="A285" s="482"/>
      <c r="B285" s="482"/>
      <c r="C285" s="482"/>
      <c r="D285" s="482"/>
      <c r="E285" s="482"/>
      <c r="F285" s="482"/>
      <c r="G285" s="482"/>
      <c r="H285" s="482"/>
      <c r="I285" s="482"/>
      <c r="J285" s="482"/>
      <c r="K285" s="482"/>
      <c r="L285" s="482"/>
    </row>
    <row r="286" spans="1:12" ht="14.25">
      <c r="A286" s="482"/>
      <c r="B286" s="482"/>
      <c r="C286" s="482"/>
      <c r="D286" s="482"/>
      <c r="E286" s="482"/>
      <c r="F286" s="482"/>
      <c r="G286" s="482"/>
      <c r="H286" s="482"/>
      <c r="I286" s="482"/>
      <c r="J286" s="482"/>
      <c r="K286" s="482"/>
      <c r="L286" s="482"/>
    </row>
    <row r="287" spans="1:12" ht="14.25">
      <c r="A287" s="482"/>
      <c r="B287" s="482"/>
      <c r="C287" s="482"/>
      <c r="D287" s="482"/>
      <c r="E287" s="482"/>
      <c r="F287" s="482"/>
      <c r="G287" s="482"/>
      <c r="H287" s="482"/>
      <c r="I287" s="482"/>
      <c r="J287" s="482"/>
      <c r="K287" s="482"/>
      <c r="L287" s="482"/>
    </row>
    <row r="288" spans="1:12" ht="14.25">
      <c r="A288" s="482"/>
      <c r="B288" s="482"/>
      <c r="C288" s="482"/>
      <c r="D288" s="482"/>
      <c r="E288" s="482"/>
      <c r="F288" s="482"/>
      <c r="G288" s="482"/>
      <c r="H288" s="482"/>
      <c r="I288" s="482"/>
      <c r="J288" s="482"/>
      <c r="K288" s="482"/>
      <c r="L288" s="482"/>
    </row>
    <row r="289" spans="1:12" ht="14.25">
      <c r="A289" s="482"/>
      <c r="B289" s="482"/>
      <c r="C289" s="482"/>
      <c r="D289" s="482"/>
      <c r="E289" s="482"/>
      <c r="F289" s="482"/>
      <c r="G289" s="482"/>
      <c r="H289" s="482"/>
      <c r="I289" s="482"/>
      <c r="J289" s="482"/>
      <c r="K289" s="482"/>
      <c r="L289" s="482"/>
    </row>
    <row r="290" spans="1:12" ht="14.25">
      <c r="A290" s="482"/>
      <c r="B290" s="482"/>
      <c r="C290" s="482"/>
      <c r="D290" s="482"/>
      <c r="E290" s="482"/>
      <c r="F290" s="482"/>
      <c r="G290" s="482"/>
      <c r="H290" s="482"/>
      <c r="I290" s="482"/>
      <c r="J290" s="482"/>
      <c r="K290" s="482"/>
      <c r="L290" s="482"/>
    </row>
    <row r="291" spans="1:12" ht="14.25">
      <c r="A291" s="482"/>
      <c r="B291" s="482"/>
      <c r="C291" s="482"/>
      <c r="D291" s="482"/>
      <c r="E291" s="482"/>
      <c r="F291" s="482"/>
      <c r="G291" s="482"/>
      <c r="H291" s="482"/>
      <c r="I291" s="482"/>
      <c r="J291" s="482"/>
      <c r="K291" s="482"/>
      <c r="L291" s="482"/>
    </row>
    <row r="292" spans="1:12" ht="14.25">
      <c r="A292" s="482"/>
      <c r="B292" s="482"/>
      <c r="C292" s="482"/>
      <c r="D292" s="482"/>
      <c r="E292" s="482"/>
      <c r="F292" s="482"/>
      <c r="G292" s="482"/>
      <c r="H292" s="482"/>
      <c r="I292" s="482"/>
      <c r="J292" s="482"/>
      <c r="K292" s="482"/>
      <c r="L292" s="482"/>
    </row>
    <row r="293" spans="1:12" ht="14.25">
      <c r="A293" s="482"/>
      <c r="B293" s="482"/>
      <c r="C293" s="482"/>
      <c r="D293" s="482"/>
      <c r="E293" s="482"/>
      <c r="F293" s="482"/>
      <c r="G293" s="482"/>
      <c r="H293" s="482"/>
      <c r="I293" s="482"/>
      <c r="J293" s="482"/>
      <c r="K293" s="482"/>
      <c r="L293" s="482"/>
    </row>
    <row r="294" spans="1:12" ht="14.25">
      <c r="A294" s="482"/>
      <c r="B294" s="482"/>
      <c r="C294" s="482"/>
      <c r="D294" s="482"/>
      <c r="E294" s="482"/>
      <c r="F294" s="482"/>
      <c r="G294" s="482"/>
      <c r="H294" s="482"/>
      <c r="I294" s="482"/>
      <c r="J294" s="482"/>
      <c r="K294" s="482"/>
      <c r="L294" s="482"/>
    </row>
    <row r="295" spans="1:12" ht="14.25">
      <c r="A295" s="482"/>
      <c r="B295" s="482"/>
      <c r="C295" s="482"/>
      <c r="D295" s="482"/>
      <c r="E295" s="482"/>
      <c r="F295" s="482"/>
      <c r="G295" s="482"/>
      <c r="H295" s="482"/>
      <c r="I295" s="482"/>
      <c r="J295" s="482"/>
      <c r="K295" s="482"/>
      <c r="L295" s="482"/>
    </row>
    <row r="296" spans="1:12" ht="14.25">
      <c r="A296" s="482"/>
      <c r="B296" s="482"/>
      <c r="C296" s="482"/>
      <c r="D296" s="482"/>
      <c r="E296" s="482"/>
      <c r="F296" s="482"/>
      <c r="G296" s="482"/>
      <c r="H296" s="482"/>
      <c r="I296" s="482"/>
      <c r="J296" s="482"/>
      <c r="K296" s="482"/>
      <c r="L296" s="482"/>
    </row>
    <row r="297" spans="1:12" ht="14.25">
      <c r="A297" s="482"/>
      <c r="B297" s="482"/>
      <c r="C297" s="482"/>
      <c r="D297" s="482"/>
      <c r="E297" s="482"/>
      <c r="F297" s="482"/>
      <c r="G297" s="482"/>
      <c r="H297" s="482"/>
      <c r="I297" s="482"/>
      <c r="J297" s="482"/>
      <c r="K297" s="482"/>
      <c r="L297" s="482"/>
    </row>
    <row r="298" spans="1:12" ht="14.25">
      <c r="A298" s="482"/>
      <c r="B298" s="482"/>
      <c r="C298" s="482"/>
      <c r="D298" s="482"/>
      <c r="E298" s="482"/>
      <c r="F298" s="482"/>
      <c r="G298" s="482"/>
      <c r="H298" s="482"/>
      <c r="I298" s="482"/>
      <c r="J298" s="482"/>
      <c r="K298" s="482"/>
      <c r="L298" s="482"/>
    </row>
    <row r="299" spans="1:12" ht="14.25">
      <c r="A299" s="482"/>
      <c r="B299" s="482"/>
      <c r="C299" s="482"/>
      <c r="D299" s="482"/>
      <c r="E299" s="482"/>
      <c r="F299" s="482"/>
      <c r="G299" s="482"/>
      <c r="H299" s="482"/>
      <c r="I299" s="482"/>
      <c r="J299" s="482"/>
      <c r="K299" s="482"/>
      <c r="L299" s="482"/>
    </row>
    <row r="300" spans="1:12" ht="14.25">
      <c r="A300" s="482"/>
      <c r="B300" s="482"/>
      <c r="C300" s="482"/>
      <c r="D300" s="482"/>
      <c r="E300" s="482"/>
      <c r="F300" s="482"/>
      <c r="G300" s="482"/>
      <c r="H300" s="482"/>
      <c r="I300" s="482"/>
      <c r="J300" s="482"/>
      <c r="K300" s="482"/>
      <c r="L300" s="482"/>
    </row>
    <row r="301" spans="1:12" ht="14.25">
      <c r="A301" s="482"/>
      <c r="B301" s="482"/>
      <c r="C301" s="482"/>
      <c r="D301" s="482"/>
      <c r="E301" s="482"/>
      <c r="F301" s="482"/>
      <c r="G301" s="482"/>
      <c r="H301" s="482"/>
      <c r="I301" s="482"/>
      <c r="J301" s="482"/>
      <c r="K301" s="482"/>
      <c r="L301" s="482"/>
    </row>
    <row r="302" spans="1:12" ht="14.25">
      <c r="A302" s="482"/>
      <c r="B302" s="482"/>
      <c r="C302" s="482"/>
      <c r="D302" s="482"/>
      <c r="E302" s="482"/>
      <c r="F302" s="482"/>
      <c r="G302" s="482"/>
      <c r="H302" s="482"/>
      <c r="I302" s="482"/>
      <c r="J302" s="482"/>
      <c r="K302" s="482"/>
      <c r="L302" s="482"/>
    </row>
    <row r="303" spans="1:12" ht="14.25">
      <c r="A303" s="482"/>
      <c r="B303" s="482"/>
      <c r="C303" s="482"/>
      <c r="D303" s="482"/>
      <c r="E303" s="482"/>
      <c r="F303" s="482"/>
      <c r="G303" s="482"/>
      <c r="H303" s="482"/>
      <c r="I303" s="482"/>
      <c r="J303" s="482"/>
      <c r="K303" s="482"/>
      <c r="L303" s="482"/>
    </row>
    <row r="304" spans="1:12" ht="14.25">
      <c r="A304" s="482"/>
      <c r="B304" s="482"/>
      <c r="C304" s="482"/>
      <c r="D304" s="482"/>
      <c r="E304" s="482"/>
      <c r="F304" s="482"/>
      <c r="G304" s="482"/>
      <c r="H304" s="482"/>
      <c r="I304" s="482"/>
      <c r="J304" s="482"/>
      <c r="K304" s="482"/>
      <c r="L304" s="482"/>
    </row>
    <row r="305" spans="1:12" ht="14.25">
      <c r="A305" s="482"/>
      <c r="B305" s="482"/>
      <c r="C305" s="482"/>
      <c r="D305" s="482"/>
      <c r="E305" s="482"/>
      <c r="F305" s="482"/>
      <c r="G305" s="482"/>
      <c r="H305" s="482"/>
      <c r="I305" s="482"/>
      <c r="J305" s="482"/>
      <c r="K305" s="482"/>
      <c r="L305" s="482"/>
    </row>
    <row r="306" spans="1:12" ht="14.25">
      <c r="A306" s="482"/>
      <c r="B306" s="482"/>
      <c r="C306" s="482"/>
      <c r="D306" s="482"/>
      <c r="E306" s="482"/>
      <c r="F306" s="482"/>
      <c r="G306" s="482"/>
      <c r="H306" s="482"/>
      <c r="I306" s="482"/>
      <c r="J306" s="482"/>
      <c r="K306" s="482"/>
      <c r="L306" s="482"/>
    </row>
    <row r="307" spans="1:12" ht="14.25">
      <c r="A307" s="482"/>
      <c r="B307" s="482"/>
      <c r="C307" s="482"/>
      <c r="D307" s="482"/>
      <c r="E307" s="482"/>
      <c r="F307" s="482"/>
      <c r="G307" s="482"/>
      <c r="H307" s="482"/>
      <c r="I307" s="482"/>
      <c r="J307" s="482"/>
      <c r="K307" s="482"/>
      <c r="L307" s="482"/>
    </row>
    <row r="308" spans="1:12" ht="14.25">
      <c r="A308" s="482"/>
      <c r="B308" s="482"/>
      <c r="C308" s="482"/>
      <c r="D308" s="482"/>
      <c r="E308" s="482"/>
      <c r="F308" s="482"/>
      <c r="G308" s="482"/>
      <c r="H308" s="482"/>
      <c r="I308" s="482"/>
      <c r="J308" s="482"/>
      <c r="K308" s="482"/>
      <c r="L308" s="482"/>
    </row>
    <row r="309" spans="1:12" ht="14.25">
      <c r="A309" s="482"/>
      <c r="B309" s="482"/>
      <c r="C309" s="482"/>
      <c r="D309" s="482"/>
      <c r="E309" s="482"/>
      <c r="F309" s="482"/>
      <c r="G309" s="482"/>
      <c r="H309" s="482"/>
      <c r="I309" s="482"/>
      <c r="J309" s="482"/>
      <c r="K309" s="482"/>
      <c r="L309" s="482"/>
    </row>
    <row r="310" spans="1:12" ht="14.25">
      <c r="A310" s="482"/>
      <c r="B310" s="482"/>
      <c r="C310" s="482"/>
      <c r="D310" s="482"/>
      <c r="E310" s="482"/>
      <c r="F310" s="482"/>
      <c r="G310" s="482"/>
      <c r="H310" s="482"/>
      <c r="I310" s="482"/>
      <c r="J310" s="482"/>
      <c r="K310" s="482"/>
      <c r="L310" s="482"/>
    </row>
    <row r="311" spans="1:12" ht="14.25">
      <c r="A311" s="482"/>
      <c r="B311" s="482"/>
      <c r="C311" s="482"/>
      <c r="D311" s="482"/>
      <c r="E311" s="482"/>
      <c r="F311" s="482"/>
      <c r="G311" s="482"/>
      <c r="H311" s="482"/>
      <c r="I311" s="482"/>
      <c r="J311" s="482"/>
      <c r="K311" s="482"/>
      <c r="L311" s="482"/>
    </row>
    <row r="312" spans="1:12" ht="14.25">
      <c r="A312" s="482"/>
      <c r="B312" s="482"/>
      <c r="C312" s="482"/>
      <c r="D312" s="482"/>
      <c r="E312" s="482"/>
      <c r="F312" s="482"/>
      <c r="G312" s="482"/>
      <c r="H312" s="482"/>
      <c r="I312" s="482"/>
      <c r="J312" s="482"/>
      <c r="K312" s="482"/>
      <c r="L312" s="482"/>
    </row>
    <row r="313" spans="1:12" ht="14.25">
      <c r="A313" s="482"/>
      <c r="B313" s="482"/>
      <c r="C313" s="482"/>
      <c r="D313" s="482"/>
      <c r="E313" s="482"/>
      <c r="F313" s="482"/>
      <c r="G313" s="482"/>
      <c r="H313" s="482"/>
      <c r="I313" s="482"/>
      <c r="J313" s="482"/>
      <c r="K313" s="482"/>
      <c r="L313" s="482"/>
    </row>
    <row r="314" spans="1:12" ht="14.25">
      <c r="A314" s="482"/>
      <c r="B314" s="482"/>
      <c r="C314" s="482"/>
      <c r="D314" s="482"/>
      <c r="E314" s="482"/>
      <c r="F314" s="482"/>
      <c r="G314" s="482"/>
      <c r="H314" s="482"/>
      <c r="I314" s="482"/>
      <c r="J314" s="482"/>
      <c r="K314" s="482"/>
      <c r="L314" s="482"/>
    </row>
    <row r="315" spans="1:12" ht="14.25">
      <c r="A315" s="482"/>
      <c r="B315" s="482"/>
      <c r="C315" s="482"/>
      <c r="D315" s="482"/>
      <c r="E315" s="482"/>
      <c r="F315" s="482"/>
      <c r="G315" s="482"/>
      <c r="H315" s="482"/>
      <c r="I315" s="482"/>
      <c r="J315" s="482"/>
      <c r="K315" s="482"/>
      <c r="L315" s="482"/>
    </row>
    <row r="316" spans="1:12" ht="14.25">
      <c r="A316" s="482"/>
      <c r="B316" s="482"/>
      <c r="C316" s="482"/>
      <c r="D316" s="482"/>
      <c r="E316" s="482"/>
      <c r="F316" s="482"/>
      <c r="G316" s="482"/>
      <c r="H316" s="482"/>
      <c r="I316" s="482"/>
      <c r="J316" s="482"/>
      <c r="K316" s="482"/>
      <c r="L316" s="482"/>
    </row>
    <row r="317" spans="1:12" ht="14.25">
      <c r="A317" s="482"/>
      <c r="B317" s="482"/>
      <c r="C317" s="482"/>
      <c r="D317" s="482"/>
      <c r="E317" s="482"/>
      <c r="F317" s="482"/>
      <c r="G317" s="482"/>
      <c r="H317" s="482"/>
      <c r="I317" s="482"/>
      <c r="J317" s="482"/>
      <c r="K317" s="482"/>
      <c r="L317" s="482"/>
    </row>
    <row r="318" spans="1:12" ht="14.25">
      <c r="A318" s="482"/>
      <c r="B318" s="482"/>
      <c r="C318" s="482"/>
      <c r="D318" s="482"/>
      <c r="E318" s="482"/>
      <c r="F318" s="482"/>
      <c r="G318" s="482"/>
      <c r="H318" s="482"/>
      <c r="I318" s="482"/>
      <c r="J318" s="482"/>
      <c r="K318" s="482"/>
      <c r="L318" s="482"/>
    </row>
    <row r="319" spans="1:12" ht="14.25">
      <c r="A319" s="482"/>
      <c r="B319" s="482"/>
      <c r="C319" s="482"/>
      <c r="D319" s="482"/>
      <c r="E319" s="482"/>
      <c r="F319" s="482"/>
      <c r="G319" s="482"/>
      <c r="H319" s="482"/>
      <c r="I319" s="482"/>
      <c r="J319" s="482"/>
      <c r="K319" s="482"/>
      <c r="L319" s="482"/>
    </row>
    <row r="320" spans="1:12" ht="14.25">
      <c r="A320" s="482"/>
      <c r="B320" s="482"/>
      <c r="C320" s="482"/>
      <c r="D320" s="482"/>
      <c r="E320" s="482"/>
      <c r="F320" s="482"/>
      <c r="G320" s="482"/>
      <c r="H320" s="482"/>
      <c r="I320" s="482"/>
      <c r="J320" s="482"/>
      <c r="K320" s="482"/>
      <c r="L320" s="482"/>
    </row>
    <row r="321" spans="1:12" ht="14.25">
      <c r="A321" s="482"/>
      <c r="B321" s="482"/>
      <c r="C321" s="482"/>
      <c r="D321" s="482"/>
      <c r="E321" s="482"/>
      <c r="F321" s="482"/>
      <c r="G321" s="482"/>
      <c r="H321" s="482"/>
      <c r="I321" s="482"/>
      <c r="J321" s="482"/>
      <c r="K321" s="482"/>
      <c r="L321" s="482"/>
    </row>
    <row r="322" spans="1:12" ht="14.25">
      <c r="A322" s="482"/>
      <c r="B322" s="482"/>
      <c r="C322" s="482"/>
      <c r="D322" s="482"/>
      <c r="E322" s="482"/>
      <c r="F322" s="482"/>
      <c r="G322" s="482"/>
      <c r="H322" s="482"/>
      <c r="I322" s="482"/>
      <c r="J322" s="482"/>
      <c r="K322" s="482"/>
      <c r="L322" s="482"/>
    </row>
    <row r="323" spans="1:12" ht="14.25">
      <c r="A323" s="482"/>
      <c r="B323" s="482"/>
      <c r="C323" s="482"/>
      <c r="D323" s="482"/>
      <c r="E323" s="482"/>
      <c r="F323" s="482"/>
      <c r="G323" s="482"/>
      <c r="H323" s="482"/>
      <c r="I323" s="482"/>
      <c r="J323" s="482"/>
      <c r="K323" s="482"/>
      <c r="L323" s="482"/>
    </row>
    <row r="324" spans="1:12" ht="14.25">
      <c r="A324" s="482"/>
      <c r="B324" s="482"/>
      <c r="C324" s="482"/>
      <c r="D324" s="482"/>
      <c r="E324" s="482"/>
      <c r="F324" s="482"/>
      <c r="G324" s="482"/>
      <c r="H324" s="482"/>
      <c r="I324" s="482"/>
      <c r="J324" s="482"/>
      <c r="K324" s="482"/>
      <c r="L324" s="482"/>
    </row>
    <row r="325" spans="1:12" ht="14.25">
      <c r="A325" s="482"/>
      <c r="B325" s="482"/>
      <c r="C325" s="482"/>
      <c r="D325" s="482"/>
      <c r="E325" s="482"/>
      <c r="F325" s="482"/>
      <c r="G325" s="482"/>
      <c r="H325" s="482"/>
      <c r="I325" s="482"/>
      <c r="J325" s="482"/>
      <c r="K325" s="482"/>
      <c r="L325" s="482"/>
    </row>
    <row r="326" spans="1:12" ht="14.25">
      <c r="A326" s="482"/>
      <c r="B326" s="482"/>
      <c r="C326" s="482"/>
      <c r="D326" s="482"/>
      <c r="E326" s="482"/>
      <c r="F326" s="482"/>
      <c r="G326" s="482"/>
      <c r="H326" s="482"/>
      <c r="I326" s="482"/>
      <c r="J326" s="482"/>
      <c r="K326" s="482"/>
      <c r="L326" s="482"/>
    </row>
    <row r="327" spans="1:12" ht="14.25">
      <c r="A327" s="482"/>
      <c r="B327" s="482"/>
      <c r="C327" s="482"/>
      <c r="D327" s="482"/>
      <c r="E327" s="482"/>
      <c r="F327" s="482"/>
      <c r="G327" s="482"/>
      <c r="H327" s="482"/>
      <c r="I327" s="482"/>
      <c r="J327" s="482"/>
      <c r="K327" s="482"/>
      <c r="L327" s="482"/>
    </row>
    <row r="328" spans="1:12" ht="14.25">
      <c r="A328" s="482"/>
      <c r="B328" s="482"/>
      <c r="C328" s="482"/>
      <c r="D328" s="482"/>
      <c r="E328" s="482"/>
      <c r="F328" s="482"/>
      <c r="G328" s="482"/>
      <c r="H328" s="482"/>
      <c r="I328" s="482"/>
      <c r="J328" s="482"/>
      <c r="K328" s="482"/>
      <c r="L328" s="482"/>
    </row>
    <row r="329" spans="1:12" ht="14.25">
      <c r="A329" s="482"/>
      <c r="B329" s="482"/>
      <c r="C329" s="482"/>
      <c r="D329" s="482"/>
      <c r="E329" s="482"/>
      <c r="F329" s="482"/>
      <c r="G329" s="482"/>
      <c r="H329" s="482"/>
      <c r="I329" s="482"/>
      <c r="J329" s="482"/>
      <c r="K329" s="482"/>
      <c r="L329" s="482"/>
    </row>
    <row r="330" spans="1:12" ht="14.25">
      <c r="A330" s="482"/>
      <c r="B330" s="482"/>
      <c r="C330" s="482"/>
      <c r="D330" s="482"/>
      <c r="E330" s="482"/>
      <c r="F330" s="482"/>
      <c r="G330" s="482"/>
      <c r="H330" s="482"/>
      <c r="I330" s="482"/>
      <c r="J330" s="482"/>
      <c r="K330" s="482"/>
      <c r="L330" s="482"/>
    </row>
    <row r="331" spans="1:12" ht="14.25">
      <c r="A331" s="482"/>
      <c r="B331" s="482"/>
      <c r="C331" s="482"/>
      <c r="D331" s="482"/>
      <c r="E331" s="482"/>
      <c r="F331" s="482"/>
      <c r="G331" s="482"/>
      <c r="H331" s="482"/>
      <c r="I331" s="482"/>
      <c r="J331" s="482"/>
      <c r="K331" s="482"/>
      <c r="L331" s="482"/>
    </row>
    <row r="332" spans="1:12" ht="14.25">
      <c r="A332" s="482"/>
      <c r="B332" s="482"/>
      <c r="C332" s="482"/>
      <c r="D332" s="482"/>
      <c r="E332" s="482"/>
      <c r="F332" s="482"/>
      <c r="G332" s="482"/>
      <c r="H332" s="482"/>
      <c r="I332" s="482"/>
      <c r="J332" s="482"/>
      <c r="K332" s="482"/>
      <c r="L332" s="482"/>
    </row>
    <row r="333" spans="1:12" ht="14.25">
      <c r="A333" s="482"/>
      <c r="B333" s="482"/>
      <c r="C333" s="482"/>
      <c r="D333" s="482"/>
      <c r="E333" s="482"/>
      <c r="F333" s="482"/>
      <c r="G333" s="482"/>
      <c r="H333" s="482"/>
      <c r="I333" s="482"/>
      <c r="J333" s="482"/>
      <c r="K333" s="482"/>
      <c r="L333" s="482"/>
    </row>
    <row r="334" spans="1:12" ht="14.25">
      <c r="A334" s="482"/>
      <c r="B334" s="482"/>
      <c r="C334" s="482"/>
      <c r="D334" s="482"/>
      <c r="E334" s="482"/>
      <c r="F334" s="482"/>
      <c r="G334" s="482"/>
      <c r="H334" s="482"/>
      <c r="I334" s="482"/>
      <c r="J334" s="482"/>
      <c r="K334" s="482"/>
      <c r="L334" s="482"/>
    </row>
    <row r="335" spans="1:12" ht="14.25">
      <c r="A335" s="482"/>
      <c r="B335" s="482"/>
      <c r="C335" s="482"/>
      <c r="D335" s="482"/>
      <c r="E335" s="482"/>
      <c r="F335" s="482"/>
      <c r="G335" s="482"/>
      <c r="H335" s="482"/>
      <c r="I335" s="482"/>
      <c r="J335" s="482"/>
      <c r="K335" s="482"/>
      <c r="L335" s="482"/>
    </row>
    <row r="336" spans="1:12" ht="14.25">
      <c r="A336" s="482"/>
      <c r="B336" s="482"/>
      <c r="C336" s="482"/>
      <c r="D336" s="482"/>
      <c r="E336" s="482"/>
      <c r="F336" s="482"/>
      <c r="G336" s="482"/>
      <c r="H336" s="482"/>
      <c r="I336" s="482"/>
      <c r="J336" s="482"/>
      <c r="K336" s="482"/>
      <c r="L336" s="482"/>
    </row>
    <row r="337" spans="1:12" ht="14.25">
      <c r="A337" s="482"/>
      <c r="B337" s="482"/>
      <c r="C337" s="482"/>
      <c r="D337" s="482"/>
      <c r="E337" s="482"/>
      <c r="F337" s="482"/>
      <c r="G337" s="482"/>
      <c r="H337" s="482"/>
      <c r="I337" s="482"/>
      <c r="J337" s="482"/>
      <c r="K337" s="482"/>
      <c r="L337" s="482"/>
    </row>
    <row r="338" spans="1:12" ht="14.25">
      <c r="A338" s="482"/>
      <c r="B338" s="482"/>
      <c r="C338" s="482"/>
      <c r="D338" s="482"/>
      <c r="E338" s="482"/>
      <c r="F338" s="482"/>
      <c r="G338" s="482"/>
      <c r="H338" s="482"/>
      <c r="I338" s="482"/>
      <c r="J338" s="482"/>
      <c r="K338" s="482"/>
      <c r="L338" s="482"/>
    </row>
    <row r="339" spans="1:12" ht="14.25">
      <c r="A339" s="482"/>
      <c r="B339" s="482"/>
      <c r="C339" s="482"/>
      <c r="D339" s="482"/>
      <c r="E339" s="482"/>
      <c r="F339" s="482"/>
      <c r="G339" s="482"/>
      <c r="H339" s="482"/>
      <c r="I339" s="482"/>
      <c r="J339" s="482"/>
      <c r="K339" s="482"/>
      <c r="L339" s="482"/>
    </row>
    <row r="340" spans="1:12" ht="14.25">
      <c r="A340" s="482"/>
      <c r="B340" s="482"/>
      <c r="C340" s="482"/>
      <c r="D340" s="482"/>
      <c r="E340" s="482"/>
      <c r="F340" s="482"/>
      <c r="G340" s="482"/>
      <c r="H340" s="482"/>
      <c r="I340" s="482"/>
      <c r="J340" s="482"/>
      <c r="K340" s="482"/>
      <c r="L340" s="482"/>
    </row>
    <row r="341" spans="1:12" ht="14.25">
      <c r="A341" s="482"/>
      <c r="B341" s="482"/>
      <c r="C341" s="482"/>
      <c r="D341" s="482"/>
      <c r="E341" s="482"/>
      <c r="F341" s="482"/>
      <c r="G341" s="482"/>
      <c r="H341" s="482"/>
      <c r="I341" s="482"/>
      <c r="J341" s="482"/>
      <c r="K341" s="482"/>
      <c r="L341" s="482"/>
    </row>
    <row r="342" spans="1:12" ht="14.25">
      <c r="A342" s="482"/>
      <c r="B342" s="482"/>
      <c r="C342" s="482"/>
      <c r="D342" s="482"/>
      <c r="E342" s="482"/>
      <c r="F342" s="482"/>
      <c r="G342" s="482"/>
      <c r="H342" s="482"/>
      <c r="I342" s="482"/>
      <c r="J342" s="482"/>
      <c r="K342" s="482"/>
      <c r="L342" s="482"/>
    </row>
    <row r="343" spans="1:12" ht="14.25">
      <c r="A343" s="482"/>
      <c r="B343" s="482"/>
      <c r="C343" s="482"/>
      <c r="D343" s="482"/>
      <c r="E343" s="482"/>
      <c r="F343" s="482"/>
      <c r="G343" s="482"/>
      <c r="H343" s="482"/>
      <c r="I343" s="482"/>
      <c r="J343" s="482"/>
      <c r="K343" s="482"/>
      <c r="L343" s="482"/>
    </row>
    <row r="344" spans="1:12" ht="14.25">
      <c r="A344" s="482"/>
      <c r="B344" s="482"/>
      <c r="C344" s="482"/>
      <c r="D344" s="482"/>
      <c r="E344" s="482"/>
      <c r="F344" s="482"/>
      <c r="G344" s="482"/>
      <c r="H344" s="482"/>
      <c r="I344" s="482"/>
      <c r="J344" s="482"/>
      <c r="K344" s="482"/>
      <c r="L344" s="482"/>
    </row>
    <row r="345" spans="1:12" ht="14.25">
      <c r="A345" s="482"/>
      <c r="B345" s="482"/>
      <c r="C345" s="482"/>
      <c r="D345" s="482"/>
      <c r="E345" s="482"/>
      <c r="F345" s="482"/>
      <c r="G345" s="482"/>
      <c r="H345" s="482"/>
      <c r="I345" s="482"/>
      <c r="J345" s="482"/>
      <c r="K345" s="482"/>
      <c r="L345" s="482"/>
    </row>
    <row r="346" spans="1:12" ht="14.25">
      <c r="A346" s="482"/>
      <c r="B346" s="482"/>
      <c r="C346" s="482"/>
      <c r="D346" s="482"/>
      <c r="E346" s="482"/>
      <c r="F346" s="482"/>
      <c r="G346" s="482"/>
      <c r="H346" s="482"/>
      <c r="I346" s="482"/>
      <c r="J346" s="482"/>
      <c r="K346" s="482"/>
      <c r="L346" s="482"/>
    </row>
    <row r="347" spans="1:12" ht="14.25">
      <c r="A347" s="482"/>
      <c r="B347" s="482"/>
      <c r="C347" s="482"/>
      <c r="D347" s="482"/>
      <c r="E347" s="482"/>
      <c r="F347" s="482"/>
      <c r="G347" s="482"/>
      <c r="H347" s="482"/>
      <c r="I347" s="482"/>
      <c r="J347" s="482"/>
      <c r="K347" s="482"/>
      <c r="L347" s="482"/>
    </row>
    <row r="348" spans="1:12" ht="14.25">
      <c r="A348" s="482"/>
      <c r="B348" s="482"/>
      <c r="C348" s="482"/>
      <c r="D348" s="482"/>
      <c r="E348" s="482"/>
      <c r="F348" s="482"/>
      <c r="G348" s="482"/>
      <c r="H348" s="482"/>
      <c r="I348" s="482"/>
      <c r="J348" s="482"/>
      <c r="K348" s="482"/>
      <c r="L348" s="482"/>
    </row>
    <row r="349" spans="1:12" ht="14.25">
      <c r="A349" s="482"/>
      <c r="B349" s="482"/>
      <c r="C349" s="482"/>
      <c r="D349" s="482"/>
      <c r="E349" s="482"/>
      <c r="F349" s="482"/>
      <c r="G349" s="482"/>
      <c r="H349" s="482"/>
      <c r="I349" s="482"/>
      <c r="J349" s="482"/>
      <c r="K349" s="482"/>
      <c r="L349" s="482"/>
    </row>
    <row r="350" spans="1:12" ht="14.25">
      <c r="A350" s="482"/>
      <c r="B350" s="482"/>
      <c r="C350" s="482"/>
      <c r="D350" s="482"/>
      <c r="E350" s="482"/>
      <c r="F350" s="482"/>
      <c r="G350" s="482"/>
      <c r="H350" s="482"/>
      <c r="I350" s="482"/>
      <c r="J350" s="482"/>
      <c r="K350" s="482"/>
      <c r="L350" s="482"/>
    </row>
    <row r="351" spans="1:12" ht="14.25">
      <c r="A351" s="482"/>
      <c r="B351" s="482"/>
      <c r="C351" s="482"/>
      <c r="D351" s="482"/>
      <c r="E351" s="482"/>
      <c r="F351" s="482"/>
      <c r="G351" s="482"/>
      <c r="H351" s="482"/>
      <c r="I351" s="482"/>
      <c r="J351" s="482"/>
      <c r="K351" s="482"/>
      <c r="L351" s="482"/>
    </row>
    <row r="352" spans="1:12" ht="14.25">
      <c r="A352" s="482"/>
      <c r="B352" s="482"/>
      <c r="C352" s="482"/>
      <c r="D352" s="482"/>
      <c r="E352" s="482"/>
      <c r="F352" s="482"/>
      <c r="G352" s="482"/>
      <c r="H352" s="482"/>
      <c r="I352" s="482"/>
      <c r="J352" s="482"/>
      <c r="K352" s="482"/>
      <c r="L352" s="482"/>
    </row>
    <row r="353" spans="1:12" ht="14.25">
      <c r="A353" s="482"/>
      <c r="B353" s="482"/>
      <c r="C353" s="482"/>
      <c r="D353" s="482"/>
      <c r="E353" s="482"/>
      <c r="F353" s="482"/>
      <c r="G353" s="482"/>
      <c r="H353" s="482"/>
      <c r="I353" s="482"/>
      <c r="J353" s="482"/>
      <c r="K353" s="482"/>
      <c r="L353" s="482"/>
    </row>
    <row r="354" spans="1:12" ht="14.25">
      <c r="A354" s="482"/>
      <c r="B354" s="482"/>
      <c r="C354" s="482"/>
      <c r="D354" s="482"/>
      <c r="E354" s="482"/>
      <c r="F354" s="482"/>
      <c r="G354" s="482"/>
      <c r="H354" s="482"/>
      <c r="I354" s="482"/>
      <c r="J354" s="482"/>
      <c r="K354" s="482"/>
      <c r="L354" s="482"/>
    </row>
  </sheetData>
  <sheetProtection sheet="1" objects="1" scenarios="1"/>
  <mergeCells count="55">
    <mergeCell ref="C148:D148"/>
    <mergeCell ref="J148:K148"/>
    <mergeCell ref="C137:D137"/>
    <mergeCell ref="C134:D134"/>
    <mergeCell ref="H134:I134"/>
    <mergeCell ref="C136:D136"/>
    <mergeCell ref="B144:K144"/>
    <mergeCell ref="C147:D147"/>
    <mergeCell ref="J147:K147"/>
    <mergeCell ref="C133:D133"/>
    <mergeCell ref="H133:I133"/>
    <mergeCell ref="B130:K130"/>
    <mergeCell ref="B126:K126"/>
    <mergeCell ref="B128:K128"/>
    <mergeCell ref="C117:D117"/>
    <mergeCell ref="C123:D123"/>
    <mergeCell ref="B125:K125"/>
    <mergeCell ref="C120:D120"/>
    <mergeCell ref="G50:H50"/>
    <mergeCell ref="I51:K51"/>
    <mergeCell ref="B33:K33"/>
    <mergeCell ref="F23:G23"/>
    <mergeCell ref="C41:D41"/>
    <mergeCell ref="B48:C48"/>
    <mergeCell ref="B35:K35"/>
    <mergeCell ref="C114:D114"/>
    <mergeCell ref="C100:D100"/>
    <mergeCell ref="C83:D83"/>
    <mergeCell ref="C74:D74"/>
    <mergeCell ref="B108:K108"/>
    <mergeCell ref="B110:K110"/>
    <mergeCell ref="B86:K86"/>
    <mergeCell ref="C77:D77"/>
    <mergeCell ref="C103:D103"/>
    <mergeCell ref="B105:K105"/>
    <mergeCell ref="B90:K90"/>
    <mergeCell ref="C94:D94"/>
    <mergeCell ref="C80:D80"/>
    <mergeCell ref="B88:K88"/>
    <mergeCell ref="B6:K6"/>
    <mergeCell ref="B7:K7"/>
    <mergeCell ref="B8:K8"/>
    <mergeCell ref="B10:K10"/>
    <mergeCell ref="B12:K12"/>
    <mergeCell ref="C25:D25"/>
    <mergeCell ref="C97:D97"/>
    <mergeCell ref="B106:K106"/>
    <mergeCell ref="B30:K30"/>
    <mergeCell ref="B31:K31"/>
    <mergeCell ref="B58:K58"/>
    <mergeCell ref="B52:K52"/>
    <mergeCell ref="B85:K85"/>
    <mergeCell ref="B53:K53"/>
    <mergeCell ref="B55:K55"/>
    <mergeCell ref="B57:K57"/>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3" t="s">
        <v>1118</v>
      </c>
    </row>
    <row r="3" ht="31.5">
      <c r="A3" s="484" t="s">
        <v>1119</v>
      </c>
    </row>
    <row r="4" ht="15.75">
      <c r="A4" s="485" t="s">
        <v>1120</v>
      </c>
    </row>
    <row r="7" ht="31.5">
      <c r="A7" s="484" t="s">
        <v>1121</v>
      </c>
    </row>
    <row r="8" ht="15.75">
      <c r="A8" s="485" t="s">
        <v>1122</v>
      </c>
    </row>
    <row r="11" ht="15.75">
      <c r="A11" s="1" t="s">
        <v>1123</v>
      </c>
    </row>
    <row r="12" ht="15.75">
      <c r="A12" s="485" t="s">
        <v>1124</v>
      </c>
    </row>
    <row r="15" ht="15.75">
      <c r="A15" s="1" t="s">
        <v>1125</v>
      </c>
    </row>
    <row r="16" ht="15.75">
      <c r="A16" s="485" t="s">
        <v>1126</v>
      </c>
    </row>
    <row r="19" ht="15.75">
      <c r="A19" s="1" t="s">
        <v>191</v>
      </c>
    </row>
    <row r="20" ht="15.75">
      <c r="A20" s="485" t="s">
        <v>192</v>
      </c>
    </row>
    <row r="23" ht="15.75">
      <c r="A23" s="1" t="s">
        <v>193</v>
      </c>
    </row>
    <row r="24" ht="15.75">
      <c r="A24" s="485" t="s">
        <v>194</v>
      </c>
    </row>
    <row r="27" ht="15.75">
      <c r="A27" s="1" t="s">
        <v>195</v>
      </c>
    </row>
    <row r="28" ht="15.75">
      <c r="A28" s="485" t="s">
        <v>196</v>
      </c>
    </row>
    <row r="31" ht="15.75">
      <c r="A31" s="1" t="s">
        <v>197</v>
      </c>
    </row>
    <row r="32" ht="15.75">
      <c r="A32" s="485" t="s">
        <v>198</v>
      </c>
    </row>
    <row r="35" ht="15.75">
      <c r="A35" s="1" t="s">
        <v>199</v>
      </c>
    </row>
    <row r="36" ht="15.75">
      <c r="A36" s="485" t="s">
        <v>200</v>
      </c>
    </row>
    <row r="39" ht="15.75">
      <c r="A39" s="1" t="s">
        <v>201</v>
      </c>
    </row>
    <row r="40" ht="15.75">
      <c r="A40" s="485" t="s">
        <v>202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E242"/>
  <sheetViews>
    <sheetView zoomScalePageLayoutView="0" workbookViewId="0" topLeftCell="A1">
      <selection activeCell="B10" sqref="B10"/>
    </sheetView>
  </sheetViews>
  <sheetFormatPr defaultColWidth="8.796875" defaultRowHeight="15"/>
  <cols>
    <col min="1" max="1" width="81.8984375" style="32" customWidth="1"/>
    <col min="2" max="16384" width="8.8984375" style="32" customWidth="1"/>
  </cols>
  <sheetData>
    <row r="1" ht="15.75">
      <c r="A1" s="522" t="s">
        <v>727</v>
      </c>
    </row>
    <row r="2" ht="15.75">
      <c r="A2" s="32" t="s">
        <v>728</v>
      </c>
    </row>
    <row r="4" spans="1:5" ht="15.75">
      <c r="A4" s="522" t="s">
        <v>725</v>
      </c>
      <c r="B4" s="729"/>
      <c r="C4" s="729"/>
      <c r="D4" s="729"/>
      <c r="E4" s="729"/>
    </row>
    <row r="5" spans="1:5" ht="15.75">
      <c r="A5" s="730" t="s">
        <v>726</v>
      </c>
      <c r="B5" s="729"/>
      <c r="C5" s="729"/>
      <c r="D5" s="729"/>
      <c r="E5" s="729"/>
    </row>
    <row r="7" ht="15.75">
      <c r="A7" s="522" t="s">
        <v>722</v>
      </c>
    </row>
    <row r="8" ht="15.75">
      <c r="A8" s="32" t="s">
        <v>723</v>
      </c>
    </row>
    <row r="10" ht="15.75">
      <c r="A10" s="522" t="s">
        <v>237</v>
      </c>
    </row>
    <row r="11" ht="15.75">
      <c r="A11" s="600" t="s">
        <v>238</v>
      </c>
    </row>
    <row r="12" ht="15.75">
      <c r="A12" s="32" t="s">
        <v>239</v>
      </c>
    </row>
    <row r="13" ht="15.75">
      <c r="A13" s="32" t="s">
        <v>240</v>
      </c>
    </row>
    <row r="14" ht="15.75">
      <c r="A14" s="32" t="s">
        <v>241</v>
      </c>
    </row>
    <row r="15" ht="15.75">
      <c r="A15" s="32" t="s">
        <v>1167</v>
      </c>
    </row>
    <row r="16" ht="15.75">
      <c r="A16" s="32" t="s">
        <v>1168</v>
      </c>
    </row>
    <row r="17" ht="15.75">
      <c r="A17" s="32" t="s">
        <v>1169</v>
      </c>
    </row>
    <row r="18" ht="15.75">
      <c r="A18" s="32" t="s">
        <v>1170</v>
      </c>
    </row>
    <row r="19" ht="15.75">
      <c r="A19" s="32" t="s">
        <v>1171</v>
      </c>
    </row>
    <row r="20" ht="15.75">
      <c r="A20" s="32" t="s">
        <v>1172</v>
      </c>
    </row>
    <row r="21" ht="15.75">
      <c r="A21" s="32" t="s">
        <v>1173</v>
      </c>
    </row>
    <row r="22" ht="15.75">
      <c r="A22" s="32" t="s">
        <v>1174</v>
      </c>
    </row>
    <row r="23" ht="15.75">
      <c r="A23" s="32" t="s">
        <v>1175</v>
      </c>
    </row>
    <row r="24" ht="15.75">
      <c r="A24" s="32" t="s">
        <v>1176</v>
      </c>
    </row>
    <row r="25" ht="15.75">
      <c r="A25" s="32" t="s">
        <v>1177</v>
      </c>
    </row>
    <row r="26" ht="15.75">
      <c r="A26" s="32" t="s">
        <v>1178</v>
      </c>
    </row>
    <row r="27" ht="47.25">
      <c r="A27" s="35" t="s">
        <v>1179</v>
      </c>
    </row>
    <row r="28" ht="15.75">
      <c r="A28" s="34" t="s">
        <v>1180</v>
      </c>
    </row>
    <row r="29" ht="31.5">
      <c r="A29" s="35" t="s">
        <v>1181</v>
      </c>
    </row>
    <row r="30" ht="15.75">
      <c r="A30" s="32" t="s">
        <v>1182</v>
      </c>
    </row>
    <row r="31" ht="15.75">
      <c r="A31" s="32" t="s">
        <v>1183</v>
      </c>
    </row>
    <row r="32" ht="15.75">
      <c r="A32" s="32" t="s">
        <v>1184</v>
      </c>
    </row>
    <row r="33" ht="15.75">
      <c r="A33" s="32" t="s">
        <v>1185</v>
      </c>
    </row>
    <row r="34" ht="15.75">
      <c r="A34" s="32" t="s">
        <v>1186</v>
      </c>
    </row>
    <row r="35" ht="15.75">
      <c r="A35" s="32" t="s">
        <v>1187</v>
      </c>
    </row>
    <row r="36" ht="15.75">
      <c r="A36" s="32" t="s">
        <v>1188</v>
      </c>
    </row>
    <row r="37" ht="15.75">
      <c r="A37" s="32" t="s">
        <v>1189</v>
      </c>
    </row>
    <row r="38" ht="15.75">
      <c r="A38" s="32" t="s">
        <v>251</v>
      </c>
    </row>
    <row r="39" ht="15.75">
      <c r="A39" s="32" t="s">
        <v>252</v>
      </c>
    </row>
    <row r="40" ht="15.75">
      <c r="A40" s="32" t="s">
        <v>253</v>
      </c>
    </row>
    <row r="41" ht="15.75">
      <c r="A41" s="32" t="s">
        <v>254</v>
      </c>
    </row>
    <row r="42" ht="15.75">
      <c r="A42" s="32" t="s">
        <v>255</v>
      </c>
    </row>
    <row r="43" ht="15.75">
      <c r="A43" s="32" t="s">
        <v>256</v>
      </c>
    </row>
    <row r="44" ht="15.75">
      <c r="A44" s="32" t="s">
        <v>715</v>
      </c>
    </row>
    <row r="45" ht="15.75">
      <c r="A45" s="32" t="s">
        <v>716</v>
      </c>
    </row>
    <row r="46" ht="15.75">
      <c r="A46" s="32" t="s">
        <v>717</v>
      </c>
    </row>
    <row r="47" ht="15.75">
      <c r="A47" s="32" t="s">
        <v>718</v>
      </c>
    </row>
    <row r="49" ht="15.75">
      <c r="A49" s="522" t="s">
        <v>237</v>
      </c>
    </row>
    <row r="50" ht="15.75">
      <c r="A50" s="600" t="s">
        <v>238</v>
      </c>
    </row>
    <row r="51" ht="15.75">
      <c r="A51" s="32" t="s">
        <v>239</v>
      </c>
    </row>
    <row r="52" ht="15.75">
      <c r="A52" s="32" t="s">
        <v>240</v>
      </c>
    </row>
    <row r="53" ht="15.75">
      <c r="A53" s="32" t="s">
        <v>241</v>
      </c>
    </row>
    <row r="54" ht="15.75">
      <c r="A54" s="32" t="s">
        <v>1167</v>
      </c>
    </row>
    <row r="55" ht="15.75">
      <c r="A55" s="32" t="s">
        <v>1168</v>
      </c>
    </row>
    <row r="56" ht="15.75">
      <c r="A56" s="32" t="s">
        <v>1169</v>
      </c>
    </row>
    <row r="57" ht="15.75">
      <c r="A57" s="32" t="s">
        <v>1170</v>
      </c>
    </row>
    <row r="58" ht="15.75">
      <c r="A58" s="32" t="s">
        <v>1171</v>
      </c>
    </row>
    <row r="59" ht="15.75">
      <c r="A59" s="32" t="s">
        <v>1172</v>
      </c>
    </row>
    <row r="60" ht="15.75">
      <c r="A60" s="32" t="s">
        <v>1173</v>
      </c>
    </row>
    <row r="61" ht="15.75">
      <c r="A61" s="32" t="s">
        <v>1174</v>
      </c>
    </row>
    <row r="62" ht="15.75">
      <c r="A62" s="32" t="s">
        <v>1175</v>
      </c>
    </row>
    <row r="63" ht="15.75">
      <c r="A63" s="32" t="s">
        <v>1176</v>
      </c>
    </row>
    <row r="64" ht="15.75">
      <c r="A64" s="32" t="s">
        <v>1177</v>
      </c>
    </row>
    <row r="65" ht="15.75">
      <c r="A65" s="32" t="s">
        <v>1178</v>
      </c>
    </row>
    <row r="66" ht="47.25">
      <c r="A66" s="35" t="s">
        <v>1179</v>
      </c>
    </row>
    <row r="67" ht="15.75">
      <c r="A67" s="34" t="s">
        <v>1180</v>
      </c>
    </row>
    <row r="68" ht="31.5">
      <c r="A68" s="35" t="s">
        <v>1181</v>
      </c>
    </row>
    <row r="69" ht="15.75">
      <c r="A69" s="32" t="s">
        <v>1182</v>
      </c>
    </row>
    <row r="70" ht="15.75">
      <c r="A70" s="32" t="s">
        <v>1183</v>
      </c>
    </row>
    <row r="71" ht="15.75">
      <c r="A71" s="32" t="s">
        <v>1184</v>
      </c>
    </row>
    <row r="72" ht="15.75">
      <c r="A72" s="32" t="s">
        <v>1185</v>
      </c>
    </row>
    <row r="73" ht="15.75">
      <c r="A73" s="32" t="s">
        <v>1186</v>
      </c>
    </row>
    <row r="74" ht="15.75">
      <c r="A74" s="32" t="s">
        <v>1187</v>
      </c>
    </row>
    <row r="75" ht="15.75">
      <c r="A75" s="32" t="s">
        <v>1188</v>
      </c>
    </row>
    <row r="76" ht="15.75">
      <c r="A76" s="32" t="s">
        <v>1189</v>
      </c>
    </row>
    <row r="77" ht="15.75">
      <c r="A77" s="32" t="s">
        <v>251</v>
      </c>
    </row>
    <row r="78" ht="15.75">
      <c r="A78" s="32" t="s">
        <v>252</v>
      </c>
    </row>
    <row r="79" ht="15.75">
      <c r="A79" s="32" t="s">
        <v>253</v>
      </c>
    </row>
    <row r="80" ht="15.75">
      <c r="A80" s="32" t="s">
        <v>254</v>
      </c>
    </row>
    <row r="81" ht="15.75">
      <c r="A81" s="32" t="s">
        <v>255</v>
      </c>
    </row>
    <row r="82" ht="15.75">
      <c r="A82" s="32" t="s">
        <v>256</v>
      </c>
    </row>
    <row r="83" ht="15.75">
      <c r="A83" s="32" t="s">
        <v>257</v>
      </c>
    </row>
    <row r="84" ht="15.75">
      <c r="A84" s="32" t="s">
        <v>258</v>
      </c>
    </row>
    <row r="87" ht="15.75">
      <c r="A87" s="522" t="s">
        <v>234</v>
      </c>
    </row>
    <row r="88" ht="15.75">
      <c r="A88" s="32" t="s">
        <v>235</v>
      </c>
    </row>
    <row r="90" ht="15.75">
      <c r="A90" s="522" t="s">
        <v>230</v>
      </c>
    </row>
    <row r="91" ht="15.75">
      <c r="A91" s="32" t="s">
        <v>231</v>
      </c>
    </row>
    <row r="92" ht="15.75">
      <c r="A92" s="32" t="s">
        <v>232</v>
      </c>
    </row>
    <row r="93" ht="15.75">
      <c r="A93" s="32" t="s">
        <v>233</v>
      </c>
    </row>
    <row r="95" ht="15.75">
      <c r="A95" s="522" t="s">
        <v>228</v>
      </c>
    </row>
    <row r="96" ht="15.75">
      <c r="A96" s="502" t="s">
        <v>229</v>
      </c>
    </row>
    <row r="98" ht="15.75">
      <c r="A98" s="522" t="s">
        <v>1156</v>
      </c>
    </row>
    <row r="99" ht="15.75">
      <c r="A99" s="32" t="s">
        <v>1157</v>
      </c>
    </row>
    <row r="101" ht="15.75">
      <c r="A101" s="522" t="s">
        <v>1134</v>
      </c>
    </row>
    <row r="102" ht="15.75">
      <c r="A102" s="502" t="s">
        <v>205</v>
      </c>
    </row>
    <row r="103" ht="15.75">
      <c r="A103" s="502" t="s">
        <v>206</v>
      </c>
    </row>
    <row r="104" ht="31.5">
      <c r="A104" s="489" t="s">
        <v>207</v>
      </c>
    </row>
    <row r="105" ht="15.75">
      <c r="A105" s="502" t="s">
        <v>1158</v>
      </c>
    </row>
    <row r="106" ht="15.75">
      <c r="A106" s="502" t="s">
        <v>1159</v>
      </c>
    </row>
    <row r="107" ht="15.75">
      <c r="A107" s="502" t="s">
        <v>1160</v>
      </c>
    </row>
    <row r="108" ht="15.75">
      <c r="A108" s="502" t="s">
        <v>1161</v>
      </c>
    </row>
    <row r="109" ht="15.75">
      <c r="A109" s="502" t="s">
        <v>1162</v>
      </c>
    </row>
    <row r="110" ht="15.75">
      <c r="A110" s="502" t="s">
        <v>1163</v>
      </c>
    </row>
    <row r="111" ht="15.75">
      <c r="A111" s="502" t="s">
        <v>1164</v>
      </c>
    </row>
    <row r="112" ht="15.75">
      <c r="A112" s="502" t="s">
        <v>1165</v>
      </c>
    </row>
    <row r="113" ht="15.75">
      <c r="A113" s="502" t="s">
        <v>1166</v>
      </c>
    </row>
    <row r="114" ht="15.75">
      <c r="A114" s="502" t="s">
        <v>211</v>
      </c>
    </row>
    <row r="115" ht="15.75">
      <c r="A115" s="502" t="s">
        <v>212</v>
      </c>
    </row>
    <row r="116" ht="15.75">
      <c r="A116" s="502" t="s">
        <v>213</v>
      </c>
    </row>
    <row r="117" ht="15.75">
      <c r="A117" s="502" t="s">
        <v>214</v>
      </c>
    </row>
    <row r="118" ht="15.75">
      <c r="A118" s="502" t="s">
        <v>215</v>
      </c>
    </row>
    <row r="119" ht="15.75">
      <c r="A119" s="502" t="s">
        <v>216</v>
      </c>
    </row>
    <row r="120" ht="15.75">
      <c r="A120" s="502" t="s">
        <v>217</v>
      </c>
    </row>
    <row r="121" ht="15.75">
      <c r="A121" s="502" t="s">
        <v>218</v>
      </c>
    </row>
    <row r="122" ht="15.75">
      <c r="A122" s="502" t="s">
        <v>219</v>
      </c>
    </row>
    <row r="123" ht="15.75">
      <c r="A123" s="502" t="s">
        <v>220</v>
      </c>
    </row>
    <row r="124" ht="15.75">
      <c r="A124" s="502" t="s">
        <v>221</v>
      </c>
    </row>
    <row r="125" ht="15.75">
      <c r="A125" s="502" t="s">
        <v>222</v>
      </c>
    </row>
    <row r="126" ht="15.75">
      <c r="A126" s="502" t="s">
        <v>223</v>
      </c>
    </row>
    <row r="127" ht="15.75">
      <c r="A127" s="502" t="s">
        <v>224</v>
      </c>
    </row>
    <row r="128" ht="15.75">
      <c r="A128" s="502" t="s">
        <v>225</v>
      </c>
    </row>
    <row r="129" ht="15.75">
      <c r="A129" s="502" t="s">
        <v>226</v>
      </c>
    </row>
    <row r="130" ht="15.75">
      <c r="A130" s="502" t="s">
        <v>227</v>
      </c>
    </row>
    <row r="132" ht="15.75">
      <c r="A132" s="365" t="s">
        <v>1085</v>
      </c>
    </row>
    <row r="133" ht="15.75">
      <c r="A133" s="32" t="s">
        <v>1086</v>
      </c>
    </row>
    <row r="134" ht="15.75">
      <c r="A134" s="32" t="s">
        <v>1087</v>
      </c>
    </row>
    <row r="135" ht="15.75">
      <c r="A135" s="32" t="s">
        <v>1088</v>
      </c>
    </row>
    <row r="137" ht="15.75">
      <c r="A137" s="365" t="s">
        <v>156</v>
      </c>
    </row>
    <row r="138" ht="15.75">
      <c r="A138" s="32" t="s">
        <v>1084</v>
      </c>
    </row>
    <row r="140" ht="15.75">
      <c r="A140" s="365" t="s">
        <v>70</v>
      </c>
    </row>
    <row r="141" ht="15.75">
      <c r="A141" s="364" t="s">
        <v>71</v>
      </c>
    </row>
    <row r="142" ht="15.75">
      <c r="A142" s="364" t="s">
        <v>72</v>
      </c>
    </row>
    <row r="143" ht="15.75">
      <c r="A143" s="364" t="s">
        <v>73</v>
      </c>
    </row>
    <row r="144" ht="15.75">
      <c r="A144" s="32" t="s">
        <v>154</v>
      </c>
    </row>
    <row r="146" ht="15.75">
      <c r="A146" s="344" t="s">
        <v>0</v>
      </c>
    </row>
    <row r="147" ht="15.75">
      <c r="A147" s="346" t="s">
        <v>50</v>
      </c>
    </row>
    <row r="148" ht="15.75">
      <c r="A148" s="32" t="s">
        <v>51</v>
      </c>
    </row>
    <row r="149" ht="15.75">
      <c r="A149" s="32" t="s">
        <v>52</v>
      </c>
    </row>
    <row r="150" ht="21.75" customHeight="1">
      <c r="A150" s="35" t="s">
        <v>53</v>
      </c>
    </row>
    <row r="151" ht="15.75">
      <c r="A151" s="32" t="s">
        <v>54</v>
      </c>
    </row>
    <row r="152" ht="15.75">
      <c r="A152" s="32" t="s">
        <v>55</v>
      </c>
    </row>
    <row r="153" ht="15.75">
      <c r="A153" s="32" t="s">
        <v>56</v>
      </c>
    </row>
    <row r="154" ht="15.75">
      <c r="A154" s="32" t="s">
        <v>57</v>
      </c>
    </row>
    <row r="155" ht="15.75">
      <c r="A155" s="32" t="s">
        <v>58</v>
      </c>
    </row>
    <row r="156" ht="15.75">
      <c r="A156" s="32" t="s">
        <v>59</v>
      </c>
    </row>
    <row r="157" ht="15.75">
      <c r="A157" s="32" t="s">
        <v>60</v>
      </c>
    </row>
    <row r="159" ht="15.75">
      <c r="A159" s="344" t="s">
        <v>701</v>
      </c>
    </row>
    <row r="160" ht="15.75">
      <c r="A160" s="32" t="s">
        <v>702</v>
      </c>
    </row>
    <row r="162" ht="15.75">
      <c r="A162" s="344" t="s">
        <v>699</v>
      </c>
    </row>
    <row r="163" ht="15.75">
      <c r="A163" s="32" t="s">
        <v>700</v>
      </c>
    </row>
    <row r="165" ht="15.75">
      <c r="A165" s="344" t="s">
        <v>696</v>
      </c>
    </row>
    <row r="166" ht="15.75">
      <c r="A166" s="32" t="s">
        <v>697</v>
      </c>
    </row>
    <row r="167" ht="15.75">
      <c r="A167" s="32" t="s">
        <v>698</v>
      </c>
    </row>
    <row r="169" ht="15.75">
      <c r="A169" s="344" t="s">
        <v>347</v>
      </c>
    </row>
    <row r="170" ht="15.75">
      <c r="A170" s="32" t="s">
        <v>332</v>
      </c>
    </row>
    <row r="171" ht="15.75">
      <c r="A171" s="32" t="s">
        <v>333</v>
      </c>
    </row>
    <row r="172" ht="15.75">
      <c r="A172" s="32" t="s">
        <v>334</v>
      </c>
    </row>
    <row r="173" ht="15.75">
      <c r="A173" s="32" t="s">
        <v>341</v>
      </c>
    </row>
    <row r="174" ht="15.75">
      <c r="A174" s="32" t="s">
        <v>335</v>
      </c>
    </row>
    <row r="175" ht="15.75">
      <c r="A175" s="32" t="s">
        <v>336</v>
      </c>
    </row>
    <row r="176" ht="31.5">
      <c r="A176" s="35" t="s">
        <v>342</v>
      </c>
    </row>
    <row r="177" ht="31.5">
      <c r="A177" s="35" t="s">
        <v>337</v>
      </c>
    </row>
    <row r="178" ht="15.75">
      <c r="A178" s="35" t="s">
        <v>338</v>
      </c>
    </row>
    <row r="179" ht="15.75">
      <c r="A179" s="35" t="s">
        <v>339</v>
      </c>
    </row>
    <row r="180" ht="31.5">
      <c r="A180" s="35" t="s">
        <v>689</v>
      </c>
    </row>
    <row r="181" ht="15.75">
      <c r="A181" s="32" t="s">
        <v>690</v>
      </c>
    </row>
    <row r="182" ht="31.5">
      <c r="A182" s="35" t="s">
        <v>340</v>
      </c>
    </row>
    <row r="183" ht="15.75">
      <c r="A183" s="32" t="s">
        <v>344</v>
      </c>
    </row>
    <row r="184" ht="15.75">
      <c r="A184" s="32" t="s">
        <v>345</v>
      </c>
    </row>
    <row r="185" ht="15.75">
      <c r="A185" s="32" t="s">
        <v>346</v>
      </c>
    </row>
    <row r="186" ht="31.5">
      <c r="A186" s="35" t="s">
        <v>688</v>
      </c>
    </row>
    <row r="187" ht="15.75">
      <c r="A187" s="32" t="s">
        <v>687</v>
      </c>
    </row>
    <row r="188" ht="31.5">
      <c r="A188" s="35" t="s">
        <v>686</v>
      </c>
    </row>
    <row r="189" ht="15.75">
      <c r="A189" s="32" t="s">
        <v>691</v>
      </c>
    </row>
    <row r="191" ht="15.75">
      <c r="A191" s="344" t="s">
        <v>398</v>
      </c>
    </row>
    <row r="192" ht="15.75">
      <c r="A192" s="32" t="s">
        <v>399</v>
      </c>
    </row>
    <row r="193" ht="15.75">
      <c r="A193" s="32" t="s">
        <v>400</v>
      </c>
    </row>
    <row r="194" ht="15.75">
      <c r="A194" s="32" t="s">
        <v>401</v>
      </c>
    </row>
    <row r="195" ht="15.75">
      <c r="A195" s="32" t="s">
        <v>343</v>
      </c>
    </row>
    <row r="198" ht="15.75">
      <c r="A198" s="344" t="s">
        <v>328</v>
      </c>
    </row>
    <row r="199" ht="15.75">
      <c r="A199" s="32" t="s">
        <v>329</v>
      </c>
    </row>
    <row r="201" ht="15.75">
      <c r="A201" s="344" t="s">
        <v>321</v>
      </c>
    </row>
    <row r="202" ht="15.75">
      <c r="A202" s="32" t="s">
        <v>322</v>
      </c>
    </row>
    <row r="203" ht="15.75">
      <c r="A203" s="32" t="s">
        <v>323</v>
      </c>
    </row>
    <row r="204" ht="31.5">
      <c r="A204" s="35" t="s">
        <v>324</v>
      </c>
    </row>
    <row r="205" ht="15.75">
      <c r="A205" s="32" t="s">
        <v>325</v>
      </c>
    </row>
    <row r="206" ht="15.75">
      <c r="A206" s="32" t="s">
        <v>326</v>
      </c>
    </row>
    <row r="207" ht="15.75">
      <c r="A207" s="32" t="s">
        <v>327</v>
      </c>
    </row>
    <row r="209" ht="18" customHeight="1">
      <c r="A209" s="344" t="s">
        <v>646</v>
      </c>
    </row>
    <row r="210" ht="48.75" customHeight="1">
      <c r="A210" s="35" t="s">
        <v>692</v>
      </c>
    </row>
    <row r="211" ht="15.75">
      <c r="A211" s="32" t="s">
        <v>647</v>
      </c>
    </row>
    <row r="212" ht="15.75">
      <c r="A212" s="32" t="s">
        <v>648</v>
      </c>
    </row>
    <row r="213" ht="15.75">
      <c r="A213" s="32" t="s">
        <v>693</v>
      </c>
    </row>
    <row r="214" ht="15.75">
      <c r="A214" s="32" t="s">
        <v>649</v>
      </c>
    </row>
    <row r="215" ht="15.75">
      <c r="A215" s="32" t="s">
        <v>650</v>
      </c>
    </row>
    <row r="216" ht="15.75">
      <c r="A216" s="32" t="s">
        <v>1195</v>
      </c>
    </row>
    <row r="217" ht="15.75">
      <c r="A217" s="32" t="s">
        <v>657</v>
      </c>
    </row>
    <row r="218" ht="15.75">
      <c r="A218" s="32" t="s">
        <v>658</v>
      </c>
    </row>
    <row r="219" ht="31.5">
      <c r="A219" s="35" t="s">
        <v>659</v>
      </c>
    </row>
    <row r="220" ht="31.5">
      <c r="A220" s="35" t="s">
        <v>1204</v>
      </c>
    </row>
    <row r="221" ht="15.75">
      <c r="A221" s="32" t="s">
        <v>660</v>
      </c>
    </row>
    <row r="222" ht="15.75">
      <c r="A222" s="32" t="s">
        <v>661</v>
      </c>
    </row>
    <row r="223" ht="15.75">
      <c r="A223" s="32" t="s">
        <v>694</v>
      </c>
    </row>
    <row r="224" ht="15.75">
      <c r="A224" s="32" t="s">
        <v>662</v>
      </c>
    </row>
    <row r="225" ht="15.75">
      <c r="A225" s="32" t="s">
        <v>307</v>
      </c>
    </row>
    <row r="226" ht="31.5">
      <c r="A226" s="35" t="s">
        <v>1190</v>
      </c>
    </row>
    <row r="227" ht="15.75">
      <c r="A227" s="32" t="s">
        <v>672</v>
      </c>
    </row>
    <row r="228" ht="15.75">
      <c r="A228" s="32" t="s">
        <v>673</v>
      </c>
    </row>
    <row r="229" ht="31.5">
      <c r="A229" s="35" t="s">
        <v>674</v>
      </c>
    </row>
    <row r="230" ht="15.75">
      <c r="A230" s="32" t="s">
        <v>308</v>
      </c>
    </row>
    <row r="231" ht="15.75">
      <c r="A231" s="32" t="s">
        <v>309</v>
      </c>
    </row>
    <row r="232" ht="15.75">
      <c r="A232" s="32" t="s">
        <v>310</v>
      </c>
    </row>
    <row r="233" ht="15.75">
      <c r="A233" s="32" t="s">
        <v>311</v>
      </c>
    </row>
    <row r="234" ht="15.75">
      <c r="A234" s="32" t="s">
        <v>312</v>
      </c>
    </row>
    <row r="235" ht="15.75">
      <c r="A235" s="32" t="s">
        <v>313</v>
      </c>
    </row>
    <row r="236" ht="15.75">
      <c r="A236" s="32" t="s">
        <v>314</v>
      </c>
    </row>
    <row r="237" ht="15.75">
      <c r="A237" s="32" t="s">
        <v>315</v>
      </c>
    </row>
    <row r="238" ht="15.75">
      <c r="A238" s="32" t="s">
        <v>316</v>
      </c>
    </row>
    <row r="239" ht="15.75">
      <c r="A239" s="32" t="s">
        <v>318</v>
      </c>
    </row>
    <row r="240" ht="15.75">
      <c r="A240" s="32" t="s">
        <v>319</v>
      </c>
    </row>
    <row r="241" ht="15.75">
      <c r="A241" s="32" t="s">
        <v>320</v>
      </c>
    </row>
    <row r="242" ht="15.75">
      <c r="A242" s="32" t="s">
        <v>317</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82"/>
  <sheetViews>
    <sheetView tabSelected="1" zoomScalePageLayoutView="0" workbookViewId="0" topLeftCell="A10">
      <selection activeCell="G41" sqref="G41:G42"/>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500</v>
      </c>
      <c r="E1" s="47"/>
      <c r="F1" s="47"/>
      <c r="G1" s="136">
        <v>2013</v>
      </c>
      <c r="I1" s="32">
        <f>inputPrYr!C5</f>
        <v>2013</v>
      </c>
    </row>
    <row r="2" spans="2:7" ht="15.75">
      <c r="B2" s="793" t="str">
        <f>CONCATENATE("To the Clerk of ",(inputPrYr!D3),", State of Kansas")</f>
        <v>To the Clerk of Miami County, State of Kansas</v>
      </c>
      <c r="C2" s="783"/>
      <c r="D2" s="783"/>
      <c r="E2" s="783"/>
      <c r="F2" s="783"/>
      <c r="G2" s="783"/>
    </row>
    <row r="3" spans="2:7" ht="15.75">
      <c r="B3" s="138" t="s">
        <v>1089</v>
      </c>
      <c r="C3" s="56"/>
      <c r="D3" s="56"/>
      <c r="E3" s="56"/>
      <c r="F3" s="56"/>
      <c r="G3" s="56"/>
    </row>
    <row r="4" spans="2:7" ht="15.75">
      <c r="B4" s="791" t="str">
        <f>(inputPrYr!D2)</f>
        <v>City of Paola</v>
      </c>
      <c r="C4" s="792"/>
      <c r="D4" s="792"/>
      <c r="E4" s="792"/>
      <c r="F4" s="792"/>
      <c r="G4" s="792"/>
    </row>
    <row r="5" spans="2:7" ht="15.75">
      <c r="B5" s="138" t="s">
        <v>411</v>
      </c>
      <c r="C5" s="56"/>
      <c r="D5" s="56"/>
      <c r="E5" s="56"/>
      <c r="F5" s="56"/>
      <c r="G5" s="56"/>
    </row>
    <row r="6" spans="2:7" ht="15.75">
      <c r="B6" s="138" t="s">
        <v>412</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413</v>
      </c>
      <c r="F10" s="144" t="str">
        <f>CONCATENATE("Amount of ",I1-1,"")</f>
        <v>Amount of 2012</v>
      </c>
      <c r="G10" s="144" t="s">
        <v>414</v>
      </c>
    </row>
    <row r="11" spans="2:7" ht="15.75">
      <c r="B11" s="52"/>
      <c r="C11" s="47"/>
      <c r="D11" s="144" t="s">
        <v>415</v>
      </c>
      <c r="E11" s="431" t="s">
        <v>1199</v>
      </c>
      <c r="F11" s="146" t="s">
        <v>615</v>
      </c>
      <c r="G11" s="145" t="s">
        <v>416</v>
      </c>
    </row>
    <row r="12" spans="2:7" ht="15.75">
      <c r="B12" s="147" t="s">
        <v>417</v>
      </c>
      <c r="C12" s="71"/>
      <c r="D12" s="148" t="s">
        <v>418</v>
      </c>
      <c r="E12" s="432" t="s">
        <v>161</v>
      </c>
      <c r="F12" s="149" t="s">
        <v>616</v>
      </c>
      <c r="G12" s="148" t="s">
        <v>419</v>
      </c>
    </row>
    <row r="13" spans="2:7" ht="15.75">
      <c r="B13" s="150" t="str">
        <f>CONCATENATE("Computation to Determine Limit for ",I1,"")</f>
        <v>Computation to Determine Limit for 2013</v>
      </c>
      <c r="C13" s="93"/>
      <c r="D13" s="151">
        <v>2</v>
      </c>
      <c r="E13" s="152"/>
      <c r="F13" s="152"/>
      <c r="G13" s="152"/>
    </row>
    <row r="14" spans="2:7" ht="15.75">
      <c r="B14" s="150" t="s">
        <v>386</v>
      </c>
      <c r="C14" s="71"/>
      <c r="D14" s="148">
        <v>3</v>
      </c>
      <c r="E14" s="145"/>
      <c r="F14" s="145"/>
      <c r="G14" s="145"/>
    </row>
    <row r="15" spans="2:7" ht="15.75">
      <c r="B15" s="150" t="s">
        <v>569</v>
      </c>
      <c r="C15" s="71"/>
      <c r="D15" s="148">
        <v>4</v>
      </c>
      <c r="E15" s="145"/>
      <c r="F15" s="145"/>
      <c r="G15" s="145"/>
    </row>
    <row r="16" spans="2:7" ht="15.75">
      <c r="B16" s="150" t="s">
        <v>420</v>
      </c>
      <c r="C16" s="93"/>
      <c r="D16" s="151">
        <v>5</v>
      </c>
      <c r="E16" s="153"/>
      <c r="F16" s="153"/>
      <c r="G16" s="153"/>
    </row>
    <row r="17" spans="2:7" ht="15.75">
      <c r="B17" s="150" t="s">
        <v>421</v>
      </c>
      <c r="C17" s="93"/>
      <c r="D17" s="151">
        <v>6</v>
      </c>
      <c r="E17" s="153"/>
      <c r="F17" s="153"/>
      <c r="G17" s="153"/>
    </row>
    <row r="18" spans="2:7" ht="15.75">
      <c r="B18" s="283" t="str">
        <f>IF(inputPrYr!D19="","","Computation to Determine State Library Grant")</f>
        <v>Computation to Determine State Library Grant</v>
      </c>
      <c r="C18" s="93"/>
      <c r="D18" s="161">
        <f>IF(inputPrYr!D19="","",'Library Grant'!F40)</f>
        <v>7</v>
      </c>
      <c r="E18" s="153"/>
      <c r="F18" s="153"/>
      <c r="G18" s="153"/>
    </row>
    <row r="19" spans="2:7" ht="15.75">
      <c r="B19" s="154" t="s">
        <v>422</v>
      </c>
      <c r="C19" s="155" t="s">
        <v>423</v>
      </c>
      <c r="D19" s="156"/>
      <c r="E19" s="157"/>
      <c r="F19" s="157"/>
      <c r="G19" s="157"/>
    </row>
    <row r="20" spans="2:7" ht="15.75">
      <c r="B20" s="64" t="s">
        <v>406</v>
      </c>
      <c r="C20" s="158" t="str">
        <f>IF(inputPrYr!C17&gt;0,(inputPrYr!C17),"  ")</f>
        <v>12-101a</v>
      </c>
      <c r="D20" s="151">
        <f>general!C59</f>
        <v>8</v>
      </c>
      <c r="E20" s="710">
        <f>IF(general!$E$111&lt;&gt;0,general!$E$111,"  ")</f>
        <v>4093260</v>
      </c>
      <c r="F20" s="711">
        <f>IF(general!$E$118&lt;&gt;0,general!$E$118,0)</f>
        <v>1164039</v>
      </c>
      <c r="G20" s="712">
        <f>IF($G$40=0,"",ROUND(F20/$G$40*1000,3))</f>
        <v>25.514</v>
      </c>
    </row>
    <row r="21" spans="2:7" ht="15.75">
      <c r="B21" s="64" t="s">
        <v>330</v>
      </c>
      <c r="C21" s="158" t="str">
        <f>IF(inputPrYr!C18&gt;0,(inputPrYr!C18),"  ")</f>
        <v>10-113</v>
      </c>
      <c r="D21" s="151">
        <f>IF('DebtSvs-library'!C88&gt;0,'DebtSvs-library'!C88,"  ")</f>
        <v>9</v>
      </c>
      <c r="E21" s="710">
        <f>IF('DebtSvs-library'!E41&lt;&gt;0,'DebtSvs-library'!E41,"  ")</f>
        <v>2154336</v>
      </c>
      <c r="F21" s="711">
        <f>IF('DebtSvs-library'!E48&lt;&gt;0,'DebtSvs-library'!E48,0)</f>
        <v>216738</v>
      </c>
      <c r="G21" s="712">
        <f>IF($G$40=0,"",ROUND(F21/$G$40*1000,3))</f>
        <v>4.751</v>
      </c>
    </row>
    <row r="22" spans="2:10" ht="15.75">
      <c r="B22" s="87" t="str">
        <f>IF(inputPrYr!$B19&gt;"  ",(inputPrYr!$B19),"  ")</f>
        <v>Library - Fund 02</v>
      </c>
      <c r="C22" s="158" t="str">
        <f>IF(inputPrYr!C19&gt;0,(inputPrYr!C19),"  ")</f>
        <v>12-1220</v>
      </c>
      <c r="D22" s="151">
        <f>IF('DebtSvs-library'!C88&gt;0,'DebtSvs-library'!C88,"  ")</f>
        <v>9</v>
      </c>
      <c r="E22" s="710">
        <f>IF('DebtSvs-library'!E80&lt;&gt;0,'DebtSvs-library'!E80,"  ")</f>
        <v>289903</v>
      </c>
      <c r="F22" s="711">
        <f>IF('DebtSvs-library'!E87&lt;&gt;0,'DebtSvs-library'!E87,0)</f>
        <v>215779</v>
      </c>
      <c r="G22" s="712">
        <f>IF($G$40=0,"",ROUND(F22/$G$40*1000,3))</f>
        <v>4.73</v>
      </c>
      <c r="I22" s="551"/>
      <c r="J22" s="551"/>
    </row>
    <row r="23" spans="2:10" ht="15.75">
      <c r="B23" s="87" t="str">
        <f>IF(inputPrYr!$B21&gt;"  ",(inputPrYr!$B21),"  ")</f>
        <v>Employee Benefits - Fund 05</v>
      </c>
      <c r="C23" s="158" t="str">
        <f>IF(inputPrYr!C21&gt;0,(inputPrYr!C21),"  ")</f>
        <v>12-16,102</v>
      </c>
      <c r="D23" s="151">
        <f>IF('levy page9'!C93&gt;0,'levy page9'!C93,"  ")</f>
        <v>10</v>
      </c>
      <c r="E23" s="710">
        <f>IF('levy page9'!$E$50&gt;0,'levy page9'!$E$50,"  ")</f>
        <v>1466800</v>
      </c>
      <c r="F23" s="711">
        <f>IF('levy page9'!E57&lt;&gt;0,'levy page9'!E57,0)</f>
        <v>311373</v>
      </c>
      <c r="G23" s="712">
        <f>IF($G$40=0,"",ROUND(F23/$G$40*1000,3))</f>
        <v>6.825</v>
      </c>
      <c r="I23" s="551"/>
      <c r="J23" s="551"/>
    </row>
    <row r="24" spans="2:7" ht="15.75">
      <c r="B24" s="159" t="str">
        <f>IF(inputPrYr!$B34&gt;"  ",(inputPrYr!$B34),"  ")</f>
        <v>Special Highway - Fund 17</v>
      </c>
      <c r="C24" s="160"/>
      <c r="D24" s="161">
        <f>IF('Sp Hiway'!C65&gt;0,'Sp Hiway'!C65,"  ")</f>
        <v>11</v>
      </c>
      <c r="E24" s="710">
        <f>IF('Sp Hiway'!$E$27&gt;0,'Sp Hiway'!$E$27,"  ")</f>
        <v>204884</v>
      </c>
      <c r="F24" s="710"/>
      <c r="G24" s="713"/>
    </row>
    <row r="25" spans="2:7" ht="15.75">
      <c r="B25" s="159" t="str">
        <f>IF(inputPrYr!$B35&gt;"  ",(inputPrYr!$B35),"  ")</f>
        <v>Sewer Service - Fund 04</v>
      </c>
      <c r="C25" s="160"/>
      <c r="D25" s="161">
        <f>IF('Sp Hiway'!C65&gt;0,'Sp Hiway'!C65,"  ")</f>
        <v>11</v>
      </c>
      <c r="E25" s="710">
        <f>IF('Sp Hiway'!$E$59&gt;0,'Sp Hiway'!$E$59,"  ")</f>
        <v>816973</v>
      </c>
      <c r="F25" s="710"/>
      <c r="G25" s="713"/>
    </row>
    <row r="26" spans="2:7" ht="15.75">
      <c r="B26" s="159" t="str">
        <f>IF(inputPrYr!$B36&gt;"  ",(inputPrYr!$B36),"  ")</f>
        <v>Aquatics Center - Fund 07</v>
      </c>
      <c r="C26" s="162"/>
      <c r="D26" s="161">
        <f>IF('no levy page15'!C78&gt;0,'no levy page15'!C78,"  ")</f>
        <v>12</v>
      </c>
      <c r="E26" s="710">
        <f>IF('no levy page15'!$E$33&gt;0,'no levy page15'!$E$33,"  ")</f>
        <v>424986</v>
      </c>
      <c r="F26" s="710"/>
      <c r="G26" s="713"/>
    </row>
    <row r="27" spans="2:7" ht="15.75">
      <c r="B27" s="159" t="str">
        <f>IF(inputPrYr!$B37&gt;"  ",(inputPrYr!$B37),"  ")</f>
        <v>Community Center - Fund 08</v>
      </c>
      <c r="C27" s="160"/>
      <c r="D27" s="161">
        <f>IF('no levy page15'!C78&gt;0,'no levy page15'!C78,"  ")</f>
        <v>12</v>
      </c>
      <c r="E27" s="710">
        <f>IF('no levy page15'!$E$72&gt;0,'no levy page15'!$E$72,"  ")</f>
        <v>151747</v>
      </c>
      <c r="F27" s="710"/>
      <c r="G27" s="713"/>
    </row>
    <row r="28" spans="2:7" ht="15.75">
      <c r="B28" s="159" t="str">
        <f>IF(inputPrYr!$B38&gt;"  ",(inputPrYr!$B38),"  ")</f>
        <v>Water Utility - Fund 09</v>
      </c>
      <c r="C28" s="162"/>
      <c r="D28" s="161">
        <f>IF('no levy page16'!C66&gt;0,'no levy page16'!C66,"  ")</f>
        <v>13</v>
      </c>
      <c r="E28" s="710">
        <f>IF('no levy page16'!$E$34&gt;0,'no levy page16'!$E$34,"  ")</f>
        <v>2390937</v>
      </c>
      <c r="F28" s="710"/>
      <c r="G28" s="713"/>
    </row>
    <row r="29" spans="2:7" ht="15.75">
      <c r="B29" s="159" t="str">
        <f>IF(inputPrYr!$B39&gt;"  ",(inputPrYr!$B39),"  ")</f>
        <v>Sewer Reserve - Fund 11</v>
      </c>
      <c r="C29" s="163"/>
      <c r="D29" s="161">
        <f>IF('no levy page16'!C66&gt;0,'no levy page16'!C66,"  ")</f>
        <v>13</v>
      </c>
      <c r="E29" s="710">
        <f>IF('no levy page16'!$E$60&gt;0,'no levy page16'!$E$60,"  ")</f>
        <v>160603</v>
      </c>
      <c r="F29" s="710"/>
      <c r="G29" s="713"/>
    </row>
    <row r="30" spans="2:7" ht="15.75">
      <c r="B30" s="159" t="str">
        <f>IF(inputPrYr!$B40&gt;"  ",(inputPrYr!$B40),"  ")</f>
        <v>Stormwater - Fund 12</v>
      </c>
      <c r="C30" s="163"/>
      <c r="D30" s="161">
        <f>IF('no levy page17'!C60&gt;0,'no levy page17'!C60,"  ")</f>
        <v>14</v>
      </c>
      <c r="E30" s="710">
        <f>IF('no levy page17'!$E$25&gt;0,'no levy page17'!$E$25,"  ")</f>
        <v>259358</v>
      </c>
      <c r="F30" s="710"/>
      <c r="G30" s="713"/>
    </row>
    <row r="31" spans="2:7" ht="15.75">
      <c r="B31" s="159" t="str">
        <f>IF(inputPrYr!$B41&gt;"  ",(inputPrYr!$B41),"  ")</f>
        <v>Health &amp; Sanitation - Fund 13</v>
      </c>
      <c r="C31" s="163"/>
      <c r="D31" s="161">
        <f>IF('no levy page17'!C60&gt;0,'no levy page17'!C60,"  ")</f>
        <v>14</v>
      </c>
      <c r="E31" s="710">
        <f>IF('no levy page17'!$E$54&gt;0,'no levy page17'!$E$54,"  ")</f>
        <v>347783</v>
      </c>
      <c r="F31" s="710"/>
      <c r="G31" s="713"/>
    </row>
    <row r="32" spans="2:7" ht="15.75">
      <c r="B32" s="159" t="str">
        <f>IF(inputPrYr!$B42&gt;"  ",(inputPrYr!$B42),"  ")</f>
        <v>Special Parks &amp; Rec - Fund 14</v>
      </c>
      <c r="C32" s="160"/>
      <c r="D32" s="161">
        <f>IF('no levy page18'!C54&gt;0,'no levy page18'!C54,"  ")</f>
        <v>15</v>
      </c>
      <c r="E32" s="710">
        <f>IF('no levy page18'!$E$23&gt;0,'no levy page18'!$E$23,"  ")</f>
        <v>16472</v>
      </c>
      <c r="F32" s="710"/>
      <c r="G32" s="713"/>
    </row>
    <row r="33" spans="2:7" ht="15.75">
      <c r="B33" s="159" t="str">
        <f>IF(inputPrYr!$B43&gt;"  ",(inputPrYr!$B43),"  ")</f>
        <v>Water Treatment Plant - Fund 15</v>
      </c>
      <c r="C33" s="160"/>
      <c r="D33" s="161">
        <f>IF('no levy page18'!C54&gt;0,'no levy page18'!C54,"  ")</f>
        <v>15</v>
      </c>
      <c r="E33" s="710">
        <f>IF('no levy page18'!$E$48&gt;0,'no levy page18'!$E$48,"  ")</f>
        <v>268719</v>
      </c>
      <c r="F33" s="710"/>
      <c r="G33" s="713"/>
    </row>
    <row r="34" spans="2:7" ht="15.75">
      <c r="B34" s="159" t="str">
        <f>IF(inputPrYr!$B44&gt;"  ",(inputPrYr!$B44),"  ")</f>
        <v>Waste Water TP - Fund 16 </v>
      </c>
      <c r="C34" s="160"/>
      <c r="D34" s="161">
        <f>IF('no levy page19'!C61&gt;0,'no levy page19'!C61,"  ")</f>
        <v>16</v>
      </c>
      <c r="E34" s="710">
        <f>IF('no levy page19'!$E$30&gt;0,'no levy page19'!$E$30,"  ")</f>
        <v>1083969</v>
      </c>
      <c r="F34" s="710"/>
      <c r="G34" s="713"/>
    </row>
    <row r="35" spans="2:7" ht="15.75">
      <c r="B35" s="159" t="str">
        <f>IF(inputPrYr!$B45&gt;"  ",(inputPrYr!$B45),"  ")</f>
        <v>Transient Guest Tax - Fund 20</v>
      </c>
      <c r="C35" s="160"/>
      <c r="D35" s="161">
        <f>IF('no levy page19'!C61&gt;0,'no levy page19'!C61,"  ")</f>
        <v>16</v>
      </c>
      <c r="E35" s="710">
        <f>IF('no levy page19'!$E$55&gt;0,'no levy page19'!$E$55,"  ")</f>
        <v>123800</v>
      </c>
      <c r="F35" s="710"/>
      <c r="G35" s="713"/>
    </row>
    <row r="36" spans="2:7" ht="15.75">
      <c r="B36" s="159" t="str">
        <f>IF(inputPrYr!$B57&gt;"  ",(NonBudA!$A3),"  ")</f>
        <v>Non-Budgeted Funds-A</v>
      </c>
      <c r="C36" s="163"/>
      <c r="D36" s="161">
        <f>IF(NonBudA!F33&gt;0,NonBudA!F33,"  ")</f>
        <v>17</v>
      </c>
      <c r="E36" s="710"/>
      <c r="F36" s="710"/>
      <c r="G36" s="713"/>
    </row>
    <row r="37" spans="2:7" ht="15.75">
      <c r="B37" s="159" t="str">
        <f>IF(inputPrYr!$B63&gt;"  ",(NonBudB!$A3),"  ")</f>
        <v>Non-Budgeted Funds-B</v>
      </c>
      <c r="C37" s="163"/>
      <c r="D37" s="161">
        <f>IF(NonBudB!F33&gt;0,NonBudB!F33,"  ")</f>
        <v>18</v>
      </c>
      <c r="E37" s="710"/>
      <c r="F37" s="710"/>
      <c r="G37" s="713"/>
    </row>
    <row r="38" spans="2:7" ht="15.75">
      <c r="B38" s="403" t="s">
        <v>1142</v>
      </c>
      <c r="C38" s="93"/>
      <c r="D38" s="257" t="s">
        <v>425</v>
      </c>
      <c r="E38" s="714">
        <f>SUM(E20:E37)</f>
        <v>14254530</v>
      </c>
      <c r="F38" s="714">
        <f>SUM(F20:F37)</f>
        <v>1907929</v>
      </c>
      <c r="G38" s="715">
        <f>IF(SUM(G20:G37)=0,"",SUM(G20:G37))</f>
        <v>41.82000000000001</v>
      </c>
    </row>
    <row r="39" spans="2:7" ht="15.75">
      <c r="B39" s="164" t="s">
        <v>678</v>
      </c>
      <c r="C39" s="165"/>
      <c r="D39" s="166"/>
      <c r="E39" s="167"/>
      <c r="F39" s="168" t="str">
        <f>IF(F38&gt;computation!J40,"Yes","No")</f>
        <v>No</v>
      </c>
      <c r="G39" s="430" t="s">
        <v>573</v>
      </c>
    </row>
    <row r="40" spans="2:7" ht="15.75">
      <c r="B40" s="150" t="s">
        <v>677</v>
      </c>
      <c r="C40" s="93"/>
      <c r="D40" s="151">
        <f>summ!D52</f>
        <v>19</v>
      </c>
      <c r="E40" s="47"/>
      <c r="F40" s="47"/>
      <c r="G40" s="528">
        <v>45623917</v>
      </c>
    </row>
    <row r="41" spans="2:7" ht="15.75">
      <c r="B41" s="150" t="s">
        <v>1202</v>
      </c>
      <c r="C41" s="93"/>
      <c r="D41" s="151">
        <f>IF(nhood!C39&gt;0,nhood!C39,"")</f>
        <v>20</v>
      </c>
      <c r="E41" s="47"/>
      <c r="F41" s="47"/>
      <c r="G41" s="796" t="str">
        <f>CONCATENATE("Nov 1, ",I1-1," Total Assessed Valuation")</f>
        <v>Nov 1, 2012 Total Assessed Valuation</v>
      </c>
    </row>
    <row r="42" spans="2:7" ht="15.75">
      <c r="B42" s="770" t="s">
        <v>426</v>
      </c>
      <c r="C42" s="76"/>
      <c r="D42" s="76"/>
      <c r="E42" s="76"/>
      <c r="F42" s="76"/>
      <c r="G42" s="797"/>
    </row>
    <row r="43" spans="2:7" ht="15.75">
      <c r="B43" s="771" t="s">
        <v>897</v>
      </c>
      <c r="C43" s="76"/>
      <c r="D43" s="47"/>
      <c r="E43" s="287"/>
      <c r="F43" s="76"/>
      <c r="G43" s="76"/>
    </row>
    <row r="44" spans="2:7" ht="15.75">
      <c r="B44" s="771" t="s">
        <v>898</v>
      </c>
      <c r="C44" s="76"/>
      <c r="D44" s="77" t="s">
        <v>245</v>
      </c>
      <c r="E44" s="287"/>
      <c r="F44" s="76"/>
      <c r="G44" s="76"/>
    </row>
    <row r="45" spans="2:7" ht="15.75">
      <c r="B45" s="75" t="s">
        <v>586</v>
      </c>
      <c r="C45" s="47"/>
      <c r="D45" s="769" t="s">
        <v>246</v>
      </c>
      <c r="E45" s="287"/>
      <c r="F45" s="76"/>
      <c r="G45" s="76"/>
    </row>
    <row r="46" spans="2:7" ht="15.75">
      <c r="B46" s="771" t="s">
        <v>242</v>
      </c>
      <c r="C46" s="76"/>
      <c r="D46" s="77" t="s">
        <v>245</v>
      </c>
      <c r="E46" s="287"/>
      <c r="F46" s="287"/>
      <c r="G46" s="287"/>
    </row>
    <row r="47" spans="2:7" ht="15.75">
      <c r="B47" s="771" t="s">
        <v>243</v>
      </c>
      <c r="C47" s="169"/>
      <c r="D47" s="769" t="s">
        <v>247</v>
      </c>
      <c r="E47" s="76"/>
      <c r="F47" s="700"/>
      <c r="G47" s="700"/>
    </row>
    <row r="48" spans="2:7" ht="15.75">
      <c r="B48" s="76" t="s">
        <v>385</v>
      </c>
      <c r="C48" s="169"/>
      <c r="D48" s="77" t="s">
        <v>245</v>
      </c>
      <c r="E48" s="76"/>
      <c r="F48" s="701"/>
      <c r="G48" s="701"/>
    </row>
    <row r="49" spans="2:7" ht="15.75">
      <c r="B49" s="772" t="s">
        <v>244</v>
      </c>
      <c r="C49" s="170"/>
      <c r="D49" s="769" t="s">
        <v>248</v>
      </c>
      <c r="E49" s="76"/>
      <c r="F49" s="98"/>
      <c r="G49" s="98"/>
    </row>
    <row r="50" spans="2:7" ht="15.75">
      <c r="B50" s="555" t="s">
        <v>1194</v>
      </c>
      <c r="C50" s="171">
        <f>I1-1</f>
        <v>2012</v>
      </c>
      <c r="D50" s="77" t="s">
        <v>245</v>
      </c>
      <c r="E50" s="76"/>
      <c r="F50" s="701"/>
      <c r="G50" s="701"/>
    </row>
    <row r="51" spans="2:7" ht="15.75">
      <c r="B51" s="287"/>
      <c r="C51" s="171"/>
      <c r="D51" s="769" t="s">
        <v>249</v>
      </c>
      <c r="E51" s="76"/>
      <c r="F51" s="138"/>
      <c r="G51" s="47"/>
    </row>
    <row r="52" spans="2:7" ht="15.75">
      <c r="B52" s="556"/>
      <c r="C52" s="47"/>
      <c r="D52" s="77" t="s">
        <v>245</v>
      </c>
      <c r="E52" s="76"/>
      <c r="F52" s="76"/>
      <c r="G52" s="76"/>
    </row>
    <row r="53" spans="2:7" ht="15.75">
      <c r="B53" s="137" t="s">
        <v>427</v>
      </c>
      <c r="C53" s="47"/>
      <c r="D53" s="794" t="s">
        <v>250</v>
      </c>
      <c r="E53" s="795"/>
      <c r="F53" s="795"/>
      <c r="G53" s="795"/>
    </row>
    <row r="54" ht="15.75">
      <c r="B54" s="32"/>
    </row>
    <row r="64" spans="2:7" ht="15">
      <c r="B64" s="106"/>
      <c r="C64" s="106"/>
      <c r="D64" s="106"/>
      <c r="E64" s="106"/>
      <c r="F64" s="106"/>
      <c r="G64" s="106"/>
    </row>
    <row r="65" spans="2:7" ht="15">
      <c r="B65" s="106"/>
      <c r="C65" s="106"/>
      <c r="D65" s="106"/>
      <c r="E65" s="106"/>
      <c r="F65" s="106"/>
      <c r="G65" s="106"/>
    </row>
    <row r="66" spans="2:7" ht="15">
      <c r="B66" s="106"/>
      <c r="C66" s="106"/>
      <c r="D66" s="106"/>
      <c r="E66" s="106"/>
      <c r="F66" s="106"/>
      <c r="G66" s="106"/>
    </row>
    <row r="67" spans="2:7" ht="15">
      <c r="B67" s="106"/>
      <c r="C67" s="106"/>
      <c r="D67" s="106"/>
      <c r="E67" s="106"/>
      <c r="F67" s="106"/>
      <c r="G67" s="106"/>
    </row>
    <row r="68" spans="2:7" ht="15">
      <c r="B68" s="106"/>
      <c r="C68" s="106"/>
      <c r="D68" s="106"/>
      <c r="E68" s="106"/>
      <c r="F68" s="106"/>
      <c r="G68" s="106"/>
    </row>
    <row r="69" spans="2:7" ht="15">
      <c r="B69" s="106"/>
      <c r="C69" s="106"/>
      <c r="D69" s="106"/>
      <c r="E69" s="106"/>
      <c r="F69" s="106"/>
      <c r="G69" s="106"/>
    </row>
    <row r="70" spans="2:7" ht="15">
      <c r="B70" s="106"/>
      <c r="C70" s="106"/>
      <c r="D70" s="106"/>
      <c r="E70" s="106"/>
      <c r="F70" s="106"/>
      <c r="G70" s="106"/>
    </row>
    <row r="71" spans="2:7" ht="15">
      <c r="B71" s="106"/>
      <c r="C71" s="106"/>
      <c r="D71" s="106"/>
      <c r="E71" s="106"/>
      <c r="F71" s="106"/>
      <c r="G71" s="106"/>
    </row>
    <row r="72" spans="2:7" ht="15">
      <c r="B72" s="106"/>
      <c r="C72" s="106"/>
      <c r="D72" s="106"/>
      <c r="E72" s="106"/>
      <c r="F72" s="106"/>
      <c r="G72" s="106"/>
    </row>
    <row r="73" spans="2:7" ht="15">
      <c r="B73" s="106"/>
      <c r="C73" s="106"/>
      <c r="D73" s="106"/>
      <c r="E73" s="106"/>
      <c r="F73" s="106"/>
      <c r="G73" s="106"/>
    </row>
    <row r="74" spans="2:7" ht="15">
      <c r="B74" s="106"/>
      <c r="C74" s="106"/>
      <c r="D74" s="106"/>
      <c r="E74" s="106"/>
      <c r="F74" s="106"/>
      <c r="G74" s="106"/>
    </row>
    <row r="75" spans="2:7" ht="15">
      <c r="B75" s="106"/>
      <c r="C75" s="106"/>
      <c r="D75" s="106"/>
      <c r="E75" s="106"/>
      <c r="F75" s="106"/>
      <c r="G75" s="106"/>
    </row>
    <row r="76" spans="2:7" ht="15">
      <c r="B76" s="106"/>
      <c r="C76" s="106"/>
      <c r="D76" s="106"/>
      <c r="E76" s="106"/>
      <c r="F76" s="106"/>
      <c r="G76" s="106"/>
    </row>
    <row r="77" spans="2:7" ht="15">
      <c r="B77" s="106"/>
      <c r="C77" s="106"/>
      <c r="D77" s="106"/>
      <c r="E77" s="106"/>
      <c r="F77" s="106"/>
      <c r="G77" s="106"/>
    </row>
    <row r="78" spans="2:7" ht="15">
      <c r="B78" s="106"/>
      <c r="C78" s="106"/>
      <c r="D78" s="106"/>
      <c r="E78" s="106"/>
      <c r="F78" s="106"/>
      <c r="G78" s="106"/>
    </row>
    <row r="79" spans="2:7" ht="15">
      <c r="B79" s="106"/>
      <c r="C79" s="106"/>
      <c r="D79" s="106"/>
      <c r="E79" s="106"/>
      <c r="F79" s="106"/>
      <c r="G79" s="106"/>
    </row>
    <row r="82" spans="2:7" ht="15.75">
      <c r="B82" s="32"/>
      <c r="C82" s="32"/>
      <c r="D82" s="32"/>
      <c r="E82" s="32"/>
      <c r="F82" s="32"/>
      <c r="G82" s="32"/>
    </row>
  </sheetData>
  <sheetProtection/>
  <mergeCells count="4">
    <mergeCell ref="B4:G4"/>
    <mergeCell ref="B2:G2"/>
    <mergeCell ref="D53:G53"/>
    <mergeCell ref="G41:G42"/>
  </mergeCells>
  <hyperlinks>
    <hyperlink ref="B49" r:id="rId1" display="jwieland@cityofpaola.com"/>
  </hyperlinks>
  <printOptions/>
  <pageMargins left="0.81" right="0.32" top="0.59" bottom="0.5" header="0.25" footer="0.25"/>
  <pageSetup blackAndWhite="1" fitToHeight="1" fitToWidth="1" horizontalDpi="120" verticalDpi="120" orientation="portrait" scale="90" r:id="rId2"/>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40" sqref="J40"/>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Paola</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99" t="str">
        <f>CONCATENATE("Computation to Determine Limit for ",J1,"")</f>
        <v>Computation to Determine Limit for 2013</v>
      </c>
      <c r="B3" s="800"/>
      <c r="C3" s="800"/>
      <c r="D3" s="800"/>
      <c r="E3" s="800"/>
      <c r="F3" s="800"/>
      <c r="G3" s="800"/>
      <c r="H3" s="800"/>
      <c r="I3" s="800"/>
      <c r="J3" s="800"/>
    </row>
    <row r="4" spans="1:10" ht="15.75">
      <c r="A4" s="173"/>
      <c r="B4" s="173"/>
      <c r="C4" s="173"/>
      <c r="D4" s="173"/>
      <c r="E4" s="800"/>
      <c r="F4" s="800"/>
      <c r="G4" s="800"/>
      <c r="H4" s="175"/>
      <c r="I4" s="173"/>
      <c r="J4" s="176" t="s">
        <v>513</v>
      </c>
    </row>
    <row r="5" spans="1:10" ht="15.75">
      <c r="A5" s="177" t="s">
        <v>514</v>
      </c>
      <c r="B5" s="173" t="str">
        <f>CONCATENATE("Total Tax Levy Amount in ",J1-1," Budget")</f>
        <v>Total Tax Levy Amount in 2012 Budget</v>
      </c>
      <c r="C5" s="173"/>
      <c r="D5" s="173"/>
      <c r="E5" s="178"/>
      <c r="F5" s="178"/>
      <c r="G5" s="178"/>
      <c r="H5" s="179" t="s">
        <v>515</v>
      </c>
      <c r="I5" s="178" t="s">
        <v>516</v>
      </c>
      <c r="J5" s="180">
        <f>inputPrYr!E31</f>
        <v>1918772</v>
      </c>
    </row>
    <row r="6" spans="1:10" ht="15.75">
      <c r="A6" s="177" t="s">
        <v>517</v>
      </c>
      <c r="B6" s="173" t="str">
        <f>CONCATENATE("Debt Service Levy in ",J1-1," Budget")</f>
        <v>Debt Service Levy in 2012 Budget</v>
      </c>
      <c r="C6" s="173"/>
      <c r="D6" s="173"/>
      <c r="E6" s="178"/>
      <c r="F6" s="178"/>
      <c r="G6" s="178"/>
      <c r="H6" s="179" t="s">
        <v>518</v>
      </c>
      <c r="I6" s="178" t="s">
        <v>516</v>
      </c>
      <c r="J6" s="181">
        <f>inputPrYr!E18</f>
        <v>220586</v>
      </c>
    </row>
    <row r="7" spans="1:10" ht="15.75">
      <c r="A7" s="177" t="s">
        <v>544</v>
      </c>
      <c r="B7" s="182" t="s">
        <v>541</v>
      </c>
      <c r="C7" s="173"/>
      <c r="D7" s="173"/>
      <c r="E7" s="178"/>
      <c r="F7" s="178"/>
      <c r="G7" s="178"/>
      <c r="H7" s="178"/>
      <c r="I7" s="178" t="s">
        <v>516</v>
      </c>
      <c r="J7" s="183">
        <f>J5-J6</f>
        <v>1698186</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519</v>
      </c>
      <c r="B11" s="182" t="str">
        <f>CONCATENATE("New Improvements for ",J1-1,":")</f>
        <v>New Improvements for 2012:</v>
      </c>
      <c r="C11" s="173"/>
      <c r="D11" s="173"/>
      <c r="E11" s="179"/>
      <c r="F11" s="179" t="s">
        <v>515</v>
      </c>
      <c r="G11" s="184">
        <f>inputOth!E8</f>
        <v>261330</v>
      </c>
      <c r="H11" s="185"/>
      <c r="I11" s="178"/>
      <c r="J11" s="178"/>
    </row>
    <row r="12" spans="1:10" ht="15.75">
      <c r="A12" s="177"/>
      <c r="B12" s="186"/>
      <c r="C12" s="173"/>
      <c r="D12" s="173"/>
      <c r="E12" s="179"/>
      <c r="F12" s="179"/>
      <c r="G12" s="185"/>
      <c r="H12" s="185"/>
      <c r="I12" s="178"/>
      <c r="J12" s="178"/>
    </row>
    <row r="13" spans="1:10" ht="15.75">
      <c r="A13" s="177" t="s">
        <v>520</v>
      </c>
      <c r="B13" s="182" t="str">
        <f>CONCATENATE("Increase in Personal Property for ",J1-1,":")</f>
        <v>Increase in Personal Property for 2012:</v>
      </c>
      <c r="C13" s="173"/>
      <c r="D13" s="173"/>
      <c r="E13" s="179"/>
      <c r="F13" s="179"/>
      <c r="G13" s="185"/>
      <c r="H13" s="185"/>
      <c r="I13" s="178"/>
      <c r="J13" s="178"/>
    </row>
    <row r="14" spans="1:10" ht="15.75">
      <c r="A14" s="187"/>
      <c r="B14" s="173" t="s">
        <v>521</v>
      </c>
      <c r="C14" s="173" t="str">
        <f>CONCATENATE("Personal Property ",J1-1,"")</f>
        <v>Personal Property 2012</v>
      </c>
      <c r="D14" s="186" t="s">
        <v>515</v>
      </c>
      <c r="E14" s="184">
        <f>inputOth!E9</f>
        <v>1648455</v>
      </c>
      <c r="F14" s="179"/>
      <c r="G14" s="178"/>
      <c r="H14" s="178"/>
      <c r="I14" s="185"/>
      <c r="J14" s="178"/>
    </row>
    <row r="15" spans="1:10" ht="15.75">
      <c r="A15" s="186"/>
      <c r="B15" s="173" t="s">
        <v>522</v>
      </c>
      <c r="C15" s="173" t="str">
        <f>CONCATENATE("Personal Property ",J1-2,"")</f>
        <v>Personal Property 2011</v>
      </c>
      <c r="D15" s="186" t="s">
        <v>518</v>
      </c>
      <c r="E15" s="188">
        <f>inputOth!E15</f>
        <v>1823044</v>
      </c>
      <c r="F15" s="179"/>
      <c r="G15" s="185"/>
      <c r="H15" s="185"/>
      <c r="I15" s="178"/>
      <c r="J15" s="178"/>
    </row>
    <row r="16" spans="1:10" ht="15.75">
      <c r="A16" s="186"/>
      <c r="B16" s="173" t="s">
        <v>523</v>
      </c>
      <c r="C16" s="173" t="s">
        <v>543</v>
      </c>
      <c r="D16" s="173"/>
      <c r="E16" s="178"/>
      <c r="F16" s="178" t="s">
        <v>515</v>
      </c>
      <c r="G16" s="180">
        <f>IF(E14&gt;E15,E14-E15,0)</f>
        <v>0</v>
      </c>
      <c r="H16" s="185"/>
      <c r="I16" s="178"/>
      <c r="J16" s="178"/>
    </row>
    <row r="17" spans="1:10" ht="15.75">
      <c r="A17" s="186"/>
      <c r="B17" s="186"/>
      <c r="C17" s="173"/>
      <c r="D17" s="173"/>
      <c r="E17" s="178"/>
      <c r="F17" s="178"/>
      <c r="G17" s="185" t="s">
        <v>536</v>
      </c>
      <c r="H17" s="185"/>
      <c r="I17" s="178"/>
      <c r="J17" s="178"/>
    </row>
    <row r="18" spans="1:10" ht="15.75">
      <c r="A18" s="186" t="s">
        <v>524</v>
      </c>
      <c r="B18" s="182" t="str">
        <f>CONCATENATE("Valuation of annexed territory for ",J1-1,"")</f>
        <v>Valuation of annexed territory for 2012</v>
      </c>
      <c r="C18" s="173"/>
      <c r="D18" s="173"/>
      <c r="E18" s="185"/>
      <c r="F18" s="178"/>
      <c r="G18" s="178"/>
      <c r="H18" s="178"/>
      <c r="I18" s="178"/>
      <c r="J18" s="178"/>
    </row>
    <row r="19" spans="1:10" ht="15.75">
      <c r="A19" s="186"/>
      <c r="B19" s="173" t="s">
        <v>525</v>
      </c>
      <c r="C19" s="173" t="s">
        <v>545</v>
      </c>
      <c r="D19" s="186" t="s">
        <v>515</v>
      </c>
      <c r="E19" s="184">
        <f>inputOth!E11</f>
        <v>0</v>
      </c>
      <c r="F19" s="178"/>
      <c r="G19" s="178"/>
      <c r="H19" s="178"/>
      <c r="I19" s="178"/>
      <c r="J19" s="178"/>
    </row>
    <row r="20" spans="1:10" ht="15.75">
      <c r="A20" s="186"/>
      <c r="B20" s="173" t="s">
        <v>526</v>
      </c>
      <c r="C20" s="173" t="s">
        <v>546</v>
      </c>
      <c r="D20" s="186" t="s">
        <v>515</v>
      </c>
      <c r="E20" s="184">
        <f>inputOth!E12</f>
        <v>0</v>
      </c>
      <c r="F20" s="178"/>
      <c r="G20" s="185"/>
      <c r="H20" s="185"/>
      <c r="I20" s="178"/>
      <c r="J20" s="178"/>
    </row>
    <row r="21" spans="1:10" ht="15.75">
      <c r="A21" s="186"/>
      <c r="B21" s="173" t="s">
        <v>527</v>
      </c>
      <c r="C21" s="173" t="s">
        <v>542</v>
      </c>
      <c r="D21" s="186" t="s">
        <v>518</v>
      </c>
      <c r="E21" s="184">
        <f>inputOth!E13</f>
        <v>0</v>
      </c>
      <c r="F21" s="178"/>
      <c r="G21" s="185"/>
      <c r="H21" s="185"/>
      <c r="I21" s="178"/>
      <c r="J21" s="178"/>
    </row>
    <row r="22" spans="1:10" ht="15.75">
      <c r="A22" s="186"/>
      <c r="B22" s="173" t="s">
        <v>528</v>
      </c>
      <c r="C22" s="173" t="s">
        <v>547</v>
      </c>
      <c r="D22" s="186"/>
      <c r="E22" s="185"/>
      <c r="F22" s="178" t="s">
        <v>515</v>
      </c>
      <c r="G22" s="180">
        <f>E19+E20-E21</f>
        <v>0</v>
      </c>
      <c r="H22" s="185"/>
      <c r="I22" s="178"/>
      <c r="J22" s="178"/>
    </row>
    <row r="23" spans="1:10" ht="15.75">
      <c r="A23" s="186"/>
      <c r="B23" s="186"/>
      <c r="C23" s="173"/>
      <c r="D23" s="186"/>
      <c r="E23" s="185"/>
      <c r="F23" s="178"/>
      <c r="G23" s="185"/>
      <c r="H23" s="185"/>
      <c r="I23" s="178"/>
      <c r="J23" s="178"/>
    </row>
    <row r="24" spans="1:10" ht="15.75">
      <c r="A24" s="186" t="s">
        <v>529</v>
      </c>
      <c r="B24" s="182" t="str">
        <f>CONCATENATE("Valuation of Property that has Changed in Use during ",J1-1,"")</f>
        <v>Valuation of Property that has Changed in Use during 2012</v>
      </c>
      <c r="C24" s="173"/>
      <c r="D24" s="173"/>
      <c r="E24" s="178"/>
      <c r="F24" s="178"/>
      <c r="G24" s="97">
        <f>inputOth!E14</f>
        <v>869</v>
      </c>
      <c r="H24" s="178"/>
      <c r="I24" s="178"/>
      <c r="J24" s="178"/>
    </row>
    <row r="25" spans="1:10" ht="15.75">
      <c r="A25" s="173" t="s">
        <v>413</v>
      </c>
      <c r="B25" s="173"/>
      <c r="C25" s="173"/>
      <c r="D25" s="186"/>
      <c r="E25" s="185"/>
      <c r="F25" s="178"/>
      <c r="G25" s="189"/>
      <c r="H25" s="185"/>
      <c r="I25" s="178"/>
      <c r="J25" s="178"/>
    </row>
    <row r="26" spans="1:10" ht="15.75">
      <c r="A26" s="186" t="s">
        <v>530</v>
      </c>
      <c r="B26" s="182" t="s">
        <v>548</v>
      </c>
      <c r="C26" s="173"/>
      <c r="D26" s="173"/>
      <c r="E26" s="178"/>
      <c r="F26" s="178"/>
      <c r="G26" s="180">
        <f>G11+G16+G22+G24</f>
        <v>262199</v>
      </c>
      <c r="H26" s="185"/>
      <c r="I26" s="178"/>
      <c r="J26" s="178"/>
    </row>
    <row r="27" spans="1:10" ht="15.75">
      <c r="A27" s="186"/>
      <c r="B27" s="186"/>
      <c r="C27" s="182"/>
      <c r="D27" s="173"/>
      <c r="E27" s="178"/>
      <c r="F27" s="178"/>
      <c r="G27" s="185"/>
      <c r="H27" s="185"/>
      <c r="I27" s="178"/>
      <c r="J27" s="178"/>
    </row>
    <row r="28" spans="1:10" ht="15.75">
      <c r="A28" s="186" t="s">
        <v>531</v>
      </c>
      <c r="B28" s="173" t="str">
        <f>CONCATENATE("Total Estimated Valuation July 1,",J1-1,"")</f>
        <v>Total Estimated Valuation July 1,2012</v>
      </c>
      <c r="C28" s="173"/>
      <c r="D28" s="173"/>
      <c r="E28" s="180">
        <f>inputOth!E7</f>
        <v>45634271</v>
      </c>
      <c r="F28" s="178"/>
      <c r="G28" s="178"/>
      <c r="H28" s="178"/>
      <c r="I28" s="179"/>
      <c r="J28" s="178"/>
    </row>
    <row r="29" spans="1:10" ht="15.75">
      <c r="A29" s="186"/>
      <c r="B29" s="186"/>
      <c r="C29" s="173"/>
      <c r="D29" s="173"/>
      <c r="E29" s="185"/>
      <c r="F29" s="178"/>
      <c r="G29" s="178"/>
      <c r="H29" s="178"/>
      <c r="I29" s="179"/>
      <c r="J29" s="178"/>
    </row>
    <row r="30" spans="1:10" ht="15.75">
      <c r="A30" s="186" t="s">
        <v>532</v>
      </c>
      <c r="B30" s="182" t="s">
        <v>549</v>
      </c>
      <c r="C30" s="173"/>
      <c r="D30" s="173"/>
      <c r="E30" s="178"/>
      <c r="F30" s="178"/>
      <c r="G30" s="180">
        <f>E28-G26</f>
        <v>45372072</v>
      </c>
      <c r="H30" s="185"/>
      <c r="I30" s="179"/>
      <c r="J30" s="178"/>
    </row>
    <row r="31" spans="1:10" ht="15.75">
      <c r="A31" s="186"/>
      <c r="B31" s="186"/>
      <c r="C31" s="182"/>
      <c r="D31" s="173"/>
      <c r="E31" s="173"/>
      <c r="F31" s="173"/>
      <c r="G31" s="190"/>
      <c r="H31" s="191"/>
      <c r="I31" s="186"/>
      <c r="J31" s="173"/>
    </row>
    <row r="32" spans="1:10" ht="15.75">
      <c r="A32" s="186" t="s">
        <v>533</v>
      </c>
      <c r="B32" s="173" t="s">
        <v>550</v>
      </c>
      <c r="C32" s="173"/>
      <c r="D32" s="173"/>
      <c r="E32" s="173"/>
      <c r="F32" s="173"/>
      <c r="G32" s="192">
        <f>IF(G30&gt;0,G26/G30,0)</f>
        <v>0.00577886326196432</v>
      </c>
      <c r="H32" s="191"/>
      <c r="I32" s="173"/>
      <c r="J32" s="173"/>
    </row>
    <row r="33" spans="1:10" ht="15.75">
      <c r="A33" s="186"/>
      <c r="B33" s="186"/>
      <c r="C33" s="173"/>
      <c r="D33" s="173"/>
      <c r="E33" s="173"/>
      <c r="F33" s="173"/>
      <c r="G33" s="191"/>
      <c r="H33" s="191"/>
      <c r="I33" s="173"/>
      <c r="J33" s="173"/>
    </row>
    <row r="34" spans="1:10" ht="15.75">
      <c r="A34" s="186" t="s">
        <v>534</v>
      </c>
      <c r="B34" s="173" t="s">
        <v>551</v>
      </c>
      <c r="C34" s="173"/>
      <c r="D34" s="173"/>
      <c r="E34" s="173"/>
      <c r="F34" s="173"/>
      <c r="G34" s="191"/>
      <c r="H34" s="193" t="s">
        <v>515</v>
      </c>
      <c r="I34" s="173" t="s">
        <v>516</v>
      </c>
      <c r="J34" s="180">
        <f>ROUND(G32*J7,0)</f>
        <v>9814</v>
      </c>
    </row>
    <row r="35" spans="1:10" ht="15.75">
      <c r="A35" s="186"/>
      <c r="B35" s="186"/>
      <c r="C35" s="173"/>
      <c r="D35" s="173"/>
      <c r="E35" s="173"/>
      <c r="F35" s="173"/>
      <c r="G35" s="191"/>
      <c r="H35" s="193"/>
      <c r="I35" s="173"/>
      <c r="J35" s="185"/>
    </row>
    <row r="36" spans="1:10" ht="16.5" thickBot="1">
      <c r="A36" s="186" t="s">
        <v>535</v>
      </c>
      <c r="B36" s="182" t="s">
        <v>557</v>
      </c>
      <c r="C36" s="173"/>
      <c r="D36" s="173"/>
      <c r="E36" s="173"/>
      <c r="F36" s="173"/>
      <c r="G36" s="173"/>
      <c r="H36" s="173"/>
      <c r="I36" s="173" t="s">
        <v>516</v>
      </c>
      <c r="J36" s="194">
        <f>J7+J34</f>
        <v>1708000</v>
      </c>
    </row>
    <row r="37" spans="1:10" ht="16.5" thickTop="1">
      <c r="A37" s="173"/>
      <c r="B37" s="173"/>
      <c r="C37" s="173"/>
      <c r="D37" s="173"/>
      <c r="E37" s="173"/>
      <c r="F37" s="173"/>
      <c r="G37" s="173"/>
      <c r="H37" s="173"/>
      <c r="I37" s="173"/>
      <c r="J37" s="173"/>
    </row>
    <row r="38" spans="1:10" ht="15.75">
      <c r="A38" s="186" t="s">
        <v>555</v>
      </c>
      <c r="B38" s="182" t="str">
        <f>CONCATENATE("Debt Service in this ",J1," Budget")</f>
        <v>Debt Service in this 2013 Budget</v>
      </c>
      <c r="C38" s="173"/>
      <c r="D38" s="173"/>
      <c r="E38" s="173"/>
      <c r="F38" s="173"/>
      <c r="G38" s="173"/>
      <c r="H38" s="173"/>
      <c r="I38" s="173"/>
      <c r="J38" s="195">
        <f>'DebtSvs-library'!E48</f>
        <v>216738</v>
      </c>
    </row>
    <row r="39" spans="1:10" ht="15.75">
      <c r="A39" s="186"/>
      <c r="B39" s="182"/>
      <c r="C39" s="173"/>
      <c r="D39" s="173"/>
      <c r="E39" s="173"/>
      <c r="F39" s="173"/>
      <c r="G39" s="173"/>
      <c r="H39" s="173"/>
      <c r="I39" s="173"/>
      <c r="J39" s="191"/>
    </row>
    <row r="40" spans="1:10" ht="16.5" thickBot="1">
      <c r="A40" s="186" t="s">
        <v>556</v>
      </c>
      <c r="B40" s="182" t="s">
        <v>563</v>
      </c>
      <c r="C40" s="173"/>
      <c r="D40" s="173"/>
      <c r="E40" s="173"/>
      <c r="F40" s="173"/>
      <c r="G40" s="173"/>
      <c r="H40" s="173"/>
      <c r="I40" s="173"/>
      <c r="J40" s="194">
        <f>J36+J38</f>
        <v>1924738</v>
      </c>
    </row>
    <row r="41" spans="1:10" ht="16.5" thickTop="1">
      <c r="A41" s="173"/>
      <c r="B41" s="173"/>
      <c r="C41" s="173"/>
      <c r="D41" s="173"/>
      <c r="E41" s="173"/>
      <c r="F41" s="173"/>
      <c r="G41" s="173"/>
      <c r="H41" s="173"/>
      <c r="I41" s="173"/>
      <c r="J41" s="173"/>
    </row>
    <row r="42" spans="1:10" s="196" customFormat="1" ht="18.75">
      <c r="A42" s="798" t="str">
        <f>CONCATENATE("If the ",J1," budget includes tax levies exceeding the total on line 15, you must")</f>
        <v>If the 2013 budget includes tax levies exceeding the total on line 15, you must</v>
      </c>
      <c r="B42" s="798"/>
      <c r="C42" s="798"/>
      <c r="D42" s="798"/>
      <c r="E42" s="798"/>
      <c r="F42" s="798"/>
      <c r="G42" s="798"/>
      <c r="H42" s="798"/>
      <c r="I42" s="798"/>
      <c r="J42" s="798"/>
    </row>
    <row r="43" spans="1:10" s="196" customFormat="1" ht="18.75">
      <c r="A43" s="798" t="s">
        <v>631</v>
      </c>
      <c r="B43" s="798"/>
      <c r="C43" s="798"/>
      <c r="D43" s="798"/>
      <c r="E43" s="798"/>
      <c r="F43" s="798"/>
      <c r="G43" s="798"/>
      <c r="H43" s="798"/>
      <c r="I43" s="798"/>
      <c r="J43" s="798"/>
    </row>
    <row r="44" spans="1:10" s="196" customFormat="1" ht="18.75">
      <c r="A44" s="798" t="s">
        <v>632</v>
      </c>
      <c r="B44" s="798"/>
      <c r="C44" s="798"/>
      <c r="D44" s="798"/>
      <c r="E44" s="798"/>
      <c r="F44" s="798"/>
      <c r="G44" s="798"/>
      <c r="H44" s="798"/>
      <c r="I44" s="798"/>
      <c r="J44" s="798"/>
    </row>
  </sheetData>
  <sheetProtection sheet="1"/>
  <mergeCells count="5">
    <mergeCell ref="A42:J42"/>
    <mergeCell ref="A44:J44"/>
    <mergeCell ref="A3:J3"/>
    <mergeCell ref="E4:G4"/>
    <mergeCell ref="A43:J43"/>
  </mergeCells>
  <printOptions/>
  <pageMargins left="0.94" right="0.5" top="1" bottom="0.5" header="0.5" footer="0.5"/>
  <pageSetup blackAndWhite="1" fitToHeight="1" fitToWidth="1" horizontalDpi="600" verticalDpi="600" orientation="portrait" scale="7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6">
      <selection activeCell="C2" sqref="C2"/>
    </sheetView>
  </sheetViews>
  <sheetFormatPr defaultColWidth="8.796875" defaultRowHeight="15"/>
  <cols>
    <col min="1" max="1" width="8.8984375" style="45" customWidth="1"/>
    <col min="2" max="2" width="21.69921875" style="45" customWidth="1"/>
    <col min="3" max="3" width="16.09765625" style="45" customWidth="1"/>
    <col min="4" max="6" width="12.796875" style="45" customWidth="1"/>
    <col min="7" max="7" width="10.19921875" style="45" customWidth="1"/>
    <col min="8" max="16384" width="8.8984375" style="45" customWidth="1"/>
  </cols>
  <sheetData>
    <row r="1" spans="1:7" ht="15.75">
      <c r="A1" s="699"/>
      <c r="B1" s="197" t="str">
        <f>inputPrYr!D2</f>
        <v>City of Paola</v>
      </c>
      <c r="C1" s="197"/>
      <c r="D1" s="47"/>
      <c r="E1" s="47"/>
      <c r="F1" s="47"/>
      <c r="G1" s="47">
        <f>inputPrYr!C5</f>
        <v>2013</v>
      </c>
    </row>
    <row r="2" spans="1:7" ht="15.75">
      <c r="A2" s="699"/>
      <c r="B2" s="47"/>
      <c r="C2" s="47"/>
      <c r="D2" s="47"/>
      <c r="E2" s="47"/>
      <c r="F2" s="47"/>
      <c r="G2" s="47"/>
    </row>
    <row r="3" spans="1:7" ht="15.75">
      <c r="A3" s="699"/>
      <c r="B3" s="801" t="s">
        <v>1197</v>
      </c>
      <c r="C3" s="801"/>
      <c r="D3" s="801"/>
      <c r="E3" s="801"/>
      <c r="F3" s="801"/>
      <c r="G3" s="47"/>
    </row>
    <row r="4" spans="1:7" ht="15.75">
      <c r="A4" s="699"/>
      <c r="B4" s="47"/>
      <c r="C4" s="198"/>
      <c r="D4" s="198"/>
      <c r="E4" s="198"/>
      <c r="F4" s="47"/>
      <c r="G4" s="76"/>
    </row>
    <row r="5" spans="1:8" ht="21" customHeight="1">
      <c r="A5" s="699"/>
      <c r="B5" s="199" t="s">
        <v>630</v>
      </c>
      <c r="C5" s="144" t="s">
        <v>387</v>
      </c>
      <c r="D5" s="802" t="str">
        <f>CONCATENATE("Allocation for Year ",G1,"")</f>
        <v>Allocation for Year 2013</v>
      </c>
      <c r="E5" s="803"/>
      <c r="F5" s="804"/>
      <c r="G5" s="47"/>
      <c r="H5" s="619"/>
    </row>
    <row r="6" spans="1:7" ht="15.75">
      <c r="A6" s="699"/>
      <c r="B6" s="200" t="str">
        <f>CONCATENATE("for ",G1-1,"")</f>
        <v>for 2012</v>
      </c>
      <c r="C6" s="200" t="str">
        <f>CONCATENATE("Amount for ",G1-2,"")</f>
        <v>Amount for 2011</v>
      </c>
      <c r="D6" s="148" t="s">
        <v>509</v>
      </c>
      <c r="E6" s="148" t="s">
        <v>510</v>
      </c>
      <c r="F6" s="148" t="s">
        <v>508</v>
      </c>
      <c r="G6" s="698"/>
    </row>
    <row r="7" spans="1:7" ht="15.75">
      <c r="A7" s="699"/>
      <c r="B7" s="87" t="str">
        <f>(inputPrYr!B17)</f>
        <v>General - Fund 01</v>
      </c>
      <c r="C7" s="151">
        <f>(inputPrYr!E17)</f>
        <v>1161648</v>
      </c>
      <c r="D7" s="151">
        <f>IF(inputPrYr!E17=0,0,D22-SUM(D8:D19))</f>
        <v>106677</v>
      </c>
      <c r="E7" s="151">
        <f>IF(inputPrYr!E17=0,0,E23-SUM(E8:E19))</f>
        <v>1407</v>
      </c>
      <c r="F7" s="151">
        <f>IF(inputPrYr!E17=0,0,F24-SUM(F8:F19))</f>
        <v>658</v>
      </c>
      <c r="G7" s="699"/>
    </row>
    <row r="8" spans="1:7" ht="15.75">
      <c r="A8" s="699"/>
      <c r="B8" s="87" t="str">
        <f>IF(inputPrYr!$B18&gt;"  ",(inputPrYr!$B18),"  ")</f>
        <v>Bond &amp; Interest - Fund 06</v>
      </c>
      <c r="C8" s="151">
        <f>IF(inputPrYr!$E18&gt;0,(inputPrYr!$E18),"  ")</f>
        <v>220586</v>
      </c>
      <c r="D8" s="151">
        <f>IF(inputPrYr!E18&gt;0,ROUND(C8*$D$26,0),"  ")</f>
        <v>20257</v>
      </c>
      <c r="E8" s="151">
        <f>IF(inputPrYr!E18&gt;0,ROUND(+C8*E$27,0)," ")</f>
        <v>267</v>
      </c>
      <c r="F8" s="151">
        <f>IF(inputPrYr!E18&gt;0,ROUND(C8*F$28,0)," ")</f>
        <v>125</v>
      </c>
      <c r="G8" s="699"/>
    </row>
    <row r="9" spans="1:7" ht="15.75">
      <c r="A9" s="699"/>
      <c r="B9" s="87" t="str">
        <f>IF(inputPrYr!$B19&gt;"  ",(inputPrYr!$B19),"  ")</f>
        <v>Library - Fund 02</v>
      </c>
      <c r="C9" s="151">
        <f>IF(inputPrYr!$E19&gt;0,(inputPrYr!$E19),"  ")</f>
        <v>219619</v>
      </c>
      <c r="D9" s="151">
        <f>IF(inputPrYr!E19&gt;0,ROUND(C9*$D$26,0),"  ")</f>
        <v>20168</v>
      </c>
      <c r="E9" s="151">
        <f>IF(inputPrYr!E19&gt;0,ROUND(+C9*E$27,0)," ")</f>
        <v>266</v>
      </c>
      <c r="F9" s="151">
        <f>IF(inputPrYr!E19&gt;0,ROUND(+C9*F$28,0)," ")</f>
        <v>124</v>
      </c>
      <c r="G9" s="699"/>
    </row>
    <row r="10" spans="1:7" ht="15.75">
      <c r="A10" s="699"/>
      <c r="B10" s="87" t="str">
        <f>IF(inputPrYr!$B21&gt;"  ",(inputPrYr!$B21),"  ")</f>
        <v>Employee Benefits - Fund 05</v>
      </c>
      <c r="C10" s="151">
        <f>IF(inputPrYr!$E21&gt;0,(inputPrYr!$E21),"  ")</f>
        <v>316919</v>
      </c>
      <c r="D10" s="151">
        <f>IF(inputPrYr!E21&gt;0,ROUND(C10*$D$26,0),"  ")</f>
        <v>29103</v>
      </c>
      <c r="E10" s="151">
        <f>IF(inputPrYr!E21&gt;0,ROUND(+C10*E$27,0)," ")</f>
        <v>384</v>
      </c>
      <c r="F10" s="151">
        <f>IF(inputPrYr!E21&gt;0,ROUND(+C10*F$28,0)," ")</f>
        <v>180</v>
      </c>
      <c r="G10" s="699"/>
    </row>
    <row r="11" spans="1:7" ht="15.75">
      <c r="A11" s="699"/>
      <c r="B11" s="87" t="str">
        <f>IF(inputPrYr!$B22&gt;"  ",(inputPrYr!$B22),"  ")</f>
        <v>  </v>
      </c>
      <c r="C11" s="151" t="str">
        <f>IF(inputPrYr!$E22&gt;0,(inputPrYr!$E22),"  ")</f>
        <v>  </v>
      </c>
      <c r="D11" s="151" t="str">
        <f>IF(inputPrYr!E22&gt;0,ROUND(C11*$D$26,0),"  ")</f>
        <v>  </v>
      </c>
      <c r="E11" s="151" t="str">
        <f>IF(inputPrYr!E22&gt;0,ROUND(+C11*E$27,0)," ")</f>
        <v> </v>
      </c>
      <c r="F11" s="151" t="str">
        <f>IF(inputPrYr!E22&gt;0,ROUND(+C11*F$28,0)," ")</f>
        <v> </v>
      </c>
      <c r="G11" s="699"/>
    </row>
    <row r="12" spans="1:7" ht="15.75">
      <c r="A12" s="699"/>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699"/>
    </row>
    <row r="13" spans="1:7" ht="15.75">
      <c r="A13" s="699"/>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699"/>
    </row>
    <row r="14" spans="1:7" ht="15.75">
      <c r="A14" s="699"/>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699"/>
    </row>
    <row r="15" spans="1:7" ht="15.75">
      <c r="A15" s="699"/>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699"/>
    </row>
    <row r="16" spans="1:7" ht="15.75">
      <c r="A16" s="699"/>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699"/>
    </row>
    <row r="17" spans="1:7" ht="15.75">
      <c r="A17" s="699"/>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699"/>
    </row>
    <row r="18" spans="1:7" ht="15.75">
      <c r="A18" s="699"/>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699"/>
    </row>
    <row r="19" spans="1:7" ht="15.75">
      <c r="A19" s="699"/>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699"/>
    </row>
    <row r="20" spans="1:7" ht="15.75">
      <c r="A20" s="699"/>
      <c r="B20" s="47" t="s">
        <v>430</v>
      </c>
      <c r="C20" s="158">
        <f>SUM(C7:C19)</f>
        <v>1918772</v>
      </c>
      <c r="D20" s="158">
        <f>SUM(D7:D19)</f>
        <v>176205</v>
      </c>
      <c r="E20" s="158">
        <f>SUM(E7:E19)</f>
        <v>2324</v>
      </c>
      <c r="F20" s="158">
        <f>SUM(F7:F19)</f>
        <v>1087</v>
      </c>
      <c r="G20" s="47"/>
    </row>
    <row r="21" spans="1:7" ht="15.75">
      <c r="A21" s="699"/>
      <c r="B21" s="47"/>
      <c r="C21" s="77"/>
      <c r="D21" s="77"/>
      <c r="E21" s="77"/>
      <c r="F21" s="77"/>
      <c r="G21" s="47"/>
    </row>
    <row r="22" spans="1:7" ht="15.75">
      <c r="A22" s="699"/>
      <c r="B22" s="52" t="s">
        <v>431</v>
      </c>
      <c r="C22" s="201"/>
      <c r="D22" s="202">
        <f>(inputOth!E39)</f>
        <v>176205</v>
      </c>
      <c r="E22" s="201"/>
      <c r="F22" s="47"/>
      <c r="G22" s="47"/>
    </row>
    <row r="23" spans="1:7" ht="15.75">
      <c r="A23" s="699"/>
      <c r="B23" s="52" t="s">
        <v>432</v>
      </c>
      <c r="C23" s="47"/>
      <c r="D23" s="47"/>
      <c r="E23" s="202">
        <f>(inputOth!E40)</f>
        <v>2324</v>
      </c>
      <c r="F23" s="47"/>
      <c r="G23" s="47"/>
    </row>
    <row r="24" spans="1:7" ht="15.75">
      <c r="A24" s="699"/>
      <c r="B24" s="52" t="s">
        <v>511</v>
      </c>
      <c r="C24" s="47"/>
      <c r="D24" s="47"/>
      <c r="E24" s="47"/>
      <c r="F24" s="202">
        <f>inputOth!E41</f>
        <v>1087</v>
      </c>
      <c r="G24" s="47"/>
    </row>
    <row r="25" spans="1:7" ht="15.75">
      <c r="A25" s="699"/>
      <c r="B25" s="52"/>
      <c r="C25" s="47"/>
      <c r="D25" s="47"/>
      <c r="E25" s="47"/>
      <c r="F25" s="77"/>
      <c r="G25" s="377"/>
    </row>
    <row r="26" spans="1:7" ht="15.75">
      <c r="A26" s="699"/>
      <c r="B26" s="52" t="s">
        <v>433</v>
      </c>
      <c r="C26" s="47"/>
      <c r="D26" s="203">
        <f>IF(C20=0,0,D22/C20)</f>
        <v>0.09183217182656407</v>
      </c>
      <c r="E26" s="47"/>
      <c r="F26" s="47"/>
      <c r="G26" s="47"/>
    </row>
    <row r="27" spans="1:7" ht="15.75">
      <c r="A27" s="699"/>
      <c r="B27" s="47"/>
      <c r="C27" s="52" t="s">
        <v>434</v>
      </c>
      <c r="D27" s="47"/>
      <c r="E27" s="203">
        <f>IF(C20=0,0,E23/C20)</f>
        <v>0.0012111913244512635</v>
      </c>
      <c r="F27" s="47"/>
      <c r="G27" s="47"/>
    </row>
    <row r="28" spans="1:7" ht="15.75">
      <c r="A28" s="699"/>
      <c r="B28" s="47"/>
      <c r="C28" s="47"/>
      <c r="D28" s="52" t="s">
        <v>512</v>
      </c>
      <c r="E28" s="47"/>
      <c r="F28" s="203">
        <f>IF(C20=0,0,F24/C20)</f>
        <v>0.0005665081625122735</v>
      </c>
      <c r="G28" s="47"/>
    </row>
    <row r="29" spans="1:7" ht="15.75">
      <c r="A29" s="699"/>
      <c r="B29" s="47"/>
      <c r="C29" s="47"/>
      <c r="D29" s="47"/>
      <c r="E29" s="47"/>
      <c r="F29" s="47"/>
      <c r="G29" s="47"/>
    </row>
    <row r="30" spans="1:7" ht="15.75">
      <c r="A30" s="699"/>
      <c r="B30" s="68"/>
      <c r="C30" s="68"/>
      <c r="D30" s="68"/>
      <c r="E30" s="68"/>
      <c r="F30" s="68"/>
      <c r="G30" s="68"/>
    </row>
  </sheetData>
  <sheetProtection/>
  <mergeCells count="2">
    <mergeCell ref="B3:F3"/>
    <mergeCell ref="D5:F5"/>
  </mergeCells>
  <printOptions/>
  <pageMargins left="0.5" right="0.5" top="1" bottom="0.5" header="0.5" footer="0.5"/>
  <pageSetup blackAndWhite="1" fitToHeight="1" fitToWidth="1" horizontalDpi="120" verticalDpi="120" orientation="portrait" scale="79"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42"/>
  <sheetViews>
    <sheetView zoomScalePageLayoutView="0" workbookViewId="0" topLeftCell="A7">
      <selection activeCell="A40" sqref="A40"/>
    </sheetView>
  </sheetViews>
  <sheetFormatPr defaultColWidth="8.796875" defaultRowHeight="15"/>
  <cols>
    <col min="1" max="1" width="4.19921875" style="32" customWidth="1"/>
    <col min="2" max="2" width="32" style="32" customWidth="1"/>
    <col min="3" max="3" width="23" style="32" customWidth="1"/>
    <col min="4" max="6" width="12.796875" style="32" customWidth="1"/>
    <col min="7" max="7" width="14.796875" style="32" customWidth="1"/>
    <col min="8" max="16384" width="8.8984375" style="32" customWidth="1"/>
  </cols>
  <sheetData>
    <row r="1" spans="2:7" ht="15.75">
      <c r="B1" s="174" t="str">
        <f>inputPrYr!D2</f>
        <v>City of Paola</v>
      </c>
      <c r="C1" s="174"/>
      <c r="D1" s="173"/>
      <c r="E1" s="173"/>
      <c r="F1" s="173"/>
      <c r="G1" s="173">
        <f>inputPrYr!$C$5</f>
        <v>2013</v>
      </c>
    </row>
    <row r="2" spans="2:7" ht="15.75">
      <c r="B2" s="173"/>
      <c r="C2" s="173"/>
      <c r="D2" s="173"/>
      <c r="E2" s="173"/>
      <c r="F2" s="173"/>
      <c r="G2" s="173"/>
    </row>
    <row r="3" spans="2:7" ht="15.75">
      <c r="B3" s="805" t="s">
        <v>569</v>
      </c>
      <c r="C3" s="805"/>
      <c r="D3" s="805"/>
      <c r="E3" s="805"/>
      <c r="F3" s="805"/>
      <c r="G3" s="805"/>
    </row>
    <row r="4" spans="2:7" ht="15.75">
      <c r="B4" s="204"/>
      <c r="C4" s="204"/>
      <c r="D4" s="204"/>
      <c r="E4" s="204"/>
      <c r="F4" s="204"/>
      <c r="G4" s="204"/>
    </row>
    <row r="5" spans="2:7" ht="15.75">
      <c r="B5" s="205" t="s">
        <v>1080</v>
      </c>
      <c r="C5" s="205" t="s">
        <v>1081</v>
      </c>
      <c r="D5" s="205" t="s">
        <v>460</v>
      </c>
      <c r="E5" s="205" t="s">
        <v>583</v>
      </c>
      <c r="F5" s="205" t="s">
        <v>584</v>
      </c>
      <c r="G5" s="205" t="s">
        <v>622</v>
      </c>
    </row>
    <row r="6" spans="2:7" ht="15.75">
      <c r="B6" s="206" t="s">
        <v>1082</v>
      </c>
      <c r="C6" s="206" t="s">
        <v>1083</v>
      </c>
      <c r="D6" s="206" t="s">
        <v>623</v>
      </c>
      <c r="E6" s="206" t="s">
        <v>623</v>
      </c>
      <c r="F6" s="206" t="s">
        <v>623</v>
      </c>
      <c r="G6" s="206" t="s">
        <v>624</v>
      </c>
    </row>
    <row r="7" spans="2:7" ht="15" customHeight="1">
      <c r="B7" s="207" t="s">
        <v>625</v>
      </c>
      <c r="C7" s="207" t="s">
        <v>626</v>
      </c>
      <c r="D7" s="208">
        <f>G1-2</f>
        <v>2011</v>
      </c>
      <c r="E7" s="208">
        <f>G1-1</f>
        <v>2012</v>
      </c>
      <c r="F7" s="208">
        <f>G1</f>
        <v>2013</v>
      </c>
      <c r="G7" s="207" t="s">
        <v>627</v>
      </c>
    </row>
    <row r="8" spans="2:7" ht="14.25" customHeight="1">
      <c r="B8" s="735" t="s">
        <v>901</v>
      </c>
      <c r="C8" s="736" t="s">
        <v>737</v>
      </c>
      <c r="D8" s="209">
        <v>78000</v>
      </c>
      <c r="E8" s="209">
        <v>78000</v>
      </c>
      <c r="F8" s="209">
        <v>78000</v>
      </c>
      <c r="G8" s="741" t="s">
        <v>917</v>
      </c>
    </row>
    <row r="9" spans="2:7" ht="15" customHeight="1">
      <c r="B9" s="735" t="s">
        <v>902</v>
      </c>
      <c r="C9" s="278" t="s">
        <v>732</v>
      </c>
      <c r="D9" s="212">
        <v>50000</v>
      </c>
      <c r="E9" s="212">
        <v>50000</v>
      </c>
      <c r="F9" s="212">
        <v>50000</v>
      </c>
      <c r="G9" s="742" t="s">
        <v>606</v>
      </c>
    </row>
    <row r="10" spans="2:7" ht="15" customHeight="1">
      <c r="B10" s="735" t="s">
        <v>901</v>
      </c>
      <c r="C10" s="278" t="s">
        <v>734</v>
      </c>
      <c r="D10" s="737">
        <v>22000</v>
      </c>
      <c r="E10" s="737">
        <v>23000</v>
      </c>
      <c r="F10" s="212">
        <v>25300</v>
      </c>
      <c r="G10" s="743" t="s">
        <v>756</v>
      </c>
    </row>
    <row r="11" spans="2:7" ht="15" customHeight="1">
      <c r="B11" s="735" t="s">
        <v>903</v>
      </c>
      <c r="C11" s="278" t="s">
        <v>734</v>
      </c>
      <c r="D11" s="737">
        <v>140000</v>
      </c>
      <c r="E11" s="737">
        <v>134200</v>
      </c>
      <c r="F11" s="212">
        <v>150800</v>
      </c>
      <c r="G11" s="743" t="s">
        <v>756</v>
      </c>
    </row>
    <row r="12" spans="2:7" ht="15" customHeight="1">
      <c r="B12" s="735" t="s">
        <v>904</v>
      </c>
      <c r="C12" s="278" t="s">
        <v>734</v>
      </c>
      <c r="D12" s="737">
        <v>5600</v>
      </c>
      <c r="E12" s="737">
        <v>5400</v>
      </c>
      <c r="F12" s="212">
        <v>5500</v>
      </c>
      <c r="G12" s="743" t="s">
        <v>756</v>
      </c>
    </row>
    <row r="13" spans="2:7" ht="15" customHeight="1">
      <c r="B13" s="735" t="s">
        <v>902</v>
      </c>
      <c r="C13" s="278" t="s">
        <v>734</v>
      </c>
      <c r="D13" s="737">
        <v>58000</v>
      </c>
      <c r="E13" s="737">
        <v>55200</v>
      </c>
      <c r="F13" s="212">
        <v>61700</v>
      </c>
      <c r="G13" s="743" t="s">
        <v>756</v>
      </c>
    </row>
    <row r="14" spans="2:7" ht="15" customHeight="1">
      <c r="B14" s="735" t="s">
        <v>905</v>
      </c>
      <c r="C14" s="278" t="s">
        <v>734</v>
      </c>
      <c r="D14" s="737">
        <v>31440</v>
      </c>
      <c r="E14" s="737">
        <v>33700</v>
      </c>
      <c r="F14" s="212">
        <v>37400</v>
      </c>
      <c r="G14" s="743" t="s">
        <v>756</v>
      </c>
    </row>
    <row r="15" spans="2:7" ht="15" customHeight="1">
      <c r="B15" s="735" t="s">
        <v>906</v>
      </c>
      <c r="C15" s="278" t="s">
        <v>734</v>
      </c>
      <c r="D15" s="737">
        <v>5350</v>
      </c>
      <c r="E15" s="737">
        <v>5950</v>
      </c>
      <c r="F15" s="212">
        <v>6500</v>
      </c>
      <c r="G15" s="743" t="s">
        <v>756</v>
      </c>
    </row>
    <row r="16" spans="2:7" ht="15" customHeight="1">
      <c r="B16" s="735" t="s">
        <v>907</v>
      </c>
      <c r="C16" s="278" t="s">
        <v>734</v>
      </c>
      <c r="D16" s="737">
        <v>37300</v>
      </c>
      <c r="E16" s="737">
        <v>35800</v>
      </c>
      <c r="F16" s="212">
        <v>40800</v>
      </c>
      <c r="G16" s="743" t="s">
        <v>756</v>
      </c>
    </row>
    <row r="17" spans="2:7" ht="15" customHeight="1">
      <c r="B17" s="278" t="s">
        <v>908</v>
      </c>
      <c r="C17" s="278" t="s">
        <v>732</v>
      </c>
      <c r="D17" s="212">
        <v>25000</v>
      </c>
      <c r="E17" s="212">
        <f>25000+89193</f>
        <v>114193</v>
      </c>
      <c r="F17" s="212">
        <f>25000+296958</f>
        <v>321958</v>
      </c>
      <c r="G17" s="742" t="s">
        <v>918</v>
      </c>
    </row>
    <row r="18" spans="2:7" ht="15" customHeight="1">
      <c r="B18" s="278" t="s">
        <v>735</v>
      </c>
      <c r="C18" s="278" t="s">
        <v>739</v>
      </c>
      <c r="D18" s="212">
        <v>7000</v>
      </c>
      <c r="E18" s="212">
        <v>7000</v>
      </c>
      <c r="F18" s="212">
        <v>7000</v>
      </c>
      <c r="G18" s="742" t="s">
        <v>918</v>
      </c>
    </row>
    <row r="19" spans="2:7" ht="15" customHeight="1">
      <c r="B19" s="278" t="s">
        <v>738</v>
      </c>
      <c r="C19" s="278" t="s">
        <v>732</v>
      </c>
      <c r="D19" s="212">
        <v>50000</v>
      </c>
      <c r="E19" s="212">
        <v>50000</v>
      </c>
      <c r="F19" s="212">
        <v>50000</v>
      </c>
      <c r="G19" s="742" t="s">
        <v>918</v>
      </c>
    </row>
    <row r="20" spans="2:7" ht="15" customHeight="1">
      <c r="B20" s="278" t="s">
        <v>733</v>
      </c>
      <c r="C20" s="278" t="s">
        <v>734</v>
      </c>
      <c r="D20" s="212">
        <v>39000</v>
      </c>
      <c r="E20" s="212">
        <v>39000</v>
      </c>
      <c r="F20" s="212">
        <v>32500</v>
      </c>
      <c r="G20" s="743" t="s">
        <v>756</v>
      </c>
    </row>
    <row r="21" spans="2:7" ht="15" customHeight="1">
      <c r="B21" s="278" t="s">
        <v>735</v>
      </c>
      <c r="C21" s="278" t="s">
        <v>734</v>
      </c>
      <c r="D21" s="212">
        <v>112540</v>
      </c>
      <c r="E21" s="212">
        <v>120000</v>
      </c>
      <c r="F21" s="212">
        <v>123000</v>
      </c>
      <c r="G21" s="742" t="s">
        <v>918</v>
      </c>
    </row>
    <row r="22" spans="2:7" ht="15" customHeight="1">
      <c r="B22" s="278" t="s">
        <v>909</v>
      </c>
      <c r="C22" s="278" t="s">
        <v>732</v>
      </c>
      <c r="D22" s="738">
        <v>326063</v>
      </c>
      <c r="E22" s="738">
        <v>338463</v>
      </c>
      <c r="F22" s="738">
        <v>350063</v>
      </c>
      <c r="G22" s="742" t="s">
        <v>919</v>
      </c>
    </row>
    <row r="23" spans="2:7" ht="15" customHeight="1">
      <c r="B23" s="278" t="s">
        <v>910</v>
      </c>
      <c r="C23" s="278" t="s">
        <v>732</v>
      </c>
      <c r="D23" s="738">
        <v>331344</v>
      </c>
      <c r="E23" s="738">
        <v>332263</v>
      </c>
      <c r="F23" s="738">
        <v>326963</v>
      </c>
      <c r="G23" s="742" t="s">
        <v>919</v>
      </c>
    </row>
    <row r="24" spans="2:7" ht="15" customHeight="1">
      <c r="B24" s="278" t="s">
        <v>911</v>
      </c>
      <c r="C24" s="278" t="s">
        <v>732</v>
      </c>
      <c r="D24" s="738">
        <v>90923</v>
      </c>
      <c r="E24" s="738">
        <v>88748</v>
      </c>
      <c r="F24" s="738">
        <v>91248</v>
      </c>
      <c r="G24" s="742" t="s">
        <v>919</v>
      </c>
    </row>
    <row r="25" spans="2:7" ht="15" customHeight="1">
      <c r="B25" s="278" t="s">
        <v>912</v>
      </c>
      <c r="C25" s="278" t="s">
        <v>732</v>
      </c>
      <c r="D25" s="738">
        <v>0</v>
      </c>
      <c r="E25" s="738">
        <v>57318</v>
      </c>
      <c r="F25" s="738">
        <v>89406</v>
      </c>
      <c r="G25" s="742" t="s">
        <v>919</v>
      </c>
    </row>
    <row r="26" spans="2:7" ht="15" customHeight="1">
      <c r="B26" s="278" t="s">
        <v>913</v>
      </c>
      <c r="C26" s="278" t="s">
        <v>732</v>
      </c>
      <c r="D26" s="738">
        <v>0</v>
      </c>
      <c r="E26" s="738">
        <v>97341</v>
      </c>
      <c r="F26" s="738">
        <v>149281</v>
      </c>
      <c r="G26" s="742" t="s">
        <v>919</v>
      </c>
    </row>
    <row r="27" spans="2:7" ht="15" customHeight="1">
      <c r="B27" s="278" t="s">
        <v>914</v>
      </c>
      <c r="C27" s="278" t="s">
        <v>734</v>
      </c>
      <c r="D27" s="212">
        <v>39300</v>
      </c>
      <c r="E27" s="212">
        <v>39300</v>
      </c>
      <c r="F27" s="212">
        <v>39300</v>
      </c>
      <c r="G27" s="743" t="s">
        <v>756</v>
      </c>
    </row>
    <row r="28" spans="2:7" ht="15" customHeight="1">
      <c r="B28" s="278" t="s">
        <v>737</v>
      </c>
      <c r="C28" s="278" t="s">
        <v>734</v>
      </c>
      <c r="D28" s="212">
        <v>15000</v>
      </c>
      <c r="E28" s="212">
        <v>15000</v>
      </c>
      <c r="F28" s="212">
        <v>16000</v>
      </c>
      <c r="G28" s="743" t="s">
        <v>756</v>
      </c>
    </row>
    <row r="29" spans="2:7" ht="15" customHeight="1">
      <c r="B29" s="278" t="s">
        <v>738</v>
      </c>
      <c r="C29" s="278" t="s">
        <v>734</v>
      </c>
      <c r="D29" s="212">
        <v>131640</v>
      </c>
      <c r="E29" s="212">
        <v>138750</v>
      </c>
      <c r="F29" s="212">
        <v>135100</v>
      </c>
      <c r="G29" s="742" t="s">
        <v>918</v>
      </c>
    </row>
    <row r="30" spans="2:7" ht="15" customHeight="1">
      <c r="B30" s="278" t="s">
        <v>915</v>
      </c>
      <c r="C30" s="278" t="s">
        <v>734</v>
      </c>
      <c r="D30" s="212">
        <v>0</v>
      </c>
      <c r="E30" s="212">
        <v>5000</v>
      </c>
      <c r="F30" s="212">
        <v>5000</v>
      </c>
      <c r="G30" s="742" t="s">
        <v>918</v>
      </c>
    </row>
    <row r="31" spans="2:7" ht="15" customHeight="1">
      <c r="B31" s="278" t="s">
        <v>741</v>
      </c>
      <c r="C31" s="278" t="s">
        <v>734</v>
      </c>
      <c r="D31" s="212">
        <v>5900</v>
      </c>
      <c r="E31" s="212">
        <v>5000</v>
      </c>
      <c r="F31" s="212">
        <v>4000</v>
      </c>
      <c r="G31" s="742" t="s">
        <v>918</v>
      </c>
    </row>
    <row r="32" spans="2:7" ht="15" customHeight="1">
      <c r="B32" s="278" t="s">
        <v>908</v>
      </c>
      <c r="C32" s="278" t="s">
        <v>734</v>
      </c>
      <c r="D32" s="212">
        <v>5000</v>
      </c>
      <c r="E32" s="212">
        <v>10000</v>
      </c>
      <c r="F32" s="212">
        <v>10000</v>
      </c>
      <c r="G32" s="742" t="s">
        <v>918</v>
      </c>
    </row>
    <row r="33" spans="2:7" ht="15" customHeight="1">
      <c r="B33" s="278" t="s">
        <v>1071</v>
      </c>
      <c r="C33" s="278" t="s">
        <v>734</v>
      </c>
      <c r="D33" s="212">
        <v>0</v>
      </c>
      <c r="E33" s="212">
        <v>0</v>
      </c>
      <c r="F33" s="212">
        <v>4000</v>
      </c>
      <c r="G33" s="742" t="s">
        <v>918</v>
      </c>
    </row>
    <row r="34" spans="2:7" ht="15" customHeight="1">
      <c r="B34" s="278" t="s">
        <v>915</v>
      </c>
      <c r="C34" s="278" t="s">
        <v>732</v>
      </c>
      <c r="D34" s="739">
        <v>10000</v>
      </c>
      <c r="E34" s="739">
        <v>10000</v>
      </c>
      <c r="F34" s="212">
        <v>10000</v>
      </c>
      <c r="G34" s="742" t="s">
        <v>918</v>
      </c>
    </row>
    <row r="35" spans="2:7" ht="15" customHeight="1">
      <c r="B35" s="278" t="s">
        <v>916</v>
      </c>
      <c r="C35" s="278" t="s">
        <v>914</v>
      </c>
      <c r="D35" s="740">
        <v>150000</v>
      </c>
      <c r="E35" s="740">
        <v>150000</v>
      </c>
      <c r="F35" s="738">
        <v>150000</v>
      </c>
      <c r="G35" s="742" t="s">
        <v>919</v>
      </c>
    </row>
    <row r="36" spans="2:7" ht="15" customHeight="1">
      <c r="B36" s="211"/>
      <c r="C36" s="211"/>
      <c r="D36" s="212"/>
      <c r="E36" s="212"/>
      <c r="F36" s="212"/>
      <c r="G36" s="210"/>
    </row>
    <row r="37" spans="2:7" ht="15" customHeight="1">
      <c r="B37" s="98"/>
      <c r="C37" s="213" t="s">
        <v>424</v>
      </c>
      <c r="D37" s="214">
        <f>SUM(D8:D36)</f>
        <v>1766400</v>
      </c>
      <c r="E37" s="214">
        <f>SUM(E8:E36)</f>
        <v>2038626</v>
      </c>
      <c r="F37" s="214">
        <f>SUM(F8:F36)</f>
        <v>2370819</v>
      </c>
      <c r="G37" s="215"/>
    </row>
    <row r="38" spans="2:7" ht="15" customHeight="1">
      <c r="B38" s="98"/>
      <c r="C38" s="216" t="s">
        <v>628</v>
      </c>
      <c r="D38" s="156"/>
      <c r="E38" s="744">
        <f>E22+E23+E24+E25+E26+E35</f>
        <v>1064133</v>
      </c>
      <c r="F38" s="767">
        <f>F22+F23+F24+F25+F26+F35</f>
        <v>1156961</v>
      </c>
      <c r="G38" s="215"/>
    </row>
    <row r="39" spans="2:7" ht="15" customHeight="1">
      <c r="B39" s="98"/>
      <c r="C39" s="213" t="s">
        <v>629</v>
      </c>
      <c r="D39" s="214">
        <f>D37</f>
        <v>1766400</v>
      </c>
      <c r="E39" s="214">
        <f>SUM(E37-E38)</f>
        <v>974493</v>
      </c>
      <c r="F39" s="214">
        <f>SUM(F37-F38)</f>
        <v>1213858</v>
      </c>
      <c r="G39" s="215"/>
    </row>
    <row r="40" spans="2:7" ht="15" customHeight="1">
      <c r="B40" s="98"/>
      <c r="C40" s="98"/>
      <c r="D40" s="98"/>
      <c r="E40" s="98"/>
      <c r="F40" s="98"/>
      <c r="G40" s="98"/>
    </row>
    <row r="41" spans="2:7" ht="15" customHeight="1">
      <c r="B41" s="98"/>
      <c r="C41" s="98"/>
      <c r="D41" s="98"/>
      <c r="E41" s="745"/>
      <c r="F41" s="98"/>
      <c r="G41" s="98"/>
    </row>
    <row r="42" spans="2:7" ht="15" customHeight="1">
      <c r="B42" s="370" t="s">
        <v>1079</v>
      </c>
      <c r="C42" s="371" t="str">
        <f>CONCATENATE("Adjustments are required only if the transfer is being made in ",E7," and/or ",F7," from a non-budgeted fund.")</f>
        <v>Adjustments are required only if the transfer is being made in 2012 and/or 2013 from a non-budgeted fund.</v>
      </c>
      <c r="D42" s="98"/>
      <c r="E42" s="98"/>
      <c r="F42" s="98"/>
      <c r="G42" s="98"/>
    </row>
    <row r="43" ht="15" customHeight="1"/>
  </sheetData>
  <sheetProtection/>
  <mergeCells count="1">
    <mergeCell ref="B3:G3"/>
  </mergeCells>
  <printOptions horizontalCentered="1"/>
  <pageMargins left="0.33" right="0.32" top="0.84" bottom="0.63" header="0.4" footer="0.3"/>
  <pageSetup blackAndWhite="1" fitToHeight="1" fitToWidth="1" horizontalDpi="600" verticalDpi="600" orientation="landscape" scale="9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3" customWidth="1"/>
    <col min="2" max="16384" width="8.8984375" style="493" customWidth="1"/>
  </cols>
  <sheetData>
    <row r="1" ht="18.75">
      <c r="A1" s="494" t="s">
        <v>23</v>
      </c>
    </row>
    <row r="2" ht="18.75">
      <c r="A2" s="494"/>
    </row>
    <row r="3" ht="18.75">
      <c r="A3" s="494"/>
    </row>
    <row r="4" ht="51.75" customHeight="1">
      <c r="A4" s="504" t="s">
        <v>208</v>
      </c>
    </row>
    <row r="5" ht="18.75">
      <c r="A5" s="494"/>
    </row>
    <row r="6" ht="15.75">
      <c r="A6" s="495"/>
    </row>
    <row r="7" ht="47.25">
      <c r="A7" s="496" t="s">
        <v>24</v>
      </c>
    </row>
    <row r="8" ht="15.75">
      <c r="A8" s="495"/>
    </row>
    <row r="9" ht="15.75">
      <c r="A9" s="495"/>
    </row>
    <row r="10" ht="63">
      <c r="A10" s="496" t="s">
        <v>25</v>
      </c>
    </row>
    <row r="11" ht="15.75">
      <c r="A11" s="497"/>
    </row>
    <row r="12" ht="15.75">
      <c r="A12" s="495"/>
    </row>
    <row r="13" ht="47.25">
      <c r="A13" s="496" t="s">
        <v>26</v>
      </c>
    </row>
    <row r="14" ht="15.75">
      <c r="A14" s="497"/>
    </row>
    <row r="15" ht="15.75">
      <c r="A15" s="495"/>
    </row>
    <row r="16" ht="47.25">
      <c r="A16" s="496" t="s">
        <v>27</v>
      </c>
    </row>
    <row r="17" ht="15.75">
      <c r="A17" s="497"/>
    </row>
    <row r="18" ht="15.75">
      <c r="A18" s="497"/>
    </row>
    <row r="19" ht="47.25">
      <c r="A19" s="496" t="s">
        <v>28</v>
      </c>
    </row>
    <row r="20" ht="15.75">
      <c r="A20" s="497"/>
    </row>
    <row r="21" ht="15.75">
      <c r="A21" s="497"/>
    </row>
    <row r="22" ht="47.25">
      <c r="A22" s="496" t="s">
        <v>29</v>
      </c>
    </row>
    <row r="23" ht="15.75">
      <c r="A23" s="497"/>
    </row>
    <row r="24" ht="15.75">
      <c r="A24" s="497"/>
    </row>
    <row r="25" ht="31.5">
      <c r="A25" s="496" t="s">
        <v>30</v>
      </c>
    </row>
    <row r="26" ht="15.75">
      <c r="A26" s="495"/>
    </row>
    <row r="27" ht="15.75">
      <c r="A27" s="495"/>
    </row>
    <row r="28" ht="60">
      <c r="A28" s="498" t="s">
        <v>31</v>
      </c>
    </row>
    <row r="29" ht="15">
      <c r="A29" s="499"/>
    </row>
    <row r="30" ht="15">
      <c r="A30" s="499"/>
    </row>
    <row r="31" ht="47.25">
      <c r="A31" s="496" t="s">
        <v>32</v>
      </c>
    </row>
    <row r="32" ht="15.75">
      <c r="A32" s="495"/>
    </row>
    <row r="33" ht="15.75">
      <c r="A33" s="495"/>
    </row>
    <row r="34" ht="66.75" customHeight="1">
      <c r="A34" s="503" t="s">
        <v>209</v>
      </c>
    </row>
    <row r="35" ht="15.75">
      <c r="A35" s="495"/>
    </row>
    <row r="36" ht="15.75">
      <c r="A36" s="495"/>
    </row>
    <row r="37" ht="63">
      <c r="A37" s="500" t="s">
        <v>33</v>
      </c>
    </row>
    <row r="38" ht="15.75">
      <c r="A38" s="497"/>
    </row>
    <row r="39" ht="15.75">
      <c r="A39" s="495"/>
    </row>
    <row r="40" ht="63">
      <c r="A40" s="496" t="s">
        <v>34</v>
      </c>
    </row>
    <row r="41" ht="15.75">
      <c r="A41" s="497"/>
    </row>
    <row r="42" ht="15.75">
      <c r="A42" s="497"/>
    </row>
    <row r="43" ht="82.5" customHeight="1">
      <c r="A43" s="492" t="s">
        <v>210</v>
      </c>
    </row>
    <row r="44" ht="15.75">
      <c r="A44" s="497"/>
    </row>
    <row r="45" ht="15.75">
      <c r="A45" s="497"/>
    </row>
    <row r="46" ht="69" customHeight="1">
      <c r="A46" s="492" t="s">
        <v>1131</v>
      </c>
    </row>
    <row r="47" ht="15.75">
      <c r="A47" s="497"/>
    </row>
    <row r="48" ht="15.75">
      <c r="A48" s="497"/>
    </row>
    <row r="49" ht="69" customHeight="1">
      <c r="A49" s="492" t="s">
        <v>1132</v>
      </c>
    </row>
    <row r="50" ht="15.75">
      <c r="A50" s="497"/>
    </row>
    <row r="51" ht="15.75">
      <c r="A51" s="497"/>
    </row>
    <row r="52" ht="53.25" customHeight="1">
      <c r="A52" s="492" t="s">
        <v>236</v>
      </c>
    </row>
    <row r="53" ht="15.75">
      <c r="A53" s="497"/>
    </row>
    <row r="54" ht="15.75">
      <c r="A54" s="497"/>
    </row>
    <row r="55" ht="63">
      <c r="A55" s="496" t="s">
        <v>35</v>
      </c>
    </row>
    <row r="56" ht="15.75">
      <c r="A56" s="497"/>
    </row>
    <row r="57" ht="15.75">
      <c r="A57" s="497"/>
    </row>
    <row r="58" ht="63">
      <c r="A58" s="496" t="s">
        <v>36</v>
      </c>
    </row>
    <row r="59" ht="15.75">
      <c r="A59" s="497"/>
    </row>
    <row r="60" ht="15.75">
      <c r="A60" s="497"/>
    </row>
    <row r="61" ht="47.25">
      <c r="A61" s="496" t="s">
        <v>37</v>
      </c>
    </row>
    <row r="62" ht="15.75">
      <c r="A62" s="497"/>
    </row>
    <row r="63" ht="15.75">
      <c r="A63" s="497"/>
    </row>
    <row r="64" ht="47.25">
      <c r="A64" s="496" t="s">
        <v>38</v>
      </c>
    </row>
    <row r="65" ht="15.75">
      <c r="A65" s="497"/>
    </row>
    <row r="66" ht="15.75">
      <c r="A66" s="497"/>
    </row>
    <row r="67" ht="78.75">
      <c r="A67" s="496" t="s">
        <v>39</v>
      </c>
    </row>
    <row r="68" ht="15">
      <c r="A68" s="501"/>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2012-08-09T16:59:27Z</cp:lastPrinted>
  <dcterms:created xsi:type="dcterms:W3CDTF">1999-08-03T13:11:47Z</dcterms:created>
  <dcterms:modified xsi:type="dcterms:W3CDTF">2014-01-21T20:20:07Z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