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6915" tabRatio="909" firstSheet="3" activeTab="3"/>
  </bookViews>
  <sheets>
    <sheet name="inputPrYr" sheetId="1" r:id="rId1"/>
    <sheet name="inputOth" sheetId="2" r:id="rId2"/>
    <sheet name="inputBudSum" sheetId="3" r:id="rId3"/>
    <sheet name="cert" sheetId="4" r:id="rId4"/>
    <sheet name="Signed Cert" sheetId="5" r:id="rId5"/>
    <sheet name="computation" sheetId="6" r:id="rId6"/>
    <sheet name="mvalloc" sheetId="7" r:id="rId7"/>
    <sheet name="transfers" sheetId="8" r:id="rId8"/>
    <sheet name="debt" sheetId="9" r:id="rId9"/>
    <sheet name="lpform" sheetId="10" r:id="rId10"/>
    <sheet name="general" sheetId="11" r:id="rId11"/>
    <sheet name="GenDetail" sheetId="12" r:id="rId12"/>
    <sheet name="Bond &amp; Interest" sheetId="13" r:id="rId13"/>
    <sheet name="Sp Hiway &amp; Water" sheetId="14" r:id="rId14"/>
    <sheet name="Electric &amp; Sewer" sheetId="15" r:id="rId15"/>
    <sheet name="Trash &amp; Eq Res" sheetId="16" r:id="rId16"/>
    <sheet name="NonBudA" sheetId="17" r:id="rId17"/>
    <sheet name="summ" sheetId="18" r:id="rId18"/>
    <sheet name="Publication" sheetId="19" r:id="rId19"/>
    <sheet name="nhood" sheetId="20" r:id="rId20"/>
  </sheets>
  <definedNames>
    <definedName name="_xlnm.Print_Area" localSheetId="12">'Bond &amp; Interest'!$B$1:$E$83</definedName>
    <definedName name="_xlnm.Print_Area" localSheetId="11">'GenDetail'!$A$1:$D$60</definedName>
    <definedName name="_xlnm.Print_Area" localSheetId="10">'general'!$B$1:$E$125</definedName>
    <definedName name="_xlnm.Print_Area" localSheetId="0">'inputPrYr'!$A$1:$E$118</definedName>
    <definedName name="_xlnm.Print_Area" localSheetId="9">'lpform'!$B$1:$I$38</definedName>
    <definedName name="_xlnm.Print_Area" localSheetId="17">'summ'!$A$2:$H$43</definedName>
  </definedNames>
  <calcPr fullCalcOnLoad="1"/>
</workbook>
</file>

<file path=xl/sharedStrings.xml><?xml version="1.0" encoding="utf-8"?>
<sst xmlns="http://schemas.openxmlformats.org/spreadsheetml/2006/main" count="732" uniqueCount="402">
  <si>
    <t>hearing and answering objections of taxpayers relating to the proposed use of all funds and the amount of ad valorem tax.</t>
  </si>
  <si>
    <t>the Neighborhood Revitalization Rebate table.</t>
  </si>
  <si>
    <t>*Note:</t>
  </si>
  <si>
    <t>Expenditure</t>
  </si>
  <si>
    <t xml:space="preserve">Fund Transferred </t>
  </si>
  <si>
    <t>Receipt</t>
  </si>
  <si>
    <t>Fund Transferred</t>
  </si>
  <si>
    <r>
      <t>Adjustments</t>
    </r>
    <r>
      <rPr>
        <b/>
        <sz val="12"/>
        <color indexed="10"/>
        <rFont val="Times New Roman"/>
        <family val="1"/>
      </rPr>
      <t>*</t>
    </r>
  </si>
  <si>
    <t>We, the undersigned, officers of</t>
  </si>
  <si>
    <t>Non-Appropriated Balance</t>
  </si>
  <si>
    <t>Total Expenditure/Non-Appr Balance</t>
  </si>
  <si>
    <t>Delinquent Comp Rate:</t>
  </si>
  <si>
    <t>Does miscellaneous exceed 10% of Total Exp</t>
  </si>
  <si>
    <t>Does miscellanous exceed 10% of Total Exp</t>
  </si>
  <si>
    <t xml:space="preserve"> Sub-Total detail page </t>
  </si>
  <si>
    <t>Official Title:</t>
  </si>
  <si>
    <t>for Expenditures</t>
  </si>
  <si>
    <t>Desired Carryover Amount:</t>
  </si>
  <si>
    <t>Estimated Mill Rate Impact:</t>
  </si>
  <si>
    <t>City Clerk, City Treasurer, Mayor</t>
  </si>
  <si>
    <t>City of LaHarpe</t>
  </si>
  <si>
    <t>Allen County</t>
  </si>
  <si>
    <t>Bond &amp; Interest</t>
  </si>
  <si>
    <t>Water Utility</t>
  </si>
  <si>
    <t>Electric Utility</t>
  </si>
  <si>
    <t>Sewer Utility</t>
  </si>
  <si>
    <t>Trash Utility</t>
  </si>
  <si>
    <t>Equipment Reserve</t>
  </si>
  <si>
    <t>Sales Tax</t>
  </si>
  <si>
    <t>Security Deposits</t>
  </si>
  <si>
    <t>Change in Ad Valorem Tax Revenue:</t>
  </si>
  <si>
    <t>What Mill Rate Would Be Desired?</t>
  </si>
  <si>
    <t>2012 Ad Valorem Tax:</t>
  </si>
  <si>
    <t>Franchise Tax</t>
  </si>
  <si>
    <t xml:space="preserve">Totals </t>
  </si>
  <si>
    <t>Does miscellaneous exceed 10% Total Rec</t>
  </si>
  <si>
    <t>Does miscellaneous exceed 10% Total Exp</t>
  </si>
  <si>
    <t xml:space="preserve">Amounts used in lieu of </t>
  </si>
  <si>
    <t>________________________    ___________________________</t>
  </si>
  <si>
    <t xml:space="preserve">Budget Tax Levy </t>
  </si>
  <si>
    <t>Allocation of MVT, RVT, and 16/20M Vehicle Tax</t>
  </si>
  <si>
    <t xml:space="preserve">Prior Year </t>
  </si>
  <si>
    <t>Current Year</t>
  </si>
  <si>
    <t>Proposed Budget</t>
  </si>
  <si>
    <t xml:space="preserve">Current Year </t>
  </si>
  <si>
    <t xml:space="preserve">Proposed Budget </t>
  </si>
  <si>
    <t>Expenditures Must Be Changed by:</t>
  </si>
  <si>
    <t>Delinquency % used in this budget will be shown on all fund pages with a tax levy**</t>
  </si>
  <si>
    <t>Email:</t>
  </si>
  <si>
    <t xml:space="preserve">Type of </t>
  </si>
  <si>
    <t xml:space="preserve"> Debt</t>
  </si>
  <si>
    <t>Mill Rate Comparison</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</si>
  <si>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</si>
  <si>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</si>
  <si>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</si>
  <si>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</si>
  <si>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</si>
  <si>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</si>
  <si>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</si>
  <si>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</si>
  <si>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</si>
  <si>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</si>
  <si>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</si>
  <si>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</si>
  <si>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</si>
  <si>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</si>
  <si>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</si>
  <si>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Fund name for all other funds with a tax levy:</t>
  </si>
  <si>
    <t>Note:  All amounts are to be entered in as whole numbers only.</t>
  </si>
  <si>
    <t xml:space="preserve">The input for the following comes directly from </t>
  </si>
  <si>
    <t>Budget Summary</t>
  </si>
  <si>
    <t>Is an Ordinance required  to be passed, published, and attached to the budget?</t>
  </si>
  <si>
    <t>Enter City Name ( City of )</t>
  </si>
  <si>
    <t>Enter County Name followed by "County"</t>
  </si>
  <si>
    <t>**</t>
  </si>
  <si>
    <t>**Note: These two block figures should agree.</t>
  </si>
  <si>
    <t>Outstanding Indebtedness, January 1:</t>
  </si>
  <si>
    <t>From the League of Municipalities' Budget Tips (Special City and County Highway Fund):</t>
  </si>
  <si>
    <t>Attest: _____________________,</t>
  </si>
  <si>
    <t>County Transfers Gas</t>
  </si>
  <si>
    <t>Funds</t>
  </si>
  <si>
    <t>Budget Authority</t>
  </si>
  <si>
    <t xml:space="preserve">expenditure amounts should reflect the amended </t>
  </si>
  <si>
    <t>expenditure amounts.</t>
  </si>
  <si>
    <t>Miscellaneous</t>
  </si>
  <si>
    <t>Neighborhood Revitalization Rebate</t>
  </si>
  <si>
    <t>Cash Balance Jan 1</t>
  </si>
  <si>
    <t>***If you are merely leasing/renting with no intent to purchase, do not list--such transactions are not lease-purchases.</t>
  </si>
  <si>
    <t>(Note: Should agree with general sub-totals.)</t>
  </si>
  <si>
    <t>General Fund - Detail Expenditures</t>
  </si>
  <si>
    <t xml:space="preserve">Ad Valorem Tax </t>
  </si>
  <si>
    <t>Fund Names:</t>
  </si>
  <si>
    <t>Statute</t>
  </si>
  <si>
    <t>General</t>
  </si>
  <si>
    <t>Total</t>
  </si>
  <si>
    <t>Motor Vehicle Tax Estimate</t>
  </si>
  <si>
    <t>Recreational Vehicle Tax Estimate</t>
  </si>
  <si>
    <t>certify that: (1) the hearing mentioned in the attached publication was held;</t>
  </si>
  <si>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</si>
  <si>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</si>
  <si>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</si>
  <si>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</si>
  <si>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 xml:space="preserve">Allocation of Motor, Recreational, 16/20M Vehicle Tax </t>
  </si>
  <si>
    <t>Valuation Factor:</t>
  </si>
  <si>
    <t>Neighborhood Revitalization Subj to Rebate:</t>
  </si>
  <si>
    <t>Neighborhood Revitalization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</si>
  <si>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</si>
  <si>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</si>
  <si>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</si>
  <si>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</si>
  <si>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</si>
  <si>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</si>
  <si>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</si>
  <si>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</si>
  <si>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</si>
  <si>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LaHarpe City Hall</t>
  </si>
  <si>
    <t>Philip A. Jarred, CPA</t>
  </si>
  <si>
    <t>Jarred, Gilmore &amp; Phillips, PA</t>
  </si>
  <si>
    <t>1815 S Santa Fe, PO Box 779</t>
  </si>
  <si>
    <t>Chanute, KS 66720</t>
  </si>
  <si>
    <t>Sewer  Utility</t>
  </si>
  <si>
    <t xml:space="preserve">Bond and Interest </t>
  </si>
  <si>
    <t>KSA 12-1,117</t>
  </si>
  <si>
    <t>KSA 12-825d</t>
  </si>
  <si>
    <t>None</t>
  </si>
  <si>
    <t>Sewer System Revolving</t>
  </si>
  <si>
    <t xml:space="preserve">   Loan-Series 1998</t>
  </si>
  <si>
    <t>3/1 &amp; 9/1</t>
  </si>
  <si>
    <t>Police Car</t>
  </si>
  <si>
    <t>Licenses and Permits</t>
  </si>
  <si>
    <t>Fines, Forfeitures and Penalties</t>
  </si>
  <si>
    <t>Dog Tags</t>
  </si>
  <si>
    <t>Building Rent</t>
  </si>
  <si>
    <t>State of Kansas - Siren Grant</t>
  </si>
  <si>
    <t>General and Administrative Department</t>
  </si>
  <si>
    <t xml:space="preserve">  Personal Services</t>
  </si>
  <si>
    <t xml:space="preserve">  Contractual Service</t>
  </si>
  <si>
    <t>Fire Department</t>
  </si>
  <si>
    <t>Incentive Program Houses Department</t>
  </si>
  <si>
    <t xml:space="preserve">  Contractual Services</t>
  </si>
  <si>
    <t>Parks and Recreation Department</t>
  </si>
  <si>
    <t>Streets Department</t>
  </si>
  <si>
    <t>Capital Outlay Department</t>
  </si>
  <si>
    <t xml:space="preserve">  Capital Outlay - Other</t>
  </si>
  <si>
    <t>Law Enforcement Department</t>
  </si>
  <si>
    <t>Code Enforcement Department</t>
  </si>
  <si>
    <t>Employee Benefits Department</t>
  </si>
  <si>
    <t>Transfer to Equipment Reserve</t>
  </si>
  <si>
    <t>Gas City Reimbursements</t>
  </si>
  <si>
    <t>State Revolving Loan Payments</t>
  </si>
  <si>
    <t xml:space="preserve">   Principal</t>
  </si>
  <si>
    <t xml:space="preserve">   Interest</t>
  </si>
  <si>
    <t>Reimbursed Expense</t>
  </si>
  <si>
    <t>Highways and Street</t>
  </si>
  <si>
    <t xml:space="preserve">    Water Sales</t>
  </si>
  <si>
    <t xml:space="preserve">    Water Penalties and Reconnecting Fees</t>
  </si>
  <si>
    <t xml:space="preserve">     Bulk Water Sales</t>
  </si>
  <si>
    <t xml:space="preserve">Transmission and Distribution </t>
  </si>
  <si>
    <t xml:space="preserve">  Contractual Services - Water Purchased</t>
  </si>
  <si>
    <t>General Operations</t>
  </si>
  <si>
    <t xml:space="preserve">  Contractual Services </t>
  </si>
  <si>
    <t>Reimbursed Expenses</t>
  </si>
  <si>
    <t xml:space="preserve">     Residential Sales</t>
  </si>
  <si>
    <t xml:space="preserve">     Other Sales</t>
  </si>
  <si>
    <t xml:space="preserve">     Connect Fee</t>
  </si>
  <si>
    <t>Transmission and Distribution</t>
  </si>
  <si>
    <t xml:space="preserve">Operations and Maintenance </t>
  </si>
  <si>
    <t xml:space="preserve">     Penalties</t>
  </si>
  <si>
    <t xml:space="preserve">     Reimbursed Expenses</t>
  </si>
  <si>
    <t>Plant Operations - Commodities</t>
  </si>
  <si>
    <t>Operations and Maintenance - Personal Services</t>
  </si>
  <si>
    <t xml:space="preserve">    Residential Sales</t>
  </si>
  <si>
    <t>Operating Expenditures</t>
  </si>
  <si>
    <t xml:space="preserve">     Commodities</t>
  </si>
  <si>
    <t xml:space="preserve">     Contractual Services</t>
  </si>
  <si>
    <t xml:space="preserve">     Capital Outlay</t>
  </si>
  <si>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</si>
  <si>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</si>
  <si>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</si>
  <si>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</si>
  <si>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</si>
  <si>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</si>
  <si>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</si>
  <si>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</si>
  <si>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</si>
  <si>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</si>
  <si>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</si>
  <si>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</si>
  <si>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</si>
  <si>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</si>
  <si>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</si>
  <si>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</si>
  <si>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</si>
  <si>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</si>
  <si>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</si>
  <si>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</si>
  <si>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</si>
  <si>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</si>
  <si>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</si>
  <si>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</si>
  <si>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</si>
  <si>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</si>
  <si>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</si>
  <si>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</si>
  <si>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</si>
  <si>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In Lieu of Taxes (IRB)</t>
  </si>
  <si>
    <t>Interest on Idle Funds</t>
  </si>
  <si>
    <t>Total Receipts</t>
  </si>
  <si>
    <t>Resources Available:</t>
  </si>
  <si>
    <t xml:space="preserve">Page No. </t>
  </si>
  <si>
    <t>Expenditures:</t>
  </si>
  <si>
    <t xml:space="preserve">  Commodities</t>
  </si>
  <si>
    <t xml:space="preserve">  Capital Outlay</t>
  </si>
  <si>
    <t>Total Expenditures</t>
  </si>
  <si>
    <t>Tax Required</t>
  </si>
  <si>
    <t>%</t>
  </si>
  <si>
    <t>Page No.</t>
  </si>
  <si>
    <t>Page Total</t>
  </si>
  <si>
    <t xml:space="preserve">The governing body of </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</si>
  <si>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</si>
  <si>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</si>
  <si>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</si>
  <si>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</si>
  <si>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</si>
  <si>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</si>
  <si>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</si>
  <si>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</si>
  <si>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</si>
  <si>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</si>
  <si>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</si>
  <si>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</si>
  <si>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</si>
  <si>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</si>
  <si>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</si>
  <si>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</si>
  <si>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</si>
  <si>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</si>
  <si>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</si>
  <si>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</si>
  <si>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</si>
  <si>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</si>
  <si>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</si>
  <si>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</si>
  <si>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</si>
  <si>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</si>
  <si>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</si>
  <si>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</si>
  <si>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</si>
  <si>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</si>
  <si>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</si>
  <si>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</si>
  <si>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</si>
  <si>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</si>
  <si>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</si>
  <si>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</si>
  <si>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</si>
  <si>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</si>
  <si>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</si>
  <si>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</si>
  <si>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</si>
  <si>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</si>
  <si>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</si>
  <si>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</si>
  <si>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</si>
  <si>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</si>
  <si>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</si>
  <si>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</si>
  <si>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</si>
  <si>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</si>
  <si>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</si>
  <si>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</si>
  <si>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</si>
  <si>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</si>
  <si>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</si>
  <si>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</si>
  <si>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</si>
  <si>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</si>
  <si>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</si>
  <si>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</si>
  <si>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</si>
  <si>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</si>
  <si>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</si>
  <si>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</si>
  <si>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</si>
  <si>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</si>
  <si>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</si>
  <si>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</si>
  <si>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</si>
  <si>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</si>
  <si>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</si>
  <si>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</si>
  <si>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</si>
  <si>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</si>
  <si>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</si>
  <si>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</si>
  <si>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</si>
  <si>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</si>
  <si>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</si>
  <si>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</si>
  <si>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</si>
  <si>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</si>
  <si>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</si>
  <si>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</si>
  <si>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</si>
  <si>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</si>
  <si>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</si>
  <si>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</si>
  <si>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</si>
  <si>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</si>
  <si>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</si>
  <si>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</si>
  <si>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</si>
  <si>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</si>
  <si>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</si>
  <si>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</si>
  <si>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</si>
  <si>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</si>
  <si>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</si>
  <si>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</si>
  <si>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</si>
  <si>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</si>
  <si>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12-101a</t>
  </si>
  <si>
    <t>Schedule of Transfers</t>
  </si>
  <si>
    <t>(Beginning Principal)</t>
  </si>
  <si>
    <t>Estimated Tax Rate is subject to change depending on the final assessed valuation.</t>
  </si>
  <si>
    <t>Lease Purchase Principal</t>
  </si>
  <si>
    <t>County Clerk's Use Only</t>
  </si>
  <si>
    <t>City Clerk</t>
  </si>
  <si>
    <t>Current</t>
  </si>
  <si>
    <t>Proposed</t>
  </si>
  <si>
    <t>Address:</t>
  </si>
  <si>
    <t>Territory Added: (Current Year Only)</t>
  </si>
  <si>
    <t>Neighborhood Revitalization</t>
  </si>
  <si>
    <t>16\20 M Vehicle Tax</t>
  </si>
  <si>
    <t>LAVTR</t>
  </si>
  <si>
    <t>City and County Revenue Sharing</t>
  </si>
  <si>
    <t xml:space="preserve">   </t>
  </si>
  <si>
    <t>Enter year being budgeted (YYYY)</t>
  </si>
  <si>
    <t>10-113</t>
  </si>
  <si>
    <t>Other (non-tax levy) fund names:</t>
  </si>
  <si>
    <t xml:space="preserve">  G.O. Bonds</t>
  </si>
  <si>
    <t xml:space="preserve">  Revenue Bonds</t>
  </si>
  <si>
    <t xml:space="preserve">  Other</t>
  </si>
  <si>
    <t xml:space="preserve">  Lease Purchase Principal</t>
  </si>
  <si>
    <t>Cash Balance Dec 31</t>
  </si>
  <si>
    <t xml:space="preserve">Unencumbered </t>
  </si>
  <si>
    <t>Amount of</t>
  </si>
  <si>
    <t>Valorem Tax</t>
  </si>
  <si>
    <t>NON-BUDGETED FUNDS (A)</t>
  </si>
  <si>
    <t>Non-Budgeted (B)</t>
  </si>
  <si>
    <t>(1) Fund Name:</t>
  </si>
  <si>
    <t>(2) Fund Name:</t>
  </si>
  <si>
    <t>(3) Fund Name:</t>
  </si>
  <si>
    <t>(4) Fund Name:</t>
  </si>
  <si>
    <t>(5) Fund Name:</t>
  </si>
  <si>
    <t>Beginning Amount</t>
  </si>
  <si>
    <t xml:space="preserve">of </t>
  </si>
  <si>
    <t>Outstanding</t>
  </si>
  <si>
    <t>Retirement</t>
  </si>
  <si>
    <t xml:space="preserve">Total Other </t>
  </si>
  <si>
    <t>Transfers</t>
  </si>
  <si>
    <t>Amount for</t>
  </si>
  <si>
    <t>Authorized by</t>
  </si>
  <si>
    <t>From:</t>
  </si>
  <si>
    <t>To:</t>
  </si>
  <si>
    <t xml:space="preserve"> Statute</t>
  </si>
  <si>
    <t>Adjusted Totals</t>
  </si>
  <si>
    <t>Budgeted Funds</t>
  </si>
  <si>
    <t xml:space="preserve">adopt an ordinance to exceed this limit, publish the ordinance, and </t>
  </si>
  <si>
    <t>attach a copy of the published ordinance to this budget.</t>
  </si>
  <si>
    <t>Input sheet for City1.XLS budget form</t>
  </si>
  <si>
    <t>City Official Title:</t>
  </si>
  <si>
    <t>Estimate</t>
  </si>
  <si>
    <t>Non-Budgeted Funds-A</t>
  </si>
  <si>
    <r>
      <t>**</t>
    </r>
    <r>
      <rPr>
        <b/>
        <u val="single"/>
        <sz val="12"/>
        <rFont val="Times New Roman"/>
        <family val="1"/>
      </rPr>
      <t>Note</t>
    </r>
    <r>
      <rPr>
        <sz val="12"/>
        <rFont val="Times New Roman"/>
        <family val="1"/>
      </rPr>
      <t>: The delinquency rate can be up to 5% more than the actual delinquency rate from the previous year.</t>
    </r>
  </si>
  <si>
    <t>Single Non Tax Levy:</t>
  </si>
  <si>
    <t>Non-Budgeted (A):</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</si>
  <si>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</si>
  <si>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</si>
  <si>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Operating Transfers to:</t>
  </si>
  <si>
    <t xml:space="preserve">  Equipment Reserve Fund</t>
  </si>
  <si>
    <t xml:space="preserve">  Bond and Interest Fund</t>
  </si>
  <si>
    <t>Operating Transfers from:</t>
  </si>
  <si>
    <t xml:space="preserve">    Sewer Utility Fund</t>
  </si>
  <si>
    <t xml:space="preserve">  General Fund</t>
  </si>
  <si>
    <t>Sales  Tax Received</t>
  </si>
  <si>
    <t>Sales Tax Paid</t>
  </si>
  <si>
    <t>Sec Deposits Received</t>
  </si>
  <si>
    <t>Sec Deposits Refunded</t>
  </si>
  <si>
    <t>pjarred@jgppa.com</t>
  </si>
  <si>
    <t xml:space="preserve">  Capital Outlay-Police Car Lease Purch</t>
  </si>
  <si>
    <t xml:space="preserve">  Capital Outlay - Bucket Truck</t>
  </si>
  <si>
    <t xml:space="preserve">  Capital Outlay - Siren</t>
  </si>
  <si>
    <t>Miscellaneous Department</t>
  </si>
  <si>
    <t>Accounting and Auditing Department</t>
  </si>
  <si>
    <t xml:space="preserve">  Capital Outlay - Water Tower</t>
  </si>
  <si>
    <t>August 15, 2012</t>
  </si>
  <si>
    <t>5:30 PM</t>
  </si>
  <si>
    <t>Capital Outlay - Dump Truck</t>
  </si>
  <si>
    <t xml:space="preserve">  Electric Utility</t>
  </si>
  <si>
    <t>Capital Outlay - Water Tower</t>
  </si>
  <si>
    <t>Capital Outlay - Other</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</si>
</sst>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0.000%"/>
    <numFmt numFmtId="182" formatCode="#,##0.000"/>
    <numFmt numFmtId="183" formatCode="&quot;Yes&quot;;&quot;Yes&quot;;&quot;No&quot;"/>
    <numFmt numFmtId="184" formatCode="&quot;True&quot;;&quot;True&quot;;&quot;False&quot;"/>
    <numFmt numFmtId="185" formatCode="&quot;On&quot;;&quot;On&quot;;&quot;Off&quot;"/>
    <numFmt numFmtId="186" formatCode="[$€-2]\ #,##0.00_);[Red]\([$€-2]\ #,##0.00\)"/>
    <numFmt numFmtId="187" formatCode="[$-409]mmmm\ d\,\ yyyy;@"/>
    <numFmt numFmtId="188" formatCode="[$-409]h:mm\ AM/PM;@"/>
    <numFmt numFmtId="189" formatCode="[$-409]dddd\,\ mmmm\ dd\,\ yyyy"/>
    <numFmt numFmtId="190" formatCode="\1\1\-\1\2\2\2"/>
    <numFmt numFmtId="191" formatCode="m/d/yy;@"/>
    <numFmt numFmtId="192" formatCode="0.0000000000"/>
    <numFmt numFmtId="193" formatCode="0_);\(0\)"/>
    <numFmt numFmtId="194" formatCode="&quot;$&quot;#,##0"/>
    <numFmt numFmtId="195" formatCode="&quot;$&quot;#,##0.00"/>
    <numFmt numFmtId="196" formatCode="#,###"/>
    <numFmt numFmtId="197" formatCode="0.0%"/>
    <numFmt numFmtId="198" formatCode="#,##0.000_);[Red]\(#,##0.000\)"/>
  </numFmts>
  <fonts count="71">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u val="single"/>
      <sz val="12"/>
      <color indexed="12"/>
      <name val="Courier"/>
      <family val="3"/>
    </font>
    <font>
      <u val="single"/>
      <sz val="12"/>
      <color indexed="36"/>
      <name val="Courier"/>
      <family val="3"/>
    </font>
    <font>
      <sz val="8"/>
      <name val="Courier"/>
      <family val="3"/>
    </font>
    <font>
      <b/>
      <u val="single"/>
      <sz val="12"/>
      <name val="Times New Roman"/>
      <family val="1"/>
    </font>
    <font>
      <sz val="8"/>
      <name val="Times New Roman"/>
      <family val="1"/>
    </font>
    <font>
      <b/>
      <u val="single"/>
      <sz val="12"/>
      <color indexed="10"/>
      <name val="Times New Roman"/>
      <family val="1"/>
    </font>
    <font>
      <b/>
      <u val="single"/>
      <sz val="12"/>
      <name val="Courier"/>
      <family val="3"/>
    </font>
    <font>
      <sz val="12"/>
      <color indexed="10"/>
      <name val="Times New Roman"/>
      <family val="1"/>
    </font>
    <font>
      <b/>
      <sz val="8"/>
      <name val="Times New Roman"/>
      <family val="1"/>
    </font>
    <font>
      <sz val="12"/>
      <color indexed="10"/>
      <name val="Courier"/>
      <family val="3"/>
    </font>
    <font>
      <i/>
      <sz val="12"/>
      <name val="Times New Roman"/>
      <family val="1"/>
    </font>
    <font>
      <b/>
      <sz val="12"/>
      <color indexed="10"/>
      <name val="Times New Roman"/>
      <family val="1"/>
    </font>
    <font>
      <b/>
      <u val="single"/>
      <sz val="8"/>
      <color indexed="10"/>
      <name val="Times New Roman"/>
      <family val="1"/>
    </font>
    <font>
      <sz val="12"/>
      <name val="Courier New"/>
      <family val="3"/>
    </font>
    <font>
      <u val="single"/>
      <sz val="12"/>
      <color indexed="12"/>
      <name val="Courier New"/>
      <family val="3"/>
    </font>
    <font>
      <sz val="10"/>
      <name val="Times New Roman"/>
      <family val="1"/>
    </font>
    <font>
      <b/>
      <u val="single"/>
      <sz val="10"/>
      <name val="Times New Roman"/>
      <family val="1"/>
    </font>
    <font>
      <b/>
      <sz val="10"/>
      <name val="Times New Roman"/>
      <family val="1"/>
    </font>
    <font>
      <sz val="8"/>
      <color indexed="10"/>
      <name val="Times New Roman"/>
      <family val="1"/>
    </font>
    <font>
      <b/>
      <u val="single"/>
      <sz val="8"/>
      <name val="Times New Roman"/>
      <family val="1"/>
    </font>
    <font>
      <sz val="10"/>
      <name val="Courier"/>
      <family val="3"/>
    </font>
    <font>
      <sz val="10"/>
      <color indexed="10"/>
      <name val="Times New Roman"/>
      <family val="1"/>
    </font>
    <font>
      <u val="single"/>
      <sz val="12"/>
      <color indexed="10"/>
      <name val="Times New Roman"/>
      <family val="1"/>
    </font>
    <font>
      <sz val="9"/>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6"/>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
      <patternFill patternType="solid">
        <fgColor indexed="13"/>
        <bgColor indexed="64"/>
      </patternFill>
    </fill>
    <fill>
      <patternFill patternType="solid">
        <fgColor indexed="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double"/>
    </border>
    <border>
      <left>
        <color indexed="63"/>
      </left>
      <right style="thin"/>
      <top style="thin"/>
      <bottom>
        <color indexed="63"/>
      </bottom>
    </border>
    <border>
      <left style="thin"/>
      <right>
        <color indexed="63"/>
      </right>
      <top style="thin"/>
      <bottom>
        <color indexed="63"/>
      </bottom>
    </border>
    <border>
      <left style="thin"/>
      <right style="thin"/>
      <top style="thin"/>
      <bottom style="double"/>
    </border>
    <border>
      <left>
        <color indexed="63"/>
      </left>
      <right style="thin"/>
      <top>
        <color indexed="63"/>
      </top>
      <bottom>
        <color indexed="63"/>
      </bottom>
    </border>
    <border>
      <left style="thin"/>
      <right style="thin"/>
      <top style="medium"/>
      <bottom>
        <color indexed="63"/>
      </bottom>
    </border>
    <border>
      <left style="thin"/>
      <right style="thin"/>
      <top style="medium"/>
      <bottom style="double"/>
    </border>
  </borders>
  <cellStyleXfs count="3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11"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1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0"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591">
    <xf numFmtId="0" fontId="0" fillId="0" borderId="0" xfId="0" applyAlignment="1">
      <alignment/>
    </xf>
    <xf numFmtId="0" fontId="5" fillId="0" borderId="0" xfId="0" applyFont="1" applyAlignment="1">
      <alignment vertical="center"/>
    </xf>
    <xf numFmtId="0" fontId="5" fillId="33" borderId="0" xfId="0" applyFont="1" applyFill="1" applyAlignment="1">
      <alignment vertical="center"/>
    </xf>
    <xf numFmtId="37" fontId="13"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0" fontId="5" fillId="35" borderId="10" xfId="0" applyFont="1" applyFill="1" applyBorder="1" applyAlignment="1" applyProtection="1">
      <alignment vertical="center"/>
      <protection/>
    </xf>
    <xf numFmtId="0" fontId="5" fillId="35" borderId="11" xfId="0"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5" fillId="34" borderId="0" xfId="0" applyNumberFormat="1" applyFont="1" applyFill="1" applyAlignment="1" applyProtection="1">
      <alignment horizontal="left" vertical="center"/>
      <protection locked="0"/>
    </xf>
    <xf numFmtId="0" fontId="4" fillId="35" borderId="12"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37" fontId="5" fillId="34" borderId="0" xfId="0" applyNumberFormat="1" applyFont="1" applyFill="1" applyAlignment="1" applyProtection="1">
      <alignment horizontal="centerContinuous" vertical="center"/>
      <protection/>
    </xf>
    <xf numFmtId="37" fontId="15" fillId="34" borderId="0" xfId="0" applyNumberFormat="1" applyFont="1" applyFill="1" applyAlignment="1" applyProtection="1">
      <alignment horizontal="center" vertical="center"/>
      <protection/>
    </xf>
    <xf numFmtId="0" fontId="4" fillId="36" borderId="0" xfId="0" applyFont="1" applyFill="1" applyAlignment="1" applyProtection="1">
      <alignment vertical="center"/>
      <protection/>
    </xf>
    <xf numFmtId="0" fontId="5" fillId="36" borderId="0" xfId="0" applyFont="1" applyFill="1" applyAlignment="1" applyProtection="1">
      <alignment vertical="center"/>
      <protection/>
    </xf>
    <xf numFmtId="37" fontId="4" fillId="37" borderId="0" xfId="0" applyNumberFormat="1" applyFont="1" applyFill="1" applyAlignment="1" applyProtection="1">
      <alignment horizontal="left" vertical="center"/>
      <protection/>
    </xf>
    <xf numFmtId="0" fontId="5" fillId="37" borderId="0" xfId="0" applyFont="1" applyFill="1" applyAlignment="1" applyProtection="1">
      <alignment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vertical="center"/>
      <protection/>
    </xf>
    <xf numFmtId="0" fontId="6" fillId="36" borderId="13" xfId="0" applyFont="1" applyFill="1" applyBorder="1" applyAlignment="1" applyProtection="1">
      <alignment horizontal="center" vertical="center"/>
      <protection locked="0"/>
    </xf>
    <xf numFmtId="0" fontId="6" fillId="38" borderId="13" xfId="0" applyFont="1" applyFill="1" applyBorder="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6" borderId="14" xfId="0" applyFont="1" applyFill="1" applyBorder="1" applyAlignment="1" applyProtection="1">
      <alignment horizontal="center" vertical="center"/>
      <protection locked="0"/>
    </xf>
    <xf numFmtId="37" fontId="5" fillId="38" borderId="14" xfId="0" applyNumberFormat="1" applyFont="1" applyFill="1" applyBorder="1" applyAlignment="1" applyProtection="1">
      <alignment horizontal="center" vertical="center" wrapText="1"/>
      <protection/>
    </xf>
    <xf numFmtId="37" fontId="5" fillId="34" borderId="12" xfId="0" applyNumberFormat="1" applyFont="1" applyFill="1" applyBorder="1" applyAlignment="1" applyProtection="1">
      <alignment horizontal="left" vertical="center"/>
      <protection/>
    </xf>
    <xf numFmtId="0" fontId="5" fillId="34" borderId="12" xfId="0" applyFont="1" applyFill="1" applyBorder="1" applyAlignment="1" applyProtection="1">
      <alignment vertical="center"/>
      <protection/>
    </xf>
    <xf numFmtId="3" fontId="5" fillId="35" borderId="12" xfId="0" applyNumberFormat="1" applyFont="1" applyFill="1" applyBorder="1" applyAlignment="1" applyProtection="1">
      <alignment vertical="center"/>
      <protection locked="0"/>
    </xf>
    <xf numFmtId="3" fontId="5" fillId="35" borderId="12" xfId="0" applyNumberFormat="1" applyFont="1" applyFill="1" applyBorder="1" applyAlignment="1" applyProtection="1">
      <alignment vertical="center"/>
      <protection locked="0"/>
    </xf>
    <xf numFmtId="3" fontId="5" fillId="34" borderId="0" xfId="0" applyNumberFormat="1" applyFont="1" applyFill="1" applyAlignment="1" applyProtection="1">
      <alignment vertical="center"/>
      <protection/>
    </xf>
    <xf numFmtId="178" fontId="5" fillId="34" borderId="0" xfId="0" applyNumberFormat="1" applyFont="1" applyFill="1" applyBorder="1" applyAlignment="1" applyProtection="1">
      <alignment vertical="center"/>
      <protection/>
    </xf>
    <xf numFmtId="0" fontId="5" fillId="35" borderId="12" xfId="0" applyFont="1" applyFill="1" applyBorder="1" applyAlignment="1" applyProtection="1">
      <alignment vertical="center"/>
      <protection locked="0"/>
    </xf>
    <xf numFmtId="37" fontId="5" fillId="34" borderId="10" xfId="0" applyNumberFormat="1" applyFont="1" applyFill="1" applyBorder="1" applyAlignment="1" applyProtection="1">
      <alignment horizontal="left" vertical="center"/>
      <protection/>
    </xf>
    <xf numFmtId="0" fontId="5" fillId="34" borderId="10" xfId="0" applyFont="1" applyFill="1" applyBorder="1" applyAlignment="1" applyProtection="1">
      <alignment vertical="center"/>
      <protection/>
    </xf>
    <xf numFmtId="3" fontId="5" fillId="34" borderId="11" xfId="0" applyNumberFormat="1" applyFont="1" applyFill="1" applyBorder="1" applyAlignment="1" applyProtection="1">
      <alignment vertical="center"/>
      <protection/>
    </xf>
    <xf numFmtId="3" fontId="5" fillId="39" borderId="12" xfId="0" applyNumberFormat="1" applyFont="1" applyFill="1" applyBorder="1" applyAlignment="1" applyProtection="1">
      <alignment vertical="center"/>
      <protection/>
    </xf>
    <xf numFmtId="3" fontId="5" fillId="34" borderId="0" xfId="0" applyNumberFormat="1" applyFont="1" applyFill="1" applyBorder="1" applyAlignment="1" applyProtection="1">
      <alignment vertical="center"/>
      <protection/>
    </xf>
    <xf numFmtId="164" fontId="5" fillId="34" borderId="12" xfId="0" applyNumberFormat="1" applyFont="1" applyFill="1" applyBorder="1" applyAlignment="1" applyProtection="1">
      <alignment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horizontal="left" vertical="center"/>
      <protection/>
    </xf>
    <xf numFmtId="0" fontId="5" fillId="34" borderId="15" xfId="0" applyFont="1" applyFill="1" applyBorder="1" applyAlignment="1" applyProtection="1">
      <alignment vertical="center"/>
      <protection/>
    </xf>
    <xf numFmtId="3" fontId="5"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right" vertical="center"/>
      <protection/>
    </xf>
    <xf numFmtId="37" fontId="5" fillId="36" borderId="0" xfId="0" applyNumberFormat="1" applyFont="1" applyFill="1" applyAlignment="1" applyProtection="1">
      <alignment horizontal="center" vertical="center"/>
      <protection/>
    </xf>
    <xf numFmtId="37" fontId="4" fillId="36" borderId="0" xfId="0" applyNumberFormat="1" applyFont="1" applyFill="1" applyAlignment="1" applyProtection="1">
      <alignment horizontal="left" vertical="center"/>
      <protection/>
    </xf>
    <xf numFmtId="0" fontId="5" fillId="36" borderId="10" xfId="0" applyFont="1" applyFill="1" applyBorder="1" applyAlignment="1">
      <alignment horizontal="center" vertical="center"/>
    </xf>
    <xf numFmtId="37" fontId="5" fillId="34" borderId="12" xfId="0" applyNumberFormat="1" applyFont="1" applyFill="1" applyBorder="1" applyAlignment="1" applyProtection="1">
      <alignment vertical="center"/>
      <protection/>
    </xf>
    <xf numFmtId="0" fontId="5" fillId="34" borderId="14" xfId="0" applyFont="1" applyFill="1" applyBorder="1" applyAlignment="1" applyProtection="1">
      <alignment vertical="center"/>
      <protection/>
    </xf>
    <xf numFmtId="178" fontId="5" fillId="35" borderId="12" xfId="0" applyNumberFormat="1" applyFont="1" applyFill="1" applyBorder="1" applyAlignment="1" applyProtection="1">
      <alignment vertical="center"/>
      <protection locked="0"/>
    </xf>
    <xf numFmtId="178" fontId="5" fillId="39" borderId="12" xfId="0" applyNumberFormat="1" applyFont="1" applyFill="1" applyBorder="1" applyAlignment="1" applyProtection="1">
      <alignment vertical="center"/>
      <protection/>
    </xf>
    <xf numFmtId="37" fontId="5" fillId="36" borderId="10" xfId="0" applyNumberFormat="1" applyFont="1" applyFill="1" applyBorder="1" applyAlignment="1" applyProtection="1">
      <alignment horizontal="left" vertical="center"/>
      <protection/>
    </xf>
    <xf numFmtId="0" fontId="5" fillId="36" borderId="10" xfId="0" applyFont="1" applyFill="1" applyBorder="1" applyAlignment="1" applyProtection="1">
      <alignment vertical="center"/>
      <protection/>
    </xf>
    <xf numFmtId="0" fontId="5" fillId="34" borderId="16" xfId="0" applyFont="1" applyFill="1" applyBorder="1" applyAlignment="1" applyProtection="1">
      <alignment vertical="center"/>
      <protection/>
    </xf>
    <xf numFmtId="0" fontId="5" fillId="36" borderId="11" xfId="0" applyFont="1" applyFill="1" applyBorder="1" applyAlignment="1" applyProtection="1">
      <alignment vertical="center"/>
      <protection/>
    </xf>
    <xf numFmtId="0" fontId="5" fillId="34" borderId="11" xfId="0" applyFont="1" applyFill="1" applyBorder="1" applyAlignment="1" applyProtection="1">
      <alignment vertical="center"/>
      <protection/>
    </xf>
    <xf numFmtId="0" fontId="5" fillId="34" borderId="17" xfId="0" applyFont="1" applyFill="1" applyBorder="1" applyAlignment="1" applyProtection="1">
      <alignment vertical="center"/>
      <protection/>
    </xf>
    <xf numFmtId="0" fontId="5" fillId="34" borderId="0" xfId="0" applyFont="1" applyFill="1" applyAlignment="1" applyProtection="1">
      <alignment vertical="center"/>
      <protection locked="0"/>
    </xf>
    <xf numFmtId="0" fontId="5" fillId="34" borderId="10" xfId="0"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locked="0"/>
    </xf>
    <xf numFmtId="0" fontId="5" fillId="34" borderId="16" xfId="0" applyFont="1" applyFill="1" applyBorder="1" applyAlignment="1" applyProtection="1">
      <alignment vertical="center"/>
      <protection locked="0"/>
    </xf>
    <xf numFmtId="0" fontId="5" fillId="34" borderId="17" xfId="0" applyFont="1" applyFill="1" applyBorder="1" applyAlignment="1" applyProtection="1">
      <alignment vertical="center"/>
      <protection locked="0"/>
    </xf>
    <xf numFmtId="0" fontId="0" fillId="0" borderId="0" xfId="0" applyAlignment="1">
      <alignment vertical="center"/>
    </xf>
    <xf numFmtId="37" fontId="5" fillId="34" borderId="0" xfId="0" applyNumberFormat="1" applyFont="1" applyFill="1" applyAlignment="1">
      <alignment vertical="center"/>
    </xf>
    <xf numFmtId="0" fontId="0" fillId="34" borderId="0" xfId="0" applyFill="1" applyAlignment="1">
      <alignment vertical="center"/>
    </xf>
    <xf numFmtId="0" fontId="5" fillId="34" borderId="0" xfId="0" applyFont="1" applyFill="1" applyAlignment="1">
      <alignment vertical="center"/>
    </xf>
    <xf numFmtId="37" fontId="5" fillId="34" borderId="11" xfId="0" applyNumberFormat="1" applyFont="1" applyFill="1" applyBorder="1" applyAlignment="1" applyProtection="1">
      <alignment horizontal="left" vertical="center"/>
      <protection/>
    </xf>
    <xf numFmtId="37" fontId="5" fillId="35" borderId="12"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0" fillId="34" borderId="0" xfId="0" applyFill="1" applyAlignment="1" applyProtection="1">
      <alignment vertical="center"/>
      <protection/>
    </xf>
    <xf numFmtId="0" fontId="13" fillId="34" borderId="0" xfId="0" applyFont="1" applyFill="1" applyBorder="1" applyAlignment="1" applyProtection="1">
      <alignment horizontal="center" vertical="center"/>
      <protection/>
    </xf>
    <xf numFmtId="178" fontId="5" fillId="35" borderId="10" xfId="0" applyNumberFormat="1" applyFont="1" applyFill="1" applyBorder="1" applyAlignment="1" applyProtection="1">
      <alignment vertical="center"/>
      <protection locked="0"/>
    </xf>
    <xf numFmtId="178" fontId="5" fillId="35" borderId="11" xfId="0" applyNumberFormat="1" applyFont="1" applyFill="1" applyBorder="1" applyAlignment="1" applyProtection="1">
      <alignment vertical="center"/>
      <protection locked="0"/>
    </xf>
    <xf numFmtId="0" fontId="5" fillId="34" borderId="18" xfId="0" applyFont="1" applyFill="1" applyBorder="1" applyAlignment="1" applyProtection="1">
      <alignment vertical="center"/>
      <protection/>
    </xf>
    <xf numFmtId="178" fontId="5" fillId="35" borderId="18" xfId="0" applyNumberFormat="1" applyFont="1" applyFill="1" applyBorder="1" applyAlignment="1" applyProtection="1">
      <alignment vertical="center"/>
      <protection locked="0"/>
    </xf>
    <xf numFmtId="0" fontId="0" fillId="34" borderId="16" xfId="0" applyFill="1" applyBorder="1" applyAlignment="1" applyProtection="1">
      <alignment vertical="center"/>
      <protection/>
    </xf>
    <xf numFmtId="0" fontId="0" fillId="34" borderId="10" xfId="0" applyFill="1" applyBorder="1" applyAlignment="1" applyProtection="1">
      <alignment vertical="center"/>
      <protection/>
    </xf>
    <xf numFmtId="3" fontId="5" fillId="36" borderId="0" xfId="0" applyNumberFormat="1" applyFont="1" applyFill="1" applyAlignment="1" applyProtection="1">
      <alignment vertical="center"/>
      <protection/>
    </xf>
    <xf numFmtId="3" fontId="5" fillId="34" borderId="16" xfId="0" applyNumberFormat="1" applyFont="1" applyFill="1" applyBorder="1" applyAlignment="1" applyProtection="1">
      <alignment vertical="center"/>
      <protection/>
    </xf>
    <xf numFmtId="3" fontId="5" fillId="34" borderId="17" xfId="0" applyNumberFormat="1" applyFont="1" applyFill="1" applyBorder="1" applyAlignment="1" applyProtection="1">
      <alignment vertical="center"/>
      <protection/>
    </xf>
    <xf numFmtId="37" fontId="5" fillId="33" borderId="0" xfId="0" applyNumberFormat="1" applyFont="1" applyFill="1" applyBorder="1" applyAlignment="1" applyProtection="1">
      <alignment horizontal="left" vertical="center"/>
      <protection/>
    </xf>
    <xf numFmtId="0" fontId="5" fillId="33" borderId="0" xfId="0" applyFont="1" applyFill="1" applyBorder="1" applyAlignment="1" applyProtection="1">
      <alignment vertical="center"/>
      <protection/>
    </xf>
    <xf numFmtId="181" fontId="5" fillId="33" borderId="0" xfId="0" applyNumberFormat="1" applyFont="1" applyFill="1" applyBorder="1" applyAlignment="1" applyProtection="1">
      <alignment vertical="center"/>
      <protection locked="0"/>
    </xf>
    <xf numFmtId="0" fontId="4" fillId="36" borderId="0" xfId="0" applyFont="1" applyFill="1" applyAlignment="1">
      <alignment vertical="center"/>
    </xf>
    <xf numFmtId="0" fontId="1" fillId="36" borderId="0" xfId="0" applyFont="1" applyFill="1" applyAlignment="1">
      <alignment vertical="center"/>
    </xf>
    <xf numFmtId="0" fontId="0" fillId="36" borderId="0" xfId="0" applyFill="1" applyAlignment="1" applyProtection="1">
      <alignment vertical="center"/>
      <protection locked="0"/>
    </xf>
    <xf numFmtId="0" fontId="5" fillId="34" borderId="10" xfId="0" applyFont="1" applyFill="1" applyBorder="1" applyAlignment="1">
      <alignment vertical="center"/>
    </xf>
    <xf numFmtId="0" fontId="0" fillId="34" borderId="10" xfId="0" applyFill="1" applyBorder="1" applyAlignment="1">
      <alignment vertical="center"/>
    </xf>
    <xf numFmtId="0" fontId="0" fillId="34" borderId="16" xfId="0" applyFill="1" applyBorder="1" applyAlignment="1">
      <alignment vertical="center"/>
    </xf>
    <xf numFmtId="0" fontId="5" fillId="34" borderId="11" xfId="0" applyFont="1" applyFill="1" applyBorder="1" applyAlignment="1">
      <alignment vertical="center"/>
    </xf>
    <xf numFmtId="0" fontId="0" fillId="34" borderId="11" xfId="0" applyFill="1" applyBorder="1" applyAlignment="1">
      <alignment vertical="center"/>
    </xf>
    <xf numFmtId="0" fontId="0" fillId="34" borderId="17" xfId="0" applyFill="1" applyBorder="1" applyAlignment="1">
      <alignment vertical="center"/>
    </xf>
    <xf numFmtId="0" fontId="0" fillId="33" borderId="0" xfId="0" applyFill="1" applyAlignment="1">
      <alignment vertical="center"/>
    </xf>
    <xf numFmtId="0" fontId="5" fillId="38" borderId="13" xfId="0" applyFont="1" applyFill="1" applyBorder="1" applyAlignment="1">
      <alignment horizontal="center" vertical="center"/>
    </xf>
    <xf numFmtId="0" fontId="5" fillId="38" borderId="14" xfId="0" applyFont="1" applyFill="1" applyBorder="1" applyAlignment="1">
      <alignment horizontal="center" vertical="center"/>
    </xf>
    <xf numFmtId="0" fontId="17" fillId="34" borderId="0" xfId="0" applyFont="1" applyFill="1" applyAlignment="1">
      <alignment vertical="center"/>
    </xf>
    <xf numFmtId="0" fontId="19" fillId="34" borderId="0" xfId="0" applyFont="1" applyFill="1" applyAlignment="1">
      <alignment vertical="center"/>
    </xf>
    <xf numFmtId="37" fontId="5" fillId="34" borderId="12" xfId="0" applyNumberFormat="1" applyFont="1" applyFill="1" applyBorder="1" applyAlignment="1">
      <alignment vertical="center"/>
    </xf>
    <xf numFmtId="0" fontId="5" fillId="34" borderId="0" xfId="0" applyFont="1" applyFill="1" applyAlignment="1" applyProtection="1">
      <alignment horizontal="right" vertical="center"/>
      <protection/>
    </xf>
    <xf numFmtId="37" fontId="5" fillId="34" borderId="19" xfId="0" applyNumberFormat="1" applyFont="1" applyFill="1" applyBorder="1" applyAlignment="1" applyProtection="1">
      <alignment horizontal="centerContinuous" vertical="center"/>
      <protection/>
    </xf>
    <xf numFmtId="0" fontId="5" fillId="34" borderId="11" xfId="0" applyFont="1" applyFill="1" applyBorder="1" applyAlignment="1" applyProtection="1">
      <alignment horizontal="centerContinuous" vertical="center"/>
      <protection/>
    </xf>
    <xf numFmtId="0" fontId="5" fillId="34" borderId="17" xfId="0" applyFont="1" applyFill="1" applyBorder="1" applyAlignment="1" applyProtection="1">
      <alignment horizontal="centerContinuous" vertical="center"/>
      <protection/>
    </xf>
    <xf numFmtId="37" fontId="5" fillId="34" borderId="10" xfId="0" applyNumberFormat="1" applyFont="1" applyFill="1" applyBorder="1" applyAlignment="1" applyProtection="1">
      <alignment horizontal="fill" vertical="center"/>
      <protection/>
    </xf>
    <xf numFmtId="37" fontId="5" fillId="34" borderId="13" xfId="0" applyNumberFormat="1" applyFont="1" applyFill="1" applyBorder="1" applyAlignment="1" applyProtection="1">
      <alignment horizontal="left" vertical="center"/>
      <protection/>
    </xf>
    <xf numFmtId="37" fontId="5" fillId="34" borderId="13"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37" fontId="4" fillId="34" borderId="10" xfId="0" applyNumberFormat="1" applyFont="1" applyFill="1" applyBorder="1" applyAlignment="1" applyProtection="1">
      <alignment horizontal="left" vertical="center"/>
      <protection/>
    </xf>
    <xf numFmtId="37" fontId="5" fillId="34" borderId="14" xfId="0" applyNumberFormat="1"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5" fillId="34" borderId="12" xfId="0" applyNumberFormat="1" applyFont="1" applyFill="1" applyBorder="1" applyAlignment="1" applyProtection="1">
      <alignment horizontal="center" vertical="center"/>
      <protection/>
    </xf>
    <xf numFmtId="0" fontId="5" fillId="34" borderId="13" xfId="0" applyFont="1" applyFill="1" applyBorder="1" applyAlignment="1" applyProtection="1">
      <alignment vertical="center"/>
      <protection/>
    </xf>
    <xf numFmtId="0" fontId="5" fillId="34" borderId="20" xfId="0" applyFont="1" applyFill="1" applyBorder="1" applyAlignment="1" applyProtection="1">
      <alignment vertical="center"/>
      <protection/>
    </xf>
    <xf numFmtId="37" fontId="13" fillId="34" borderId="19" xfId="0" applyNumberFormat="1" applyFont="1" applyFill="1" applyBorder="1" applyAlignment="1" applyProtection="1">
      <alignment horizontal="left" vertical="center"/>
      <protection/>
    </xf>
    <xf numFmtId="37" fontId="13" fillId="34" borderId="17"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37" fontId="5" fillId="39" borderId="12"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vertical="center"/>
      <protection/>
    </xf>
    <xf numFmtId="37" fontId="5" fillId="34" borderId="21" xfId="0" applyNumberFormat="1" applyFont="1" applyFill="1" applyBorder="1" applyAlignment="1" applyProtection="1">
      <alignment horizontal="left" vertical="center"/>
      <protection/>
    </xf>
    <xf numFmtId="0" fontId="9" fillId="34" borderId="0" xfId="0" applyFont="1" applyFill="1" applyBorder="1" applyAlignment="1" applyProtection="1">
      <alignment vertical="center" shrinkToFit="1"/>
      <protection/>
    </xf>
    <xf numFmtId="37" fontId="5" fillId="40" borderId="12" xfId="0" applyNumberFormat="1" applyFont="1" applyFill="1" applyBorder="1" applyAlignment="1" applyProtection="1">
      <alignment horizontal="left" vertical="center"/>
      <protection/>
    </xf>
    <xf numFmtId="0" fontId="5" fillId="40" borderId="12" xfId="0" applyFont="1" applyFill="1" applyBorder="1" applyAlignment="1" applyProtection="1">
      <alignment vertical="center"/>
      <protection/>
    </xf>
    <xf numFmtId="37" fontId="5" fillId="40" borderId="12" xfId="0" applyNumberFormat="1" applyFont="1" applyFill="1" applyBorder="1" applyAlignment="1" applyProtection="1">
      <alignment vertical="center"/>
      <protection/>
    </xf>
    <xf numFmtId="37" fontId="5" fillId="34" borderId="0" xfId="0" applyNumberFormat="1" applyFont="1" applyFill="1" applyAlignment="1" applyProtection="1">
      <alignment horizontal="right" vertical="center"/>
      <protection/>
    </xf>
    <xf numFmtId="0" fontId="5" fillId="34" borderId="0" xfId="0" applyFont="1" applyFill="1" applyBorder="1" applyAlignment="1" applyProtection="1">
      <alignment horizontal="right" vertical="center"/>
      <protection/>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center" vertical="center"/>
      <protection/>
    </xf>
    <xf numFmtId="37" fontId="5" fillId="34" borderId="0" xfId="0" applyNumberFormat="1"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4" borderId="0" xfId="0" applyFont="1" applyFill="1" applyAlignment="1" applyProtection="1">
      <alignment horizontal="center" vertical="center" wrapText="1"/>
      <protection/>
    </xf>
    <xf numFmtId="0" fontId="5" fillId="34" borderId="0" xfId="0" applyFont="1" applyFill="1" applyAlignment="1" applyProtection="1" quotePrefix="1">
      <alignment horizontal="right" vertical="center"/>
      <protection/>
    </xf>
    <xf numFmtId="3" fontId="5" fillId="34" borderId="0" xfId="0" applyNumberFormat="1" applyFont="1" applyFill="1" applyAlignment="1" applyProtection="1" quotePrefix="1">
      <alignment vertical="center"/>
      <protection/>
    </xf>
    <xf numFmtId="3" fontId="5" fillId="34" borderId="10" xfId="0" applyNumberFormat="1" applyFont="1" applyFill="1" applyBorder="1" applyAlignment="1" applyProtection="1">
      <alignment vertical="center"/>
      <protection/>
    </xf>
    <xf numFmtId="0" fontId="5" fillId="34" borderId="0" xfId="0" applyFont="1" applyFill="1" applyAlignment="1" applyProtection="1" quotePrefix="1">
      <alignment vertical="center"/>
      <protection/>
    </xf>
    <xf numFmtId="3" fontId="5" fillId="34" borderId="18" xfId="0" applyNumberFormat="1" applyFont="1" applyFill="1" applyBorder="1" applyAlignment="1" applyProtection="1">
      <alignment vertical="center"/>
      <protection/>
    </xf>
    <xf numFmtId="171" fontId="5" fillId="34" borderId="10" xfId="0" applyNumberFormat="1" applyFont="1" applyFill="1" applyBorder="1" applyAlignment="1" applyProtection="1">
      <alignment vertical="center"/>
      <protection/>
    </xf>
    <xf numFmtId="0" fontId="5" fillId="34" borderId="0" xfId="0" applyFont="1" applyFill="1" applyBorder="1" applyAlignment="1" applyProtection="1" quotePrefix="1">
      <alignment vertical="center"/>
      <protection/>
    </xf>
    <xf numFmtId="3" fontId="5" fillId="34" borderId="22" xfId="0" applyNumberFormat="1" applyFont="1" applyFill="1" applyBorder="1" applyAlignment="1" applyProtection="1">
      <alignment vertical="center"/>
      <protection/>
    </xf>
    <xf numFmtId="3" fontId="5" fillId="34" borderId="10" xfId="42" applyNumberFormat="1" applyFont="1" applyFill="1" applyBorder="1" applyAlignment="1" applyProtection="1">
      <alignment vertical="center"/>
      <protection/>
    </xf>
    <xf numFmtId="0" fontId="7" fillId="0" borderId="0" xfId="0" applyFont="1" applyAlignment="1">
      <alignment vertical="center"/>
    </xf>
    <xf numFmtId="0" fontId="5" fillId="34" borderId="10" xfId="0" applyFont="1" applyFill="1" applyBorder="1" applyAlignment="1" applyProtection="1">
      <alignment horizontal="centerContinuous" vertical="center"/>
      <protection/>
    </xf>
    <xf numFmtId="0" fontId="5" fillId="34" borderId="0" xfId="0" applyFont="1" applyFill="1" applyBorder="1" applyAlignment="1" applyProtection="1">
      <alignment horizontal="centerContinuous" vertical="center"/>
      <protection/>
    </xf>
    <xf numFmtId="0" fontId="5" fillId="34" borderId="13" xfId="0" applyFont="1" applyFill="1" applyBorder="1" applyAlignment="1" applyProtection="1">
      <alignment horizontal="center" vertical="center"/>
      <protection/>
    </xf>
    <xf numFmtId="37" fontId="5" fillId="34" borderId="23" xfId="0" applyNumberFormat="1" applyFont="1" applyFill="1" applyBorder="1" applyAlignment="1" applyProtection="1">
      <alignment horizontal="center" vertical="center"/>
      <protection/>
    </xf>
    <xf numFmtId="0" fontId="5" fillId="34" borderId="20" xfId="0" applyNumberFormat="1" applyFont="1" applyFill="1" applyBorder="1" applyAlignment="1" applyProtection="1">
      <alignment horizontal="center" vertical="center"/>
      <protection/>
    </xf>
    <xf numFmtId="166" fontId="5" fillId="34" borderId="0" xfId="0" applyNumberFormat="1" applyFont="1" applyFill="1" applyAlignment="1" applyProtection="1">
      <alignment vertical="center"/>
      <protection/>
    </xf>
    <xf numFmtId="37" fontId="5" fillId="34" borderId="10" xfId="0" applyNumberFormat="1"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165" fontId="5" fillId="39" borderId="10" xfId="0" applyNumberFormat="1" applyFont="1" applyFill="1" applyBorder="1" applyAlignment="1" applyProtection="1">
      <alignment vertical="center"/>
      <protection/>
    </xf>
    <xf numFmtId="0" fontId="5" fillId="0" borderId="0" xfId="0" applyFont="1" applyAlignment="1" applyProtection="1">
      <alignment horizontal="center" vertical="center"/>
      <protection locked="0"/>
    </xf>
    <xf numFmtId="0" fontId="4" fillId="34" borderId="10" xfId="0"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1" fontId="5" fillId="34" borderId="14" xfId="0" applyNumberFormat="1" applyFont="1" applyFill="1" applyBorder="1" applyAlignment="1" applyProtection="1">
      <alignment horizontal="center" vertical="center"/>
      <protection/>
    </xf>
    <xf numFmtId="0" fontId="5" fillId="35" borderId="12" xfId="0" applyFont="1" applyFill="1" applyBorder="1" applyAlignment="1" applyProtection="1">
      <alignment horizontal="center" vertical="center"/>
      <protection locked="0"/>
    </xf>
    <xf numFmtId="0" fontId="5" fillId="34" borderId="0" xfId="0" applyFont="1" applyFill="1" applyAlignment="1" applyProtection="1">
      <alignment horizontal="center" vertical="center"/>
      <protection locked="0"/>
    </xf>
    <xf numFmtId="0" fontId="4" fillId="34" borderId="12" xfId="0" applyFont="1" applyFill="1" applyBorder="1" applyAlignment="1" applyProtection="1">
      <alignment horizontal="center" vertical="center"/>
      <protection/>
    </xf>
    <xf numFmtId="3" fontId="5" fillId="34"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1" fontId="5" fillId="34" borderId="0" xfId="0" applyNumberFormat="1" applyFont="1" applyFill="1" applyBorder="1" applyAlignment="1" applyProtection="1">
      <alignment horizontal="right" vertical="center"/>
      <protection/>
    </xf>
    <xf numFmtId="0" fontId="4" fillId="34" borderId="0" xfId="378" applyFont="1" applyFill="1" applyAlignment="1" applyProtection="1">
      <alignment horizontal="centerContinuous" vertical="center"/>
      <protection/>
    </xf>
    <xf numFmtId="0" fontId="5" fillId="34" borderId="10" xfId="0" applyFont="1" applyFill="1" applyBorder="1" applyAlignment="1" applyProtection="1">
      <alignment horizontal="fill" vertical="center"/>
      <protection/>
    </xf>
    <xf numFmtId="0" fontId="5" fillId="34" borderId="24" xfId="0" applyFont="1" applyFill="1" applyBorder="1" applyAlignment="1" applyProtection="1">
      <alignment horizontal="centerContinuous" vertical="center"/>
      <protection/>
    </xf>
    <xf numFmtId="0" fontId="5" fillId="34" borderId="23" xfId="0" applyFont="1" applyFill="1" applyBorder="1" applyAlignment="1" applyProtection="1">
      <alignment horizontal="centerContinuous" vertical="center"/>
      <protection/>
    </xf>
    <xf numFmtId="1" fontId="5" fillId="34" borderId="21"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left" vertical="center"/>
      <protection/>
    </xf>
    <xf numFmtId="2" fontId="5" fillId="34" borderId="12" xfId="0" applyNumberFormat="1" applyFont="1" applyFill="1" applyBorder="1" applyAlignment="1" applyProtection="1">
      <alignment vertical="center"/>
      <protection/>
    </xf>
    <xf numFmtId="3" fontId="5" fillId="34" borderId="12" xfId="0" applyNumberFormat="1" applyFont="1" applyFill="1" applyBorder="1" applyAlignment="1" applyProtection="1">
      <alignment vertical="center"/>
      <protection/>
    </xf>
    <xf numFmtId="2" fontId="5" fillId="35" borderId="12" xfId="0" applyNumberFormat="1" applyFont="1" applyFill="1" applyBorder="1" applyAlignment="1" applyProtection="1">
      <alignment horizontal="center" vertical="center"/>
      <protection locked="0"/>
    </xf>
    <xf numFmtId="3" fontId="5" fillId="35" borderId="12" xfId="0" applyNumberFormat="1" applyFont="1" applyFill="1" applyBorder="1" applyAlignment="1" applyProtection="1">
      <alignment horizontal="center" vertical="center"/>
      <protection locked="0"/>
    </xf>
    <xf numFmtId="37" fontId="5" fillId="35" borderId="12" xfId="0" applyNumberFormat="1" applyFont="1" applyFill="1" applyBorder="1" applyAlignment="1" applyProtection="1">
      <alignment horizontal="center" vertical="center"/>
      <protection locked="0"/>
    </xf>
    <xf numFmtId="175" fontId="5" fillId="35" borderId="12" xfId="0" applyNumberFormat="1" applyFont="1" applyFill="1" applyBorder="1" applyAlignment="1" applyProtection="1">
      <alignment horizontal="center" vertical="center"/>
      <protection locked="0"/>
    </xf>
    <xf numFmtId="0" fontId="4" fillId="34" borderId="12" xfId="0" applyFont="1" applyFill="1" applyBorder="1" applyAlignment="1" applyProtection="1">
      <alignment horizontal="left" vertical="center"/>
      <protection/>
    </xf>
    <xf numFmtId="174" fontId="4" fillId="34" borderId="12" xfId="0" applyNumberFormat="1" applyFont="1" applyFill="1" applyBorder="1" applyAlignment="1" applyProtection="1">
      <alignment horizontal="center" vertical="center"/>
      <protection/>
    </xf>
    <xf numFmtId="2" fontId="4" fillId="34" borderId="12" xfId="0" applyNumberFormat="1" applyFont="1" applyFill="1" applyBorder="1" applyAlignment="1" applyProtection="1">
      <alignment horizontal="center" vertical="center"/>
      <protection/>
    </xf>
    <xf numFmtId="3" fontId="4" fillId="34" borderId="12" xfId="0" applyNumberFormat="1" applyFont="1" applyFill="1" applyBorder="1" applyAlignment="1" applyProtection="1">
      <alignment horizontal="center" vertical="center"/>
      <protection/>
    </xf>
    <xf numFmtId="37" fontId="4" fillId="39" borderId="12" xfId="0" applyNumberFormat="1" applyFont="1" applyFill="1" applyBorder="1" applyAlignment="1" applyProtection="1">
      <alignment horizontal="center" vertical="center"/>
      <protection/>
    </xf>
    <xf numFmtId="175" fontId="4" fillId="34" borderId="12" xfId="0" applyNumberFormat="1" applyFont="1" applyFill="1" applyBorder="1" applyAlignment="1" applyProtection="1">
      <alignment horizontal="center" vertical="center"/>
      <protection/>
    </xf>
    <xf numFmtId="174" fontId="5" fillId="34" borderId="12" xfId="0" applyNumberFormat="1" applyFont="1" applyFill="1" applyBorder="1" applyAlignment="1" applyProtection="1">
      <alignment horizontal="center" vertical="center"/>
      <protection/>
    </xf>
    <xf numFmtId="2" fontId="5" fillId="34" borderId="12" xfId="0" applyNumberFormat="1" applyFont="1" applyFill="1" applyBorder="1" applyAlignment="1" applyProtection="1">
      <alignment horizontal="center" vertical="center"/>
      <protection/>
    </xf>
    <xf numFmtId="175" fontId="5" fillId="34" borderId="12" xfId="0" applyNumberFormat="1" applyFont="1" applyFill="1" applyBorder="1" applyAlignment="1" applyProtection="1">
      <alignment horizontal="center" vertical="center"/>
      <protection/>
    </xf>
    <xf numFmtId="1" fontId="4" fillId="34" borderId="12" xfId="0" applyNumberFormat="1" applyFont="1" applyFill="1" applyBorder="1" applyAlignment="1" applyProtection="1">
      <alignment horizontal="center" vertical="center"/>
      <protection/>
    </xf>
    <xf numFmtId="3" fontId="4" fillId="39" borderId="12" xfId="0" applyNumberFormat="1" applyFont="1" applyFill="1" applyBorder="1" applyAlignment="1" applyProtection="1">
      <alignment horizontal="center" vertical="center"/>
      <protection/>
    </xf>
    <xf numFmtId="1" fontId="5" fillId="34" borderId="12"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34" borderId="0" xfId="0" applyNumberFormat="1" applyFont="1" applyFill="1" applyAlignment="1" applyProtection="1">
      <alignment horizontal="right" vertical="center"/>
      <protection/>
    </xf>
    <xf numFmtId="0" fontId="8" fillId="34" borderId="14" xfId="0" applyFont="1" applyFill="1" applyBorder="1" applyAlignment="1" applyProtection="1">
      <alignment horizontal="center" vertical="center"/>
      <protection/>
    </xf>
    <xf numFmtId="14" fontId="5" fillId="34" borderId="14" xfId="0" applyNumberFormat="1" applyFont="1" applyFill="1" applyBorder="1" applyAlignment="1" applyProtection="1" quotePrefix="1">
      <alignment horizontal="center" vertical="center"/>
      <protection/>
    </xf>
    <xf numFmtId="0" fontId="5" fillId="35" borderId="12" xfId="0" applyFont="1" applyFill="1" applyBorder="1" applyAlignment="1" applyProtection="1">
      <alignment horizontal="center" vertical="center"/>
      <protection locked="0"/>
    </xf>
    <xf numFmtId="1" fontId="5" fillId="35" borderId="12" xfId="0" applyNumberFormat="1" applyFont="1" applyFill="1" applyBorder="1" applyAlignment="1" applyProtection="1">
      <alignment horizontal="center" vertical="center"/>
      <protection locked="0"/>
    </xf>
    <xf numFmtId="0" fontId="4" fillId="34" borderId="0" xfId="0" applyFont="1" applyFill="1" applyAlignment="1" applyProtection="1">
      <alignment horizontal="left" vertical="center"/>
      <protection/>
    </xf>
    <xf numFmtId="3" fontId="4" fillId="39" borderId="25" xfId="0" applyNumberFormat="1" applyFont="1" applyFill="1" applyBorder="1" applyAlignment="1" applyProtection="1">
      <alignment horizontal="center" vertical="center"/>
      <protection/>
    </xf>
    <xf numFmtId="0" fontId="5" fillId="33" borderId="0" xfId="377" applyFont="1" applyFill="1" applyAlignment="1" applyProtection="1">
      <alignment vertical="center"/>
      <protection/>
    </xf>
    <xf numFmtId="0" fontId="5" fillId="33" borderId="0" xfId="0" applyFont="1" applyFill="1" applyAlignment="1" applyProtection="1">
      <alignment vertical="center"/>
      <protection/>
    </xf>
    <xf numFmtId="0" fontId="5" fillId="34" borderId="0" xfId="0" applyFont="1" applyFill="1" applyBorder="1" applyAlignment="1" applyProtection="1">
      <alignment horizontal="fill" vertical="center"/>
      <protection/>
    </xf>
    <xf numFmtId="0" fontId="5" fillId="34" borderId="14" xfId="0" applyNumberFormat="1" applyFont="1" applyFill="1" applyBorder="1" applyAlignment="1" applyProtection="1">
      <alignment horizontal="center" vertical="center"/>
      <protection/>
    </xf>
    <xf numFmtId="0" fontId="5" fillId="34" borderId="19" xfId="0" applyFont="1" applyFill="1" applyBorder="1" applyAlignment="1" applyProtection="1">
      <alignment horizontal="left" vertical="center"/>
      <protection/>
    </xf>
    <xf numFmtId="3" fontId="5" fillId="35" borderId="19" xfId="0" applyNumberFormat="1" applyFont="1" applyFill="1" applyBorder="1" applyAlignment="1" applyProtection="1">
      <alignment vertical="center"/>
      <protection locked="0"/>
    </xf>
    <xf numFmtId="3" fontId="5" fillId="35" borderId="17" xfId="0" applyNumberFormat="1" applyFont="1" applyFill="1" applyBorder="1" applyAlignment="1" applyProtection="1">
      <alignment vertical="center"/>
      <protection locked="0"/>
    </xf>
    <xf numFmtId="0" fontId="5" fillId="34" borderId="21" xfId="0" applyFont="1" applyFill="1" applyBorder="1" applyAlignment="1" applyProtection="1">
      <alignment horizontal="left" vertical="center"/>
      <protection/>
    </xf>
    <xf numFmtId="37" fontId="5" fillId="35" borderId="19" xfId="0" applyNumberFormat="1" applyFont="1" applyFill="1" applyBorder="1" applyAlignment="1" applyProtection="1">
      <alignment vertical="center"/>
      <protection locked="0"/>
    </xf>
    <xf numFmtId="37" fontId="5" fillId="34" borderId="12" xfId="0" applyNumberFormat="1" applyFont="1" applyFill="1" applyBorder="1" applyAlignment="1" applyProtection="1">
      <alignment horizontal="fill" vertical="center"/>
      <protection/>
    </xf>
    <xf numFmtId="37" fontId="5" fillId="35" borderId="12" xfId="0" applyNumberFormat="1" applyFont="1" applyFill="1" applyBorder="1" applyAlignment="1" applyProtection="1">
      <alignment vertical="center"/>
      <protection locked="0"/>
    </xf>
    <xf numFmtId="0" fontId="5" fillId="35" borderId="19" xfId="0" applyFont="1" applyFill="1" applyBorder="1" applyAlignment="1" applyProtection="1">
      <alignment horizontal="left" vertical="center"/>
      <protection locked="0"/>
    </xf>
    <xf numFmtId="37" fontId="17" fillId="40" borderId="17" xfId="0" applyNumberFormat="1" applyFont="1" applyFill="1" applyBorder="1" applyAlignment="1" applyProtection="1">
      <alignment horizontal="center" vertical="center"/>
      <protection/>
    </xf>
    <xf numFmtId="37" fontId="4" fillId="34" borderId="19" xfId="0" applyNumberFormat="1" applyFont="1" applyFill="1" applyBorder="1" applyAlignment="1" applyProtection="1">
      <alignment horizontal="left" vertical="center"/>
      <protection/>
    </xf>
    <xf numFmtId="3" fontId="4" fillId="39" borderId="12" xfId="0" applyNumberFormat="1" applyFont="1" applyFill="1" applyBorder="1" applyAlignment="1" applyProtection="1">
      <alignment vertical="center"/>
      <protection/>
    </xf>
    <xf numFmtId="0" fontId="4" fillId="34" borderId="19" xfId="0" applyFont="1" applyFill="1" applyBorder="1" applyAlignment="1" applyProtection="1">
      <alignment horizontal="left" vertical="center"/>
      <protection/>
    </xf>
    <xf numFmtId="0" fontId="5" fillId="39" borderId="19" xfId="0" applyFont="1" applyFill="1" applyBorder="1" applyAlignment="1" applyProtection="1">
      <alignment horizontal="left" vertical="center"/>
      <protection/>
    </xf>
    <xf numFmtId="0" fontId="5" fillId="39" borderId="19" xfId="0" applyFont="1" applyFill="1" applyBorder="1" applyAlignment="1" applyProtection="1">
      <alignment vertical="center"/>
      <protection/>
    </xf>
    <xf numFmtId="37" fontId="5" fillId="0" borderId="0" xfId="0" applyNumberFormat="1" applyFont="1" applyFill="1" applyBorder="1" applyAlignment="1" applyProtection="1">
      <alignment vertical="center"/>
      <protection locked="0"/>
    </xf>
    <xf numFmtId="0" fontId="5" fillId="35" borderId="19" xfId="0" applyFont="1" applyFill="1" applyBorder="1" applyAlignment="1" applyProtection="1">
      <alignment vertical="center"/>
      <protection locked="0"/>
    </xf>
    <xf numFmtId="0" fontId="5" fillId="34" borderId="19" xfId="0" applyFont="1" applyFill="1" applyBorder="1" applyAlignment="1" applyProtection="1">
      <alignment vertical="center"/>
      <protection/>
    </xf>
    <xf numFmtId="37" fontId="4" fillId="39" borderId="12" xfId="0" applyNumberFormat="1" applyFont="1" applyFill="1" applyBorder="1" applyAlignment="1" applyProtection="1">
      <alignment vertical="center"/>
      <protection/>
    </xf>
    <xf numFmtId="3" fontId="5" fillId="34" borderId="0" xfId="0" applyNumberFormat="1" applyFont="1" applyFill="1" applyAlignment="1" applyProtection="1">
      <alignment horizontal="center" vertical="center"/>
      <protection/>
    </xf>
    <xf numFmtId="0" fontId="17" fillId="0" borderId="0" xfId="0" applyFont="1" applyAlignment="1" applyProtection="1">
      <alignment vertical="center"/>
      <protection/>
    </xf>
    <xf numFmtId="0" fontId="15" fillId="34" borderId="0" xfId="0" applyFont="1" applyFill="1" applyAlignment="1" applyProtection="1">
      <alignment horizontal="center" vertical="center"/>
      <protection/>
    </xf>
    <xf numFmtId="0" fontId="5" fillId="34" borderId="0" xfId="0" applyFont="1" applyFill="1" applyAlignment="1">
      <alignment horizontal="right" vertical="center"/>
    </xf>
    <xf numFmtId="0" fontId="5" fillId="34" borderId="0" xfId="0" applyFont="1" applyFill="1" applyAlignment="1" applyProtection="1">
      <alignment horizontal="fill" vertical="center"/>
      <protection/>
    </xf>
    <xf numFmtId="1" fontId="5" fillId="34" borderId="13" xfId="0" applyNumberFormat="1" applyFont="1" applyFill="1" applyBorder="1" applyAlignment="1" applyProtection="1">
      <alignment horizontal="center" vertical="center"/>
      <protection/>
    </xf>
    <xf numFmtId="0" fontId="5" fillId="35" borderId="12" xfId="0" applyFont="1" applyFill="1" applyBorder="1" applyAlignment="1" applyProtection="1">
      <alignment horizontal="left" vertical="center"/>
      <protection locked="0"/>
    </xf>
    <xf numFmtId="37" fontId="4" fillId="40" borderId="25" xfId="0" applyNumberFormat="1" applyFont="1" applyFill="1" applyBorder="1" applyAlignment="1" applyProtection="1">
      <alignment vertical="center"/>
      <protection/>
    </xf>
    <xf numFmtId="0" fontId="17" fillId="34" borderId="0" xfId="0" applyFont="1" applyFill="1" applyAlignment="1" applyProtection="1">
      <alignment vertical="center"/>
      <protection/>
    </xf>
    <xf numFmtId="3" fontId="5" fillId="34" borderId="12" xfId="0" applyNumberFormat="1" applyFont="1" applyFill="1" applyBorder="1" applyAlignment="1" applyProtection="1">
      <alignment horizontal="fill" vertical="center"/>
      <protection/>
    </xf>
    <xf numFmtId="3" fontId="17" fillId="40" borderId="17" xfId="0" applyNumberFormat="1" applyFont="1" applyFill="1" applyBorder="1" applyAlignment="1" applyProtection="1">
      <alignment horizontal="center" vertical="center"/>
      <protection/>
    </xf>
    <xf numFmtId="37" fontId="5" fillId="34" borderId="0" xfId="0" applyNumberFormat="1" applyFont="1" applyFill="1" applyBorder="1" applyAlignment="1" applyProtection="1">
      <alignment horizontal="fill" vertical="center"/>
      <protection/>
    </xf>
    <xf numFmtId="3" fontId="4" fillId="34" borderId="12" xfId="0" applyNumberFormat="1" applyFont="1" applyFill="1" applyBorder="1" applyAlignment="1" applyProtection="1">
      <alignment vertical="center"/>
      <protection/>
    </xf>
    <xf numFmtId="3" fontId="5" fillId="40" borderId="25" xfId="0" applyNumberFormat="1" applyFont="1" applyFill="1" applyBorder="1" applyAlignment="1" applyProtection="1">
      <alignment vertical="center"/>
      <protection/>
    </xf>
    <xf numFmtId="3" fontId="5" fillId="34" borderId="10" xfId="0" applyNumberFormat="1" applyFont="1" applyFill="1" applyBorder="1" applyAlignment="1" applyProtection="1">
      <alignment horizontal="fill" vertical="center"/>
      <protection/>
    </xf>
    <xf numFmtId="37" fontId="5" fillId="35" borderId="19" xfId="0" applyNumberFormat="1" applyFont="1" applyFill="1" applyBorder="1" applyAlignment="1" applyProtection="1">
      <alignment horizontal="left" vertical="center"/>
      <protection locked="0"/>
    </xf>
    <xf numFmtId="0" fontId="5" fillId="34" borderId="0" xfId="0" applyFont="1" applyFill="1" applyAlignment="1">
      <alignment horizontal="center" vertical="center"/>
    </xf>
    <xf numFmtId="0" fontId="4" fillId="34" borderId="0" xfId="0" applyFont="1" applyFill="1" applyAlignment="1">
      <alignment horizontal="center" vertical="center"/>
    </xf>
    <xf numFmtId="0" fontId="20" fillId="34" borderId="0" xfId="0" applyFont="1" applyFill="1" applyAlignment="1">
      <alignment horizontal="center" vertical="center"/>
    </xf>
    <xf numFmtId="0" fontId="5" fillId="34" borderId="17" xfId="0" applyFont="1" applyFill="1" applyBorder="1" applyAlignment="1">
      <alignment vertical="center"/>
    </xf>
    <xf numFmtId="0" fontId="14" fillId="34" borderId="13" xfId="0" applyFont="1" applyFill="1" applyBorder="1" applyAlignment="1">
      <alignment vertical="center"/>
    </xf>
    <xf numFmtId="0" fontId="14" fillId="34" borderId="17" xfId="0" applyFont="1" applyFill="1" applyBorder="1" applyAlignment="1">
      <alignment horizontal="center" vertical="center"/>
    </xf>
    <xf numFmtId="0" fontId="14" fillId="34" borderId="23" xfId="0" applyFont="1" applyFill="1" applyBorder="1" applyAlignment="1">
      <alignment vertical="center"/>
    </xf>
    <xf numFmtId="0" fontId="14" fillId="34" borderId="12"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12" xfId="0" applyFont="1" applyFill="1" applyBorder="1" applyAlignment="1">
      <alignment horizontal="center" vertical="center"/>
    </xf>
    <xf numFmtId="0" fontId="14" fillId="34" borderId="21" xfId="0" applyFont="1" applyFill="1" applyBorder="1" applyAlignment="1">
      <alignment vertical="center"/>
    </xf>
    <xf numFmtId="3" fontId="14" fillId="35" borderId="12" xfId="0" applyNumberFormat="1" applyFont="1" applyFill="1" applyBorder="1" applyAlignment="1" applyProtection="1">
      <alignment horizontal="center" vertical="center"/>
      <protection locked="0"/>
    </xf>
    <xf numFmtId="0" fontId="14" fillId="34" borderId="10" xfId="0" applyFont="1" applyFill="1" applyBorder="1" applyAlignment="1">
      <alignment vertical="center"/>
    </xf>
    <xf numFmtId="3" fontId="14" fillId="39" borderId="12" xfId="0" applyNumberFormat="1" applyFont="1" applyFill="1" applyBorder="1" applyAlignment="1">
      <alignment horizontal="center" vertical="center"/>
    </xf>
    <xf numFmtId="0" fontId="14" fillId="34" borderId="0" xfId="0" applyFont="1" applyFill="1" applyAlignment="1">
      <alignment vertical="center"/>
    </xf>
    <xf numFmtId="3" fontId="14" fillId="34" borderId="0" xfId="0" applyNumberFormat="1" applyFont="1" applyFill="1" applyAlignment="1">
      <alignment horizontal="center" vertical="center"/>
    </xf>
    <xf numFmtId="0" fontId="14" fillId="34" borderId="0" xfId="0" applyFont="1" applyFill="1" applyAlignment="1">
      <alignment horizontal="center" vertical="center"/>
    </xf>
    <xf numFmtId="0" fontId="14" fillId="35" borderId="12" xfId="0" applyFont="1" applyFill="1" applyBorder="1" applyAlignment="1" applyProtection="1">
      <alignment vertical="center"/>
      <protection locked="0"/>
    </xf>
    <xf numFmtId="0" fontId="14" fillId="35" borderId="23" xfId="0" applyFont="1" applyFill="1" applyBorder="1" applyAlignment="1" applyProtection="1">
      <alignment vertical="center"/>
      <protection locked="0"/>
    </xf>
    <xf numFmtId="3" fontId="14" fillId="35" borderId="23" xfId="0" applyNumberFormat="1" applyFont="1" applyFill="1" applyBorder="1" applyAlignment="1" applyProtection="1">
      <alignment horizontal="center" vertical="center"/>
      <protection locked="0"/>
    </xf>
    <xf numFmtId="0" fontId="14" fillId="35" borderId="0" xfId="0" applyFont="1" applyFill="1" applyAlignment="1" applyProtection="1">
      <alignment vertical="center"/>
      <protection locked="0"/>
    </xf>
    <xf numFmtId="3" fontId="14" fillId="35" borderId="16" xfId="0" applyNumberFormat="1" applyFont="1" applyFill="1" applyBorder="1" applyAlignment="1" applyProtection="1">
      <alignment horizontal="center" vertical="center"/>
      <protection locked="0"/>
    </xf>
    <xf numFmtId="3" fontId="14" fillId="35" borderId="17" xfId="0" applyNumberFormat="1" applyFont="1" applyFill="1" applyBorder="1" applyAlignment="1" applyProtection="1">
      <alignment horizontal="center" vertical="center"/>
      <protection locked="0"/>
    </xf>
    <xf numFmtId="0" fontId="14" fillId="35" borderId="17" xfId="0" applyFont="1" applyFill="1" applyBorder="1" applyAlignment="1" applyProtection="1">
      <alignment vertical="center"/>
      <protection locked="0"/>
    </xf>
    <xf numFmtId="0" fontId="14" fillId="35" borderId="14" xfId="0" applyFont="1" applyFill="1" applyBorder="1" applyAlignment="1" applyProtection="1">
      <alignment vertical="center"/>
      <protection locked="0"/>
    </xf>
    <xf numFmtId="3" fontId="14" fillId="35" borderId="26" xfId="0" applyNumberFormat="1" applyFont="1" applyFill="1" applyBorder="1" applyAlignment="1" applyProtection="1">
      <alignment horizontal="center" vertical="center"/>
      <protection locked="0"/>
    </xf>
    <xf numFmtId="0" fontId="14" fillId="35" borderId="26" xfId="0" applyFont="1" applyFill="1" applyBorder="1" applyAlignment="1" applyProtection="1">
      <alignment vertical="center"/>
      <protection locked="0"/>
    </xf>
    <xf numFmtId="0" fontId="14" fillId="39" borderId="12" xfId="0" applyFont="1" applyFill="1" applyBorder="1" applyAlignment="1">
      <alignment horizontal="center" vertical="center"/>
    </xf>
    <xf numFmtId="0" fontId="14" fillId="39" borderId="14" xfId="0" applyFont="1" applyFill="1" applyBorder="1" applyAlignment="1">
      <alignment horizontal="center" vertical="center"/>
    </xf>
    <xf numFmtId="3" fontId="14" fillId="35" borderId="14" xfId="0" applyNumberFormat="1" applyFont="1" applyFill="1" applyBorder="1" applyAlignment="1" applyProtection="1">
      <alignment horizontal="center" vertical="center"/>
      <protection locked="0"/>
    </xf>
    <xf numFmtId="3" fontId="14" fillId="35" borderId="20" xfId="0" applyNumberFormat="1" applyFont="1" applyFill="1" applyBorder="1" applyAlignment="1" applyProtection="1">
      <alignment horizontal="center" vertical="center"/>
      <protection locked="0"/>
    </xf>
    <xf numFmtId="3" fontId="18" fillId="40" borderId="12" xfId="0" applyNumberFormat="1" applyFont="1" applyFill="1" applyBorder="1" applyAlignment="1">
      <alignment horizontal="center" vertical="center"/>
    </xf>
    <xf numFmtId="0" fontId="17" fillId="0" borderId="0" xfId="0" applyFont="1" applyAlignment="1">
      <alignment vertical="center"/>
    </xf>
    <xf numFmtId="3" fontId="5" fillId="34" borderId="0" xfId="0" applyNumberFormat="1" applyFont="1" applyFill="1" applyAlignment="1">
      <alignment vertical="center"/>
    </xf>
    <xf numFmtId="3" fontId="5" fillId="0" borderId="0" xfId="0" applyNumberFormat="1" applyFont="1" applyAlignment="1">
      <alignment vertical="center"/>
    </xf>
    <xf numFmtId="0" fontId="5" fillId="0" borderId="0" xfId="0" applyFont="1" applyAlignment="1">
      <alignment horizontal="centerContinuous" vertical="center"/>
    </xf>
    <xf numFmtId="1" fontId="5" fillId="34" borderId="19" xfId="0" applyNumberFormat="1" applyFont="1" applyFill="1" applyBorder="1" applyAlignment="1" applyProtection="1">
      <alignment horizontal="centerContinuous" vertical="center"/>
      <protection/>
    </xf>
    <xf numFmtId="37" fontId="5" fillId="34" borderId="14" xfId="0" applyNumberFormat="1" applyFont="1" applyFill="1" applyBorder="1" applyAlignment="1" applyProtection="1">
      <alignment horizontal="fill" vertical="center"/>
      <protection/>
    </xf>
    <xf numFmtId="1" fontId="6" fillId="34" borderId="0" xfId="0" applyNumberFormat="1" applyFont="1" applyFill="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wrapText="1"/>
      <protection/>
    </xf>
    <xf numFmtId="0" fontId="5" fillId="34" borderId="23"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3" fontId="5" fillId="35" borderId="12" xfId="0" applyNumberFormat="1" applyFont="1" applyFill="1" applyBorder="1" applyAlignment="1" applyProtection="1">
      <alignment horizontal="center" vertical="center"/>
      <protection locked="0"/>
    </xf>
    <xf numFmtId="182" fontId="5" fillId="34" borderId="12" xfId="0" applyNumberFormat="1" applyFont="1" applyFill="1" applyBorder="1" applyAlignment="1" applyProtection="1">
      <alignment horizontal="center" vertical="center"/>
      <protection/>
    </xf>
    <xf numFmtId="3" fontId="5" fillId="35" borderId="13" xfId="0" applyNumberFormat="1" applyFont="1" applyFill="1" applyBorder="1" applyAlignment="1" applyProtection="1">
      <alignment horizontal="center" vertical="center"/>
      <protection locked="0"/>
    </xf>
    <xf numFmtId="3" fontId="5" fillId="34" borderId="25" xfId="0" applyNumberFormat="1" applyFont="1" applyFill="1" applyBorder="1" applyAlignment="1" applyProtection="1">
      <alignment horizontal="center" vertical="center"/>
      <protection/>
    </xf>
    <xf numFmtId="182" fontId="5" fillId="34" borderId="25" xfId="0" applyNumberFormat="1" applyFont="1" applyFill="1" applyBorder="1" applyAlignment="1" applyProtection="1">
      <alignment horizontal="center" vertical="center"/>
      <protection/>
    </xf>
    <xf numFmtId="182" fontId="5" fillId="34" borderId="10" xfId="0" applyNumberFormat="1" applyFont="1" applyFill="1" applyBorder="1" applyAlignment="1" applyProtection="1">
      <alignment horizontal="center" vertical="center"/>
      <protection/>
    </xf>
    <xf numFmtId="182" fontId="5" fillId="34" borderId="0" xfId="0" applyNumberFormat="1" applyFont="1" applyFill="1" applyBorder="1" applyAlignment="1" applyProtection="1">
      <alignment horizontal="center" vertical="center"/>
      <protection/>
    </xf>
    <xf numFmtId="3" fontId="5" fillId="34" borderId="10" xfId="0" applyNumberFormat="1" applyFont="1" applyFill="1" applyBorder="1" applyAlignment="1">
      <alignment horizontal="center" vertical="center"/>
    </xf>
    <xf numFmtId="0" fontId="0" fillId="34" borderId="0" xfId="0" applyFill="1" applyAlignment="1">
      <alignment horizontal="center" vertical="center"/>
    </xf>
    <xf numFmtId="0" fontId="5" fillId="34" borderId="10" xfId="0" applyFont="1" applyFill="1" applyBorder="1" applyAlignment="1">
      <alignment horizontal="center" vertical="center"/>
    </xf>
    <xf numFmtId="3" fontId="22" fillId="40" borderId="0" xfId="0" applyNumberFormat="1" applyFont="1" applyFill="1" applyAlignment="1">
      <alignment horizontal="center" vertical="center"/>
    </xf>
    <xf numFmtId="0" fontId="5" fillId="34" borderId="0" xfId="0" applyFont="1" applyFill="1" applyAlignment="1">
      <alignment/>
    </xf>
    <xf numFmtId="0" fontId="32"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37" fontId="17" fillId="40" borderId="19" xfId="0" applyNumberFormat="1" applyFont="1" applyFill="1" applyBorder="1" applyAlignment="1" applyProtection="1">
      <alignment horizontal="center" vertical="center"/>
      <protection/>
    </xf>
    <xf numFmtId="14" fontId="5" fillId="35" borderId="12" xfId="0" applyNumberFormat="1" applyFont="1" applyFill="1" applyBorder="1" applyAlignment="1" applyProtection="1">
      <alignment horizontal="center" vertical="center"/>
      <protection locked="0"/>
    </xf>
    <xf numFmtId="3" fontId="5" fillId="34" borderId="19" xfId="0" applyNumberFormat="1" applyFont="1" applyFill="1" applyBorder="1" applyAlignment="1" applyProtection="1">
      <alignment vertical="center"/>
      <protection/>
    </xf>
    <xf numFmtId="0" fontId="5" fillId="34" borderId="21" xfId="0" applyNumberFormat="1" applyFont="1" applyFill="1" applyBorder="1" applyAlignment="1" applyProtection="1">
      <alignment horizontal="center" vertical="center"/>
      <protection/>
    </xf>
    <xf numFmtId="3" fontId="17" fillId="40" borderId="19" xfId="0" applyNumberFormat="1" applyFont="1" applyFill="1" applyBorder="1" applyAlignment="1" applyProtection="1">
      <alignment horizontal="center" vertical="center"/>
      <protection/>
    </xf>
    <xf numFmtId="3" fontId="4" fillId="34" borderId="19" xfId="0" applyNumberFormat="1" applyFont="1" applyFill="1" applyBorder="1" applyAlignment="1" applyProtection="1">
      <alignment vertical="center"/>
      <protection/>
    </xf>
    <xf numFmtId="3" fontId="5" fillId="41" borderId="25" xfId="0" applyNumberFormat="1" applyFont="1" applyFill="1" applyBorder="1" applyAlignment="1" applyProtection="1">
      <alignment vertical="center"/>
      <protection/>
    </xf>
    <xf numFmtId="37" fontId="17" fillId="40" borderId="12" xfId="0" applyNumberFormat="1" applyFont="1" applyFill="1" applyBorder="1" applyAlignment="1" applyProtection="1">
      <alignment horizontal="center" vertical="center"/>
      <protection/>
    </xf>
    <xf numFmtId="37" fontId="5" fillId="0" borderId="0" xfId="0" applyNumberFormat="1" applyFont="1" applyFill="1" applyAlignment="1" applyProtection="1">
      <alignment horizontal="right" vertical="center"/>
      <protection/>
    </xf>
    <xf numFmtId="0" fontId="5" fillId="34" borderId="0" xfId="88" applyFont="1" applyFill="1" applyAlignment="1" applyProtection="1">
      <alignment horizontal="right" vertical="center"/>
      <protection/>
    </xf>
    <xf numFmtId="0" fontId="5" fillId="34" borderId="0" xfId="63" applyNumberFormat="1" applyFont="1" applyFill="1" applyBorder="1" applyAlignment="1" applyProtection="1">
      <alignment horizontal="right" vertical="center"/>
      <protection/>
    </xf>
    <xf numFmtId="37" fontId="5" fillId="34" borderId="0" xfId="0" applyNumberFormat="1" applyFont="1" applyFill="1" applyAlignment="1" applyProtection="1" quotePrefix="1">
      <alignment horizontal="right" vertical="center"/>
      <protection/>
    </xf>
    <xf numFmtId="37" fontId="5" fillId="34" borderId="0" xfId="0" applyNumberFormat="1" applyFont="1" applyFill="1" applyAlignment="1" applyProtection="1">
      <alignment horizontal="fill" vertical="center"/>
      <protection/>
    </xf>
    <xf numFmtId="3" fontId="17" fillId="41" borderId="17"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locked="0"/>
    </xf>
    <xf numFmtId="3" fontId="17" fillId="41" borderId="19" xfId="0" applyNumberFormat="1" applyFont="1" applyFill="1" applyBorder="1" applyAlignment="1" applyProtection="1">
      <alignment horizontal="center" vertical="center"/>
      <protection/>
    </xf>
    <xf numFmtId="37" fontId="5" fillId="35" borderId="19" xfId="0" applyNumberFormat="1" applyFont="1" applyFill="1" applyBorder="1" applyAlignment="1" applyProtection="1">
      <alignment horizontal="right" vertical="center"/>
      <protection locked="0"/>
    </xf>
    <xf numFmtId="3" fontId="4" fillId="39" borderId="19" xfId="0" applyNumberFormat="1" applyFont="1" applyFill="1" applyBorder="1" applyAlignment="1" applyProtection="1">
      <alignment vertical="center"/>
      <protection/>
    </xf>
    <xf numFmtId="3" fontId="5" fillId="39" borderId="19" xfId="0" applyNumberFormat="1" applyFont="1" applyFill="1" applyBorder="1" applyAlignment="1" applyProtection="1">
      <alignment vertical="center"/>
      <protection/>
    </xf>
    <xf numFmtId="37" fontId="4" fillId="34" borderId="10"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3" fontId="17" fillId="40" borderId="12" xfId="0" applyNumberFormat="1" applyFont="1" applyFill="1" applyBorder="1" applyAlignment="1" applyProtection="1">
      <alignment horizontal="center" vertical="center"/>
      <protection/>
    </xf>
    <xf numFmtId="3" fontId="17" fillId="41" borderId="12" xfId="0" applyNumberFormat="1" applyFont="1" applyFill="1" applyBorder="1" applyAlignment="1" applyProtection="1">
      <alignment horizontal="center" vertical="center"/>
      <protection/>
    </xf>
    <xf numFmtId="0" fontId="21" fillId="34" borderId="0" xfId="0" applyFont="1" applyFill="1" applyAlignment="1" applyProtection="1">
      <alignment horizontal="center" vertical="center"/>
      <protection/>
    </xf>
    <xf numFmtId="37" fontId="4" fillId="34" borderId="21" xfId="0" applyNumberFormat="1" applyFont="1" applyFill="1" applyBorder="1" applyAlignment="1" applyProtection="1">
      <alignment horizontal="left" vertical="center"/>
      <protection/>
    </xf>
    <xf numFmtId="0" fontId="9" fillId="34" borderId="0" xfId="0" applyFont="1" applyFill="1" applyAlignment="1" applyProtection="1">
      <alignment vertical="center" shrinkToFit="1"/>
      <protection/>
    </xf>
    <xf numFmtId="0" fontId="0" fillId="34" borderId="0" xfId="0" applyFill="1" applyBorder="1" applyAlignment="1" applyProtection="1">
      <alignment vertical="center"/>
      <protection/>
    </xf>
    <xf numFmtId="0" fontId="17" fillId="34" borderId="0" xfId="0" applyFont="1" applyFill="1" applyBorder="1" applyAlignment="1" applyProtection="1">
      <alignment horizontal="center" vertical="center"/>
      <protection/>
    </xf>
    <xf numFmtId="3" fontId="5" fillId="39" borderId="25" xfId="0" applyNumberFormat="1" applyFont="1" applyFill="1" applyBorder="1" applyAlignment="1" applyProtection="1">
      <alignment vertical="center"/>
      <protection/>
    </xf>
    <xf numFmtId="177" fontId="5" fillId="35" borderId="12" xfId="42" applyNumberFormat="1" applyFont="1" applyFill="1" applyBorder="1" applyAlignment="1" applyProtection="1">
      <alignment vertical="center"/>
      <protection locked="0"/>
    </xf>
    <xf numFmtId="3" fontId="14" fillId="39" borderId="14" xfId="0" applyNumberFormat="1" applyFont="1" applyFill="1" applyBorder="1" applyAlignment="1">
      <alignment horizontal="center" vertical="center"/>
    </xf>
    <xf numFmtId="164" fontId="5" fillId="39" borderId="12" xfId="0" applyNumberFormat="1" applyFont="1" applyFill="1" applyBorder="1" applyAlignment="1" applyProtection="1">
      <alignment vertical="center"/>
      <protection/>
    </xf>
    <xf numFmtId="49" fontId="5" fillId="35" borderId="12" xfId="0" applyNumberFormat="1" applyFont="1" applyFill="1" applyBorder="1" applyAlignment="1" applyProtection="1">
      <alignment vertical="center"/>
      <protection locked="0"/>
    </xf>
    <xf numFmtId="49" fontId="5" fillId="35" borderId="12" xfId="0" applyNumberFormat="1" applyFont="1" applyFill="1" applyBorder="1" applyAlignment="1" applyProtection="1">
      <alignment vertical="center"/>
      <protection locked="0"/>
    </xf>
    <xf numFmtId="0" fontId="28" fillId="0" borderId="0" xfId="0" applyFont="1" applyAlignment="1" applyProtection="1">
      <alignment vertical="center"/>
      <protection/>
    </xf>
    <xf numFmtId="0" fontId="0" fillId="34" borderId="0" xfId="0" applyFill="1" applyAlignment="1" applyProtection="1">
      <alignment vertical="center"/>
      <protection locked="0"/>
    </xf>
    <xf numFmtId="37" fontId="5" fillId="34" borderId="13" xfId="84" applyNumberFormat="1" applyFont="1" applyFill="1" applyBorder="1" applyAlignment="1" applyProtection="1">
      <alignment horizontal="center"/>
      <protection/>
    </xf>
    <xf numFmtId="37" fontId="5" fillId="34" borderId="14" xfId="84" applyNumberFormat="1" applyFont="1" applyFill="1" applyBorder="1" applyAlignment="1" applyProtection="1">
      <alignment horizontal="center"/>
      <protection/>
    </xf>
    <xf numFmtId="0" fontId="5" fillId="34" borderId="0" xfId="84" applyFont="1" applyFill="1" applyBorder="1" applyAlignment="1" applyProtection="1">
      <alignment vertical="center"/>
      <protection locked="0"/>
    </xf>
    <xf numFmtId="0" fontId="25" fillId="34" borderId="0" xfId="84" applyFont="1" applyFill="1" applyBorder="1" applyAlignment="1" applyProtection="1">
      <alignment vertical="center"/>
      <protection locked="0"/>
    </xf>
    <xf numFmtId="194" fontId="25" fillId="35" borderId="12" xfId="84" applyNumberFormat="1" applyFont="1" applyFill="1" applyBorder="1" applyAlignment="1" applyProtection="1">
      <alignment horizontal="center" vertical="center"/>
      <protection locked="0"/>
    </xf>
    <xf numFmtId="0" fontId="5" fillId="34" borderId="26" xfId="84" applyFont="1" applyFill="1" applyBorder="1" applyAlignment="1" applyProtection="1">
      <alignment vertical="center"/>
      <protection/>
    </xf>
    <xf numFmtId="194" fontId="25" fillId="34" borderId="15" xfId="84" applyNumberFormat="1" applyFont="1" applyFill="1" applyBorder="1" applyAlignment="1" applyProtection="1">
      <alignment horizontal="center" vertical="center"/>
      <protection/>
    </xf>
    <xf numFmtId="0" fontId="25" fillId="34" borderId="0" xfId="84" applyFont="1" applyFill="1" applyBorder="1" applyAlignment="1" applyProtection="1">
      <alignment horizontal="left" vertical="center"/>
      <protection/>
    </xf>
    <xf numFmtId="0" fontId="25" fillId="34" borderId="26" xfId="84" applyFont="1" applyFill="1" applyBorder="1" applyAlignment="1" applyProtection="1">
      <alignment vertical="center"/>
      <protection/>
    </xf>
    <xf numFmtId="0" fontId="25" fillId="34" borderId="0" xfId="84" applyFont="1" applyFill="1" applyBorder="1" applyAlignment="1" applyProtection="1">
      <alignment vertical="center"/>
      <protection/>
    </xf>
    <xf numFmtId="194" fontId="25" fillId="34" borderId="21" xfId="84" applyNumberFormat="1" applyFont="1" applyFill="1" applyBorder="1" applyAlignment="1" applyProtection="1">
      <alignment horizontal="center" vertical="center"/>
      <protection/>
    </xf>
    <xf numFmtId="194" fontId="25" fillId="34" borderId="15" xfId="84" applyNumberFormat="1" applyFont="1" applyFill="1" applyBorder="1" applyAlignment="1" applyProtection="1">
      <alignment vertical="center"/>
      <protection/>
    </xf>
    <xf numFmtId="0" fontId="27" fillId="40" borderId="10" xfId="84" applyFont="1" applyFill="1" applyBorder="1" applyAlignment="1" applyProtection="1">
      <alignment vertical="center"/>
      <protection/>
    </xf>
    <xf numFmtId="0" fontId="25" fillId="40" borderId="16" xfId="84" applyFont="1" applyFill="1" applyBorder="1" applyAlignment="1" applyProtection="1">
      <alignment vertical="center"/>
      <protection/>
    </xf>
    <xf numFmtId="0" fontId="5" fillId="40" borderId="16" xfId="84" applyFont="1" applyFill="1" applyBorder="1" applyAlignment="1" applyProtection="1">
      <alignment vertical="center"/>
      <protection/>
    </xf>
    <xf numFmtId="0" fontId="25" fillId="34" borderId="15" xfId="84" applyFont="1" applyFill="1" applyBorder="1" applyAlignment="1" applyProtection="1">
      <alignment horizontal="left" vertical="center"/>
      <protection/>
    </xf>
    <xf numFmtId="194" fontId="27" fillId="40" borderId="21" xfId="84" applyNumberFormat="1" applyFont="1" applyFill="1" applyBorder="1" applyAlignment="1" applyProtection="1">
      <alignment horizontal="center" vertical="center"/>
      <protection/>
    </xf>
    <xf numFmtId="37" fontId="15" fillId="34" borderId="12" xfId="0" applyNumberFormat="1" applyFont="1" applyFill="1" applyBorder="1" applyAlignment="1" applyProtection="1">
      <alignment horizontal="center" vertical="center"/>
      <protection/>
    </xf>
    <xf numFmtId="3" fontId="5" fillId="40" borderId="19" xfId="0" applyNumberFormat="1" applyFont="1" applyFill="1" applyBorder="1" applyAlignment="1" applyProtection="1">
      <alignment vertical="center"/>
      <protection/>
    </xf>
    <xf numFmtId="3" fontId="5" fillId="34" borderId="14" xfId="0" applyNumberFormat="1" applyFont="1" applyFill="1" applyBorder="1" applyAlignment="1" applyProtection="1">
      <alignment vertical="center"/>
      <protection/>
    </xf>
    <xf numFmtId="3" fontId="5" fillId="34" borderId="13" xfId="0" applyNumberFormat="1" applyFont="1" applyFill="1" applyBorder="1" applyAlignment="1" applyProtection="1">
      <alignment vertical="center"/>
      <protection/>
    </xf>
    <xf numFmtId="194" fontId="14" fillId="40" borderId="21" xfId="84" applyNumberFormat="1" applyFont="1" applyFill="1" applyBorder="1" applyAlignment="1" applyProtection="1">
      <alignment horizontal="center" vertical="center"/>
      <protection/>
    </xf>
    <xf numFmtId="0" fontId="14" fillId="40" borderId="10" xfId="84" applyFont="1" applyFill="1" applyBorder="1" applyAlignment="1" applyProtection="1">
      <alignment vertical="center"/>
      <protection/>
    </xf>
    <xf numFmtId="182" fontId="25" fillId="34" borderId="17" xfId="84" applyNumberFormat="1" applyFont="1" applyFill="1" applyBorder="1" applyAlignment="1" applyProtection="1">
      <alignment horizontal="center" vertical="center"/>
      <protection locked="0"/>
    </xf>
    <xf numFmtId="0" fontId="5" fillId="34" borderId="0" xfId="84" applyFont="1" applyFill="1" applyBorder="1" applyAlignment="1" applyProtection="1">
      <alignment vertical="center"/>
      <protection/>
    </xf>
    <xf numFmtId="0" fontId="5" fillId="34" borderId="15" xfId="84" applyFont="1" applyFill="1" applyBorder="1" applyAlignment="1" applyProtection="1">
      <alignment vertical="center"/>
      <protection/>
    </xf>
    <xf numFmtId="0" fontId="25" fillId="34" borderId="15" xfId="84" applyFont="1" applyFill="1" applyBorder="1" applyAlignment="1" applyProtection="1">
      <alignment vertical="center"/>
      <protection/>
    </xf>
    <xf numFmtId="194" fontId="14" fillId="34" borderId="15" xfId="84" applyNumberFormat="1" applyFont="1" applyFill="1" applyBorder="1" applyAlignment="1" applyProtection="1">
      <alignment horizontal="center" vertical="center"/>
      <protection/>
    </xf>
    <xf numFmtId="0" fontId="14" fillId="34" borderId="0" xfId="84" applyFont="1" applyFill="1" applyBorder="1" applyAlignment="1" applyProtection="1">
      <alignment horizontal="left" vertical="center"/>
      <protection/>
    </xf>
    <xf numFmtId="0" fontId="14" fillId="34" borderId="0" xfId="84" applyFont="1" applyFill="1" applyBorder="1" applyAlignment="1" applyProtection="1">
      <alignment vertical="center"/>
      <protection/>
    </xf>
    <xf numFmtId="194" fontId="14" fillId="34" borderId="21" xfId="84" applyNumberFormat="1" applyFont="1" applyFill="1" applyBorder="1" applyAlignment="1" applyProtection="1">
      <alignment horizontal="center" vertical="center"/>
      <protection/>
    </xf>
    <xf numFmtId="194" fontId="14" fillId="34" borderId="15" xfId="84" applyNumberFormat="1" applyFont="1" applyFill="1" applyBorder="1" applyAlignment="1" applyProtection="1">
      <alignment vertical="center"/>
      <protection/>
    </xf>
    <xf numFmtId="0" fontId="33" fillId="0" borderId="0" xfId="0" applyFont="1" applyAlignment="1">
      <alignment vertical="center"/>
    </xf>
    <xf numFmtId="182" fontId="5" fillId="35" borderId="26" xfId="85" applyNumberFormat="1" applyFont="1" applyFill="1" applyBorder="1" applyAlignment="1" applyProtection="1">
      <alignment horizontal="center"/>
      <protection locked="0"/>
    </xf>
    <xf numFmtId="0" fontId="25" fillId="34" borderId="15" xfId="85" applyFont="1" applyFill="1" applyBorder="1" applyProtection="1">
      <alignment/>
      <protection/>
    </xf>
    <xf numFmtId="0" fontId="5" fillId="34" borderId="0" xfId="85" applyFont="1" applyFill="1" applyBorder="1" applyProtection="1">
      <alignment/>
      <protection/>
    </xf>
    <xf numFmtId="194" fontId="5" fillId="34" borderId="26" xfId="85" applyNumberFormat="1" applyFont="1" applyFill="1" applyBorder="1" applyAlignment="1" applyProtection="1">
      <alignment horizontal="center"/>
      <protection/>
    </xf>
    <xf numFmtId="194" fontId="5" fillId="40" borderId="16" xfId="85" applyNumberFormat="1" applyFont="1" applyFill="1" applyBorder="1" applyAlignment="1" applyProtection="1">
      <alignment horizontal="center"/>
      <protection/>
    </xf>
    <xf numFmtId="0" fontId="5" fillId="0" borderId="0" xfId="85" applyFont="1" applyFill="1" applyBorder="1" applyProtection="1">
      <alignment/>
      <protection/>
    </xf>
    <xf numFmtId="0" fontId="5" fillId="34" borderId="15" xfId="85" applyFont="1" applyFill="1" applyBorder="1" applyProtection="1">
      <alignment/>
      <protection/>
    </xf>
    <xf numFmtId="0" fontId="5" fillId="34" borderId="26" xfId="85" applyFont="1" applyFill="1" applyBorder="1" applyProtection="1">
      <alignment/>
      <protection/>
    </xf>
    <xf numFmtId="178" fontId="5" fillId="34" borderId="26" xfId="85" applyNumberFormat="1" applyFont="1" applyFill="1" applyBorder="1" applyAlignment="1" applyProtection="1">
      <alignment horizontal="center"/>
      <protection/>
    </xf>
    <xf numFmtId="0" fontId="5" fillId="40" borderId="21" xfId="85" applyFont="1" applyFill="1" applyBorder="1" applyProtection="1">
      <alignment/>
      <protection/>
    </xf>
    <xf numFmtId="0" fontId="5" fillId="40" borderId="10" xfId="85" applyFont="1" applyFill="1" applyBorder="1" applyProtection="1">
      <alignment/>
      <protection/>
    </xf>
    <xf numFmtId="0" fontId="5" fillId="0" borderId="0" xfId="85" applyFont="1" applyProtection="1">
      <alignment/>
      <protection/>
    </xf>
    <xf numFmtId="194" fontId="5" fillId="34" borderId="16" xfId="85" applyNumberFormat="1" applyFont="1" applyFill="1" applyBorder="1" applyAlignment="1" applyProtection="1">
      <alignment horizontal="center"/>
      <protection/>
    </xf>
    <xf numFmtId="3" fontId="5" fillId="39" borderId="25" xfId="0" applyNumberFormat="1" applyFont="1" applyFill="1" applyBorder="1" applyAlignment="1" applyProtection="1">
      <alignment horizontal="center" vertical="center"/>
      <protection/>
    </xf>
    <xf numFmtId="37" fontId="5" fillId="35" borderId="19" xfId="78" applyNumberFormat="1" applyFont="1" applyFill="1" applyBorder="1" applyAlignment="1" applyProtection="1">
      <alignment vertical="center"/>
      <protection locked="0"/>
    </xf>
    <xf numFmtId="0" fontId="0" fillId="40" borderId="14" xfId="0" applyFill="1" applyBorder="1" applyAlignment="1" applyProtection="1">
      <alignment vertical="center"/>
      <protection/>
    </xf>
    <xf numFmtId="0" fontId="17" fillId="40" borderId="16" xfId="0" applyFont="1" applyFill="1" applyBorder="1" applyAlignment="1" applyProtection="1">
      <alignment horizontal="center" vertical="center"/>
      <protection/>
    </xf>
    <xf numFmtId="164" fontId="5" fillId="34" borderId="0" xfId="0" applyNumberFormat="1" applyFont="1" applyFill="1" applyBorder="1" applyAlignment="1" applyProtection="1">
      <alignment vertical="center"/>
      <protection/>
    </xf>
    <xf numFmtId="3" fontId="5" fillId="34" borderId="12" xfId="0" applyNumberFormat="1" applyFont="1" applyFill="1" applyBorder="1" applyAlignment="1" applyProtection="1">
      <alignment horizontal="right" vertical="center"/>
      <protection/>
    </xf>
    <xf numFmtId="3" fontId="5" fillId="35" borderId="14" xfId="42" applyNumberFormat="1" applyFont="1" applyFill="1" applyBorder="1" applyAlignment="1" applyProtection="1">
      <alignment horizontal="right" vertical="center"/>
      <protection locked="0"/>
    </xf>
    <xf numFmtId="3" fontId="5" fillId="35" borderId="12" xfId="42" applyNumberFormat="1" applyFont="1" applyFill="1" applyBorder="1" applyAlignment="1" applyProtection="1">
      <alignment horizontal="right" vertical="center"/>
      <protection locked="0"/>
    </xf>
    <xf numFmtId="37" fontId="5" fillId="34" borderId="10" xfId="0" applyNumberFormat="1" applyFont="1" applyFill="1" applyBorder="1" applyAlignment="1" applyProtection="1">
      <alignment vertical="center"/>
      <protection locked="0"/>
    </xf>
    <xf numFmtId="0" fontId="4" fillId="34" borderId="10" xfId="0" applyFont="1" applyFill="1" applyBorder="1" applyAlignment="1" applyProtection="1">
      <alignment vertical="center"/>
      <protection/>
    </xf>
    <xf numFmtId="0" fontId="5" fillId="40" borderId="21" xfId="0" applyFont="1" applyFill="1" applyBorder="1" applyAlignment="1">
      <alignment vertical="center"/>
    </xf>
    <xf numFmtId="0" fontId="5" fillId="40" borderId="10" xfId="0" applyFont="1" applyFill="1" applyBorder="1" applyAlignment="1">
      <alignment vertical="center"/>
    </xf>
    <xf numFmtId="194" fontId="5" fillId="40" borderId="16" xfId="0" applyNumberFormat="1" applyFont="1" applyFill="1" applyBorder="1" applyAlignment="1">
      <alignment horizontal="center" vertical="center"/>
    </xf>
    <xf numFmtId="0" fontId="9" fillId="38" borderId="12" xfId="0" applyFont="1" applyFill="1" applyBorder="1" applyAlignment="1" applyProtection="1">
      <alignment vertical="center" shrinkToFit="1"/>
      <protection/>
    </xf>
    <xf numFmtId="37" fontId="5" fillId="34" borderId="0" xfId="0" applyNumberFormat="1" applyFont="1" applyFill="1" applyBorder="1" applyAlignment="1" applyProtection="1">
      <alignment horizontal="center" vertical="center"/>
      <protection/>
    </xf>
    <xf numFmtId="0" fontId="5" fillId="34" borderId="21" xfId="0" applyFont="1" applyFill="1" applyBorder="1" applyAlignment="1" applyProtection="1">
      <alignment vertical="center"/>
      <protection/>
    </xf>
    <xf numFmtId="0" fontId="5" fillId="34" borderId="0" xfId="0" applyFont="1" applyFill="1" applyBorder="1" applyAlignment="1" applyProtection="1">
      <alignment horizontal="center" vertical="center"/>
      <protection/>
    </xf>
    <xf numFmtId="0" fontId="0" fillId="34" borderId="0" xfId="0" applyFill="1" applyBorder="1" applyAlignment="1" applyProtection="1">
      <alignment vertical="center" wrapText="1"/>
      <protection/>
    </xf>
    <xf numFmtId="177" fontId="5" fillId="34" borderId="0" xfId="42" applyNumberFormat="1" applyFont="1" applyFill="1" applyBorder="1" applyAlignment="1" applyProtection="1">
      <alignment vertical="center"/>
      <protection/>
    </xf>
    <xf numFmtId="0" fontId="9" fillId="34" borderId="0" xfId="0" applyFont="1" applyFill="1" applyBorder="1" applyAlignment="1" applyProtection="1">
      <alignment vertical="center" wrapText="1" shrinkToFit="1"/>
      <protection/>
    </xf>
    <xf numFmtId="178" fontId="5" fillId="34" borderId="12" xfId="0" applyNumberFormat="1" applyFont="1" applyFill="1" applyBorder="1" applyAlignment="1" applyProtection="1">
      <alignment horizontal="right" vertical="center"/>
      <protection/>
    </xf>
    <xf numFmtId="196" fontId="5" fillId="34" borderId="12" xfId="0" applyNumberFormat="1" applyFont="1" applyFill="1" applyBorder="1" applyAlignment="1" applyProtection="1">
      <alignment horizontal="right" vertical="center"/>
      <protection/>
    </xf>
    <xf numFmtId="182" fontId="5" fillId="39" borderId="27" xfId="0" applyNumberFormat="1" applyFont="1" applyFill="1" applyBorder="1" applyAlignment="1" applyProtection="1">
      <alignment horizontal="right" vertical="center"/>
      <protection/>
    </xf>
    <xf numFmtId="3" fontId="5" fillId="39" borderId="28" xfId="0" applyNumberFormat="1" applyFont="1" applyFill="1" applyBorder="1" applyAlignment="1" applyProtection="1">
      <alignment horizontal="right" vertical="center"/>
      <protection/>
    </xf>
    <xf numFmtId="0" fontId="5" fillId="34" borderId="12" xfId="0" applyFont="1" applyFill="1" applyBorder="1" applyAlignment="1" applyProtection="1">
      <alignment horizontal="right" vertical="center"/>
      <protection/>
    </xf>
    <xf numFmtId="3" fontId="5" fillId="34" borderId="12" xfId="78" applyNumberFormat="1" applyFont="1" applyFill="1" applyBorder="1" applyAlignment="1" applyProtection="1">
      <alignment vertical="center"/>
      <protection/>
    </xf>
    <xf numFmtId="0" fontId="5" fillId="34" borderId="13" xfId="78" applyFont="1" applyFill="1" applyBorder="1" applyAlignment="1" applyProtection="1">
      <alignment horizontal="center" vertical="center"/>
      <protection/>
    </xf>
    <xf numFmtId="0" fontId="5" fillId="34" borderId="14" xfId="78" applyFont="1" applyFill="1" applyBorder="1" applyAlignment="1" applyProtection="1">
      <alignment horizontal="center" vertical="center"/>
      <protection/>
    </xf>
    <xf numFmtId="0" fontId="5" fillId="0" borderId="0" xfId="0" applyFont="1" applyFill="1" applyAlignment="1" applyProtection="1">
      <alignment vertical="center"/>
      <protection locked="0"/>
    </xf>
    <xf numFmtId="0" fontId="5" fillId="34" borderId="10" xfId="0" applyFont="1" applyFill="1" applyBorder="1" applyAlignment="1" applyProtection="1">
      <alignment vertical="center"/>
      <protection locked="0"/>
    </xf>
    <xf numFmtId="0" fontId="27" fillId="40" borderId="15" xfId="84" applyFont="1" applyFill="1" applyBorder="1" applyAlignment="1" applyProtection="1">
      <alignment vertical="center"/>
      <protection locked="0"/>
    </xf>
    <xf numFmtId="0" fontId="5" fillId="40" borderId="0" xfId="84" applyFont="1" applyFill="1" applyBorder="1" applyAlignment="1" applyProtection="1">
      <alignment vertical="center"/>
      <protection locked="0"/>
    </xf>
    <xf numFmtId="0" fontId="25" fillId="40" borderId="0" xfId="84" applyFont="1" applyFill="1" applyBorder="1" applyAlignment="1" applyProtection="1">
      <alignment vertical="center"/>
      <protection locked="0"/>
    </xf>
    <xf numFmtId="194" fontId="27" fillId="40" borderId="17" xfId="84" applyNumberFormat="1" applyFont="1" applyFill="1" applyBorder="1" applyAlignment="1" applyProtection="1">
      <alignment horizontal="center" vertical="center"/>
      <protection locked="0"/>
    </xf>
    <xf numFmtId="0" fontId="5" fillId="40" borderId="16" xfId="0" applyFont="1" applyFill="1" applyBorder="1" applyAlignment="1" applyProtection="1">
      <alignment vertical="center"/>
      <protection locked="0"/>
    </xf>
    <xf numFmtId="37" fontId="5" fillId="34" borderId="0" xfId="0" applyNumberFormat="1" applyFont="1" applyFill="1" applyAlignment="1" applyProtection="1">
      <alignment vertical="center"/>
      <protection locked="0"/>
    </xf>
    <xf numFmtId="0" fontId="5" fillId="34" borderId="26" xfId="63" applyNumberFormat="1" applyFont="1" applyFill="1" applyBorder="1" applyAlignment="1" applyProtection="1">
      <alignment horizontal="right" vertical="center"/>
      <protection/>
    </xf>
    <xf numFmtId="0" fontId="17" fillId="0" borderId="0" xfId="0" applyFont="1" applyAlignment="1" applyProtection="1">
      <alignment vertical="center"/>
      <protection locked="0"/>
    </xf>
    <xf numFmtId="194" fontId="25" fillId="35" borderId="12" xfId="0" applyNumberFormat="1" applyFont="1" applyFill="1" applyBorder="1" applyAlignment="1" applyProtection="1">
      <alignment horizontal="center" vertical="center"/>
      <protection locked="0"/>
    </xf>
    <xf numFmtId="0" fontId="25" fillId="34" borderId="0" xfId="0" applyFont="1" applyFill="1" applyBorder="1" applyAlignment="1" applyProtection="1">
      <alignment vertical="center"/>
      <protection/>
    </xf>
    <xf numFmtId="0" fontId="25" fillId="34" borderId="15" xfId="0" applyFont="1" applyFill="1" applyBorder="1" applyAlignment="1" applyProtection="1">
      <alignment horizontal="left" vertical="center"/>
      <protection/>
    </xf>
    <xf numFmtId="3" fontId="5" fillId="35" borderId="19" xfId="0" applyNumberFormat="1" applyFont="1" applyFill="1" applyBorder="1" applyAlignment="1" applyProtection="1">
      <alignment horizontal="right" vertical="center"/>
      <protection locked="0"/>
    </xf>
    <xf numFmtId="0" fontId="25" fillId="34" borderId="15" xfId="0" applyFont="1" applyFill="1" applyBorder="1" applyAlignment="1" applyProtection="1">
      <alignment vertical="center"/>
      <protection/>
    </xf>
    <xf numFmtId="194" fontId="25" fillId="34" borderId="26" xfId="0" applyNumberFormat="1" applyFont="1" applyFill="1" applyBorder="1" applyAlignment="1" applyProtection="1">
      <alignment horizontal="center" vertical="center"/>
      <protection/>
    </xf>
    <xf numFmtId="194" fontId="27" fillId="40" borderId="17" xfId="0" applyNumberFormat="1" applyFont="1" applyFill="1" applyBorder="1" applyAlignment="1" applyProtection="1">
      <alignment horizontal="center" vertical="center"/>
      <protection/>
    </xf>
    <xf numFmtId="0" fontId="5" fillId="40" borderId="0" xfId="0" applyFont="1" applyFill="1" applyBorder="1" applyAlignment="1" applyProtection="1">
      <alignment vertical="center"/>
      <protection/>
    </xf>
    <xf numFmtId="0" fontId="25" fillId="40" borderId="0" xfId="0" applyFont="1" applyFill="1" applyBorder="1" applyAlignment="1" applyProtection="1">
      <alignment vertical="center"/>
      <protection/>
    </xf>
    <xf numFmtId="0" fontId="27" fillId="40" borderId="15" xfId="0" applyFont="1" applyFill="1" applyBorder="1" applyAlignment="1" applyProtection="1">
      <alignment vertical="center"/>
      <protection/>
    </xf>
    <xf numFmtId="194" fontId="27" fillId="40" borderId="16" xfId="0" applyNumberFormat="1" applyFont="1" applyFill="1" applyBorder="1" applyAlignment="1" applyProtection="1">
      <alignment horizontal="center" vertical="center"/>
      <protection locked="0"/>
    </xf>
    <xf numFmtId="197" fontId="5" fillId="35" borderId="12" xfId="0" applyNumberFormat="1" applyFont="1" applyFill="1" applyBorder="1" applyAlignment="1" applyProtection="1">
      <alignment vertical="center"/>
      <protection locked="0"/>
    </xf>
    <xf numFmtId="197" fontId="5" fillId="35" borderId="12" xfId="0" applyNumberFormat="1" applyFont="1" applyFill="1" applyBorder="1" applyAlignment="1" applyProtection="1">
      <alignment vertical="center"/>
      <protection locked="0"/>
    </xf>
    <xf numFmtId="37" fontId="25" fillId="34" borderId="21" xfId="0" applyNumberFormat="1" applyFont="1" applyFill="1" applyBorder="1" applyAlignment="1" applyProtection="1">
      <alignment horizontal="left" vertical="center"/>
      <protection/>
    </xf>
    <xf numFmtId="0" fontId="30" fillId="34" borderId="10" xfId="0" applyFont="1" applyFill="1" applyBorder="1" applyAlignment="1">
      <alignment horizontal="left" vertical="center"/>
    </xf>
    <xf numFmtId="197" fontId="5" fillId="34" borderId="0" xfId="0" applyNumberFormat="1" applyFont="1" applyFill="1" applyAlignment="1" applyProtection="1">
      <alignment horizontal="center" vertical="center"/>
      <protection/>
    </xf>
    <xf numFmtId="0" fontId="31" fillId="0" borderId="0" xfId="0" applyFont="1" applyAlignment="1" applyProtection="1">
      <alignment vertical="center"/>
      <protection locked="0"/>
    </xf>
    <xf numFmtId="3" fontId="5" fillId="35" borderId="19" xfId="0" applyNumberFormat="1" applyFont="1" applyFill="1" applyBorder="1" applyAlignment="1" applyProtection="1">
      <alignment vertical="center"/>
      <protection locked="0"/>
    </xf>
    <xf numFmtId="182" fontId="27" fillId="34" borderId="17" xfId="75" applyNumberFormat="1" applyFont="1" applyFill="1" applyBorder="1" applyAlignment="1" applyProtection="1">
      <alignment horizontal="center" vertical="center"/>
      <protection/>
    </xf>
    <xf numFmtId="0" fontId="5" fillId="34" borderId="0" xfId="75" applyFont="1" applyFill="1" applyBorder="1" applyAlignment="1" applyProtection="1">
      <alignment vertical="center"/>
      <protection/>
    </xf>
    <xf numFmtId="194" fontId="25" fillId="35" borderId="12" xfId="75" applyNumberFormat="1" applyFont="1" applyFill="1" applyBorder="1" applyAlignment="1" applyProtection="1">
      <alignment horizontal="center" vertical="center"/>
      <protection locked="0"/>
    </xf>
    <xf numFmtId="0" fontId="25" fillId="34" borderId="0" xfId="75" applyFont="1" applyFill="1" applyBorder="1" applyAlignment="1" applyProtection="1">
      <alignment vertical="center"/>
      <protection/>
    </xf>
    <xf numFmtId="0" fontId="25" fillId="34" borderId="15" xfId="75" applyFont="1" applyFill="1" applyBorder="1" applyAlignment="1" applyProtection="1">
      <alignment horizontal="left" vertical="center"/>
      <protection/>
    </xf>
    <xf numFmtId="0" fontId="25" fillId="34" borderId="15" xfId="75" applyFont="1" applyFill="1" applyBorder="1" applyAlignment="1" applyProtection="1">
      <alignment vertical="center"/>
      <protection/>
    </xf>
    <xf numFmtId="194" fontId="25" fillId="34" borderId="26" xfId="75" applyNumberFormat="1" applyFont="1" applyFill="1" applyBorder="1" applyAlignment="1" applyProtection="1">
      <alignment horizontal="center" vertical="center"/>
      <protection/>
    </xf>
    <xf numFmtId="194" fontId="27" fillId="40" borderId="17" xfId="75" applyNumberFormat="1" applyFont="1" applyFill="1" applyBorder="1" applyAlignment="1" applyProtection="1">
      <alignment horizontal="center" vertical="center"/>
      <protection/>
    </xf>
    <xf numFmtId="0" fontId="5" fillId="40" borderId="0" xfId="75" applyFont="1" applyFill="1" applyBorder="1" applyAlignment="1" applyProtection="1">
      <alignment vertical="center"/>
      <protection/>
    </xf>
    <xf numFmtId="0" fontId="25" fillId="40" borderId="0" xfId="75" applyFont="1" applyFill="1" applyBorder="1" applyAlignment="1" applyProtection="1">
      <alignment vertical="center"/>
      <protection/>
    </xf>
    <xf numFmtId="0" fontId="27" fillId="40" borderId="15" xfId="75" applyFont="1" applyFill="1" applyBorder="1" applyAlignment="1" applyProtection="1">
      <alignment vertical="center"/>
      <protection/>
    </xf>
    <xf numFmtId="194" fontId="27" fillId="40" borderId="16" xfId="75" applyNumberFormat="1" applyFont="1" applyFill="1" applyBorder="1" applyAlignment="1" applyProtection="1">
      <alignment horizontal="center" vertical="center"/>
      <protection locked="0"/>
    </xf>
    <xf numFmtId="37" fontId="25" fillId="34" borderId="21" xfId="75" applyNumberFormat="1" applyFont="1" applyFill="1" applyBorder="1" applyAlignment="1" applyProtection="1">
      <alignment horizontal="left" vertical="center"/>
      <protection/>
    </xf>
    <xf numFmtId="0" fontId="30" fillId="34" borderId="10" xfId="75" applyFont="1" applyFill="1" applyBorder="1" applyAlignment="1">
      <alignment horizontal="left" vertical="center"/>
      <protection/>
    </xf>
    <xf numFmtId="0" fontId="5" fillId="34" borderId="15" xfId="75" applyFont="1" applyFill="1" applyBorder="1" applyAlignment="1" applyProtection="1">
      <alignment vertical="center"/>
      <protection/>
    </xf>
    <xf numFmtId="0" fontId="5" fillId="34" borderId="26" xfId="75" applyFont="1" applyFill="1" applyBorder="1" applyAlignment="1" applyProtection="1">
      <alignment vertical="center"/>
      <protection/>
    </xf>
    <xf numFmtId="194" fontId="25" fillId="34" borderId="15" xfId="75" applyNumberFormat="1" applyFont="1" applyFill="1" applyBorder="1" applyAlignment="1" applyProtection="1">
      <alignment horizontal="center" vertical="center"/>
      <protection/>
    </xf>
    <xf numFmtId="0" fontId="25" fillId="34" borderId="0" xfId="75" applyFont="1" applyFill="1" applyBorder="1" applyAlignment="1" applyProtection="1">
      <alignment horizontal="left" vertical="center"/>
      <protection/>
    </xf>
    <xf numFmtId="0" fontId="25" fillId="34" borderId="26" xfId="75" applyFont="1" applyFill="1" applyBorder="1" applyAlignment="1" applyProtection="1">
      <alignment vertical="center"/>
      <protection/>
    </xf>
    <xf numFmtId="194" fontId="25" fillId="34" borderId="21" xfId="75" applyNumberFormat="1" applyFont="1" applyFill="1" applyBorder="1" applyAlignment="1" applyProtection="1">
      <alignment horizontal="center" vertical="center"/>
      <protection/>
    </xf>
    <xf numFmtId="0" fontId="5" fillId="40" borderId="16" xfId="75" applyFont="1" applyFill="1" applyBorder="1" applyAlignment="1" applyProtection="1">
      <alignment vertical="center"/>
      <protection/>
    </xf>
    <xf numFmtId="194" fontId="14" fillId="34" borderId="15" xfId="75" applyNumberFormat="1" applyFont="1" applyFill="1" applyBorder="1" applyAlignment="1" applyProtection="1">
      <alignment horizontal="center" vertical="center"/>
      <protection/>
    </xf>
    <xf numFmtId="0" fontId="14" fillId="34" borderId="0" xfId="75" applyFont="1" applyFill="1" applyBorder="1" applyAlignment="1" applyProtection="1">
      <alignment vertical="center"/>
      <protection/>
    </xf>
    <xf numFmtId="194" fontId="14" fillId="34" borderId="21" xfId="75" applyNumberFormat="1" applyFont="1" applyFill="1" applyBorder="1" applyAlignment="1" applyProtection="1">
      <alignment horizontal="center" vertical="center"/>
      <protection/>
    </xf>
    <xf numFmtId="194" fontId="14" fillId="34" borderId="15" xfId="75" applyNumberFormat="1" applyFont="1" applyFill="1" applyBorder="1" applyAlignment="1" applyProtection="1">
      <alignment vertical="center"/>
      <protection/>
    </xf>
    <xf numFmtId="194" fontId="14" fillId="40" borderId="21" xfId="75" applyNumberFormat="1" applyFont="1" applyFill="1" applyBorder="1" applyAlignment="1" applyProtection="1">
      <alignment horizontal="center" vertical="center"/>
      <protection/>
    </xf>
    <xf numFmtId="0" fontId="14" fillId="40" borderId="10" xfId="75" applyFont="1" applyFill="1" applyBorder="1" applyAlignment="1" applyProtection="1">
      <alignment vertical="center"/>
      <protection/>
    </xf>
    <xf numFmtId="1" fontId="5" fillId="34" borderId="24" xfId="0" applyNumberFormat="1" applyFont="1" applyFill="1" applyBorder="1" applyAlignment="1" applyProtection="1">
      <alignment horizontal="center" vertical="center"/>
      <protection/>
    </xf>
    <xf numFmtId="37" fontId="5" fillId="34" borderId="24" xfId="0" applyNumberFormat="1" applyFont="1" applyFill="1" applyBorder="1" applyAlignment="1" applyProtection="1">
      <alignment horizontal="center" vertical="center"/>
      <protection/>
    </xf>
    <xf numFmtId="182" fontId="5" fillId="34" borderId="0" xfId="0" applyNumberFormat="1" applyFont="1" applyFill="1" applyBorder="1" applyAlignment="1" applyProtection="1">
      <alignment horizontal="right" vertical="center"/>
      <protection locked="0"/>
    </xf>
    <xf numFmtId="182" fontId="25" fillId="34" borderId="15" xfId="0" applyNumberFormat="1" applyFont="1" applyFill="1" applyBorder="1" applyAlignment="1" applyProtection="1">
      <alignment horizontal="center" vertical="center"/>
      <protection/>
    </xf>
    <xf numFmtId="0" fontId="25" fillId="34" borderId="0" xfId="0" applyFont="1" applyFill="1" applyBorder="1" applyAlignment="1" applyProtection="1">
      <alignment horizontal="left" vertical="center"/>
      <protection/>
    </xf>
    <xf numFmtId="0" fontId="26" fillId="34" borderId="0" xfId="0" applyFont="1" applyFill="1" applyBorder="1" applyAlignment="1" applyProtection="1">
      <alignment horizontal="center" vertical="center"/>
      <protection/>
    </xf>
    <xf numFmtId="0" fontId="0" fillId="34" borderId="26" xfId="0" applyFill="1" applyBorder="1" applyAlignment="1" applyProtection="1">
      <alignment vertical="center"/>
      <protection/>
    </xf>
    <xf numFmtId="182" fontId="25" fillId="40" borderId="21" xfId="0" applyNumberFormat="1" applyFont="1" applyFill="1" applyBorder="1" applyAlignment="1" applyProtection="1">
      <alignment horizontal="center" vertical="center"/>
      <protection/>
    </xf>
    <xf numFmtId="182" fontId="25" fillId="34" borderId="19" xfId="0" applyNumberFormat="1" applyFont="1" applyFill="1" applyBorder="1" applyAlignment="1" applyProtection="1">
      <alignment horizontal="center" vertical="center"/>
      <protection/>
    </xf>
    <xf numFmtId="182" fontId="25" fillId="40" borderId="19" xfId="0" applyNumberFormat="1" applyFont="1" applyFill="1" applyBorder="1" applyAlignment="1" applyProtection="1">
      <alignment horizontal="center" vertical="center"/>
      <protection/>
    </xf>
    <xf numFmtId="0" fontId="25" fillId="34" borderId="10" xfId="0" applyFont="1" applyFill="1" applyBorder="1" applyAlignment="1" applyProtection="1">
      <alignment horizontal="left" vertical="center"/>
      <protection/>
    </xf>
    <xf numFmtId="0" fontId="26" fillId="34" borderId="10" xfId="0" applyFont="1" applyFill="1" applyBorder="1" applyAlignment="1" applyProtection="1">
      <alignment horizontal="center" vertical="center"/>
      <protection/>
    </xf>
    <xf numFmtId="49" fontId="5" fillId="34" borderId="0" xfId="0" applyNumberFormat="1" applyFont="1" applyFill="1" applyAlignment="1" applyProtection="1">
      <alignment horizontal="center" vertical="center"/>
      <protection/>
    </xf>
    <xf numFmtId="0" fontId="17" fillId="0" borderId="0" xfId="368" applyFont="1" applyAlignment="1">
      <alignment horizontal="left" vertical="center"/>
      <protection/>
    </xf>
    <xf numFmtId="0" fontId="5" fillId="0" borderId="0" xfId="73" applyFont="1">
      <alignment/>
      <protection/>
    </xf>
    <xf numFmtId="0" fontId="34" fillId="0" borderId="0" xfId="73" applyFont="1">
      <alignment/>
      <protection/>
    </xf>
    <xf numFmtId="0" fontId="0" fillId="0" borderId="0" xfId="73">
      <alignment/>
      <protection/>
    </xf>
    <xf numFmtId="0" fontId="5" fillId="35" borderId="12" xfId="0" applyFont="1" applyFill="1" applyBorder="1" applyAlignment="1" applyProtection="1">
      <alignment vertical="center"/>
      <protection locked="0"/>
    </xf>
    <xf numFmtId="164" fontId="5" fillId="35" borderId="12" xfId="0" applyNumberFormat="1" applyFont="1" applyFill="1" applyBorder="1" applyAlignment="1" applyProtection="1">
      <alignment vertical="center"/>
      <protection locked="0"/>
    </xf>
    <xf numFmtId="0" fontId="23" fillId="0" borderId="0" xfId="368">
      <alignment/>
      <protection/>
    </xf>
    <xf numFmtId="187" fontId="14" fillId="0" borderId="0" xfId="368" applyNumberFormat="1" applyFont="1" applyAlignment="1">
      <alignment horizontal="left" vertical="center"/>
      <protection/>
    </xf>
    <xf numFmtId="49" fontId="5" fillId="0" borderId="0" xfId="368" applyNumberFormat="1" applyFont="1" applyAlignment="1">
      <alignment horizontal="left" vertical="center"/>
      <protection/>
    </xf>
    <xf numFmtId="0" fontId="14" fillId="0" borderId="0" xfId="368" applyFont="1" applyAlignment="1">
      <alignment horizontal="left" vertical="center"/>
      <protection/>
    </xf>
    <xf numFmtId="188" fontId="14" fillId="0" borderId="0" xfId="368" applyNumberFormat="1" applyFont="1" applyAlignment="1">
      <alignment horizontal="left" vertical="center"/>
      <protection/>
    </xf>
    <xf numFmtId="0" fontId="23" fillId="35" borderId="0" xfId="368" applyFill="1" applyAlignment="1" applyProtection="1">
      <alignment horizontal="left" vertical="center"/>
      <protection locked="0"/>
    </xf>
    <xf numFmtId="0" fontId="5" fillId="0" borderId="0" xfId="368" applyFont="1" applyAlignment="1">
      <alignment horizontal="left" vertical="center"/>
      <protection/>
    </xf>
    <xf numFmtId="49" fontId="5" fillId="35" borderId="0" xfId="368" applyNumberFormat="1" applyFont="1" applyFill="1" applyAlignment="1" applyProtection="1">
      <alignment horizontal="left" vertical="center"/>
      <protection locked="0"/>
    </xf>
    <xf numFmtId="0" fontId="5" fillId="35" borderId="0" xfId="368" applyFont="1" applyFill="1" applyAlignment="1" applyProtection="1">
      <alignment horizontal="left" vertical="center"/>
      <protection locked="0"/>
    </xf>
    <xf numFmtId="0" fontId="35" fillId="0" borderId="0" xfId="368" applyFont="1">
      <alignment/>
      <protection/>
    </xf>
    <xf numFmtId="187" fontId="36" fillId="0" borderId="0" xfId="368" applyNumberFormat="1" applyFont="1" applyAlignment="1">
      <alignment horizontal="left" vertical="center"/>
      <protection/>
    </xf>
    <xf numFmtId="0" fontId="36" fillId="0" borderId="0" xfId="368" applyNumberFormat="1" applyFont="1" applyAlignment="1">
      <alignment horizontal="left" vertical="center"/>
      <protection/>
    </xf>
    <xf numFmtId="1" fontId="36" fillId="0" borderId="0" xfId="368" applyNumberFormat="1" applyFont="1" applyAlignment="1">
      <alignment horizontal="left" vertical="center"/>
      <protection/>
    </xf>
    <xf numFmtId="0" fontId="37" fillId="0" borderId="0" xfId="368" applyFont="1" applyAlignment="1">
      <alignment horizontal="left" vertical="center"/>
      <protection/>
    </xf>
    <xf numFmtId="49" fontId="5" fillId="0" borderId="0" xfId="368" applyNumberFormat="1" applyFont="1" applyFill="1" applyAlignment="1" applyProtection="1">
      <alignment horizontal="left" vertical="center"/>
      <protection locked="0"/>
    </xf>
    <xf numFmtId="37" fontId="5" fillId="34" borderId="26" xfId="0" applyNumberFormat="1" applyFont="1" applyFill="1" applyBorder="1" applyAlignment="1" applyProtection="1">
      <alignment horizontal="right" vertical="center"/>
      <protection/>
    </xf>
    <xf numFmtId="0" fontId="31" fillId="0" borderId="0" xfId="0" applyFont="1" applyAlignment="1" applyProtection="1">
      <alignment/>
      <protection locked="0"/>
    </xf>
    <xf numFmtId="197" fontId="5" fillId="35" borderId="12" xfId="78" applyNumberFormat="1" applyFont="1" applyFill="1" applyBorder="1" applyAlignment="1" applyProtection="1">
      <alignment vertical="center"/>
      <protection locked="0"/>
    </xf>
    <xf numFmtId="0" fontId="31" fillId="0" borderId="0" xfId="0" applyFont="1" applyAlignment="1" applyProtection="1">
      <alignment vertical="center"/>
      <protection/>
    </xf>
    <xf numFmtId="37" fontId="5" fillId="35" borderId="10" xfId="0" applyNumberFormat="1" applyFont="1" applyFill="1" applyBorder="1" applyAlignment="1" applyProtection="1">
      <alignment horizontal="left" vertical="center"/>
      <protection locked="0"/>
    </xf>
    <xf numFmtId="37" fontId="5" fillId="35" borderId="11" xfId="0" applyNumberFormat="1" applyFont="1" applyFill="1" applyBorder="1" applyAlignment="1" applyProtection="1">
      <alignment horizontal="left" vertical="center"/>
      <protection locked="0"/>
    </xf>
    <xf numFmtId="164" fontId="5" fillId="35" borderId="12" xfId="0" applyNumberFormat="1" applyFont="1" applyFill="1" applyBorder="1" applyAlignment="1" applyProtection="1">
      <alignment/>
      <protection locked="0"/>
    </xf>
    <xf numFmtId="0" fontId="5" fillId="35" borderId="10" xfId="0" applyFont="1" applyFill="1" applyBorder="1" applyAlignment="1" applyProtection="1">
      <alignment/>
      <protection locked="0"/>
    </xf>
    <xf numFmtId="0" fontId="5" fillId="35" borderId="11" xfId="0" applyFont="1" applyFill="1" applyBorder="1" applyAlignment="1" applyProtection="1">
      <alignment/>
      <protection locked="0"/>
    </xf>
    <xf numFmtId="0" fontId="5" fillId="35" borderId="0" xfId="0" applyFont="1" applyFill="1" applyAlignment="1" applyProtection="1">
      <alignment/>
      <protection locked="0"/>
    </xf>
    <xf numFmtId="0" fontId="5" fillId="35" borderId="12" xfId="0" applyFont="1" applyFill="1" applyBorder="1" applyAlignment="1" applyProtection="1">
      <alignment horizontal="center"/>
      <protection locked="0"/>
    </xf>
    <xf numFmtId="177" fontId="5" fillId="35" borderId="12" xfId="42" applyNumberFormat="1" applyFont="1" applyFill="1" applyBorder="1" applyAlignment="1" applyProtection="1">
      <alignment horizontal="center" vertical="center"/>
      <protection locked="0"/>
    </xf>
    <xf numFmtId="0" fontId="5" fillId="35" borderId="14" xfId="0" applyFont="1" applyFill="1" applyBorder="1" applyAlignment="1" applyProtection="1">
      <alignment horizontal="center"/>
      <protection locked="0"/>
    </xf>
    <xf numFmtId="0" fontId="5" fillId="35" borderId="12" xfId="0" applyFont="1" applyFill="1" applyBorder="1" applyAlignment="1" applyProtection="1">
      <alignment/>
      <protection locked="0"/>
    </xf>
    <xf numFmtId="174" fontId="5" fillId="35" borderId="12" xfId="0" applyNumberFormat="1" applyFont="1" applyFill="1" applyBorder="1" applyAlignment="1" applyProtection="1">
      <alignment horizontal="center"/>
      <protection locked="0"/>
    </xf>
    <xf numFmtId="2" fontId="5" fillId="35" borderId="12" xfId="0" applyNumberFormat="1" applyFont="1" applyFill="1" applyBorder="1" applyAlignment="1" applyProtection="1">
      <alignment horizontal="center"/>
      <protection locked="0"/>
    </xf>
    <xf numFmtId="3" fontId="5" fillId="35" borderId="12" xfId="0" applyNumberFormat="1" applyFont="1" applyFill="1" applyBorder="1" applyAlignment="1" applyProtection="1">
      <alignment horizontal="center"/>
      <protection locked="0"/>
    </xf>
    <xf numFmtId="37" fontId="5" fillId="35" borderId="19" xfId="0" applyNumberFormat="1" applyFont="1" applyFill="1" applyBorder="1" applyAlignment="1" applyProtection="1">
      <alignment/>
      <protection locked="0"/>
    </xf>
    <xf numFmtId="0" fontId="5" fillId="35" borderId="12" xfId="0" applyFont="1" applyFill="1" applyBorder="1" applyAlignment="1" applyProtection="1">
      <alignment horizontal="left"/>
      <protection locked="0"/>
    </xf>
    <xf numFmtId="0" fontId="5" fillId="35" borderId="12" xfId="0" applyFont="1" applyFill="1" applyBorder="1" applyAlignment="1" applyProtection="1">
      <alignment horizontal="left"/>
      <protection locked="0"/>
    </xf>
    <xf numFmtId="0" fontId="5" fillId="35" borderId="19" xfId="0" applyFont="1" applyFill="1" applyBorder="1" applyAlignment="1" applyProtection="1">
      <alignment/>
      <protection locked="0"/>
    </xf>
    <xf numFmtId="37" fontId="5" fillId="35" borderId="0" xfId="0" applyNumberFormat="1" applyFont="1" applyFill="1" applyAlignment="1" applyProtection="1">
      <alignment horizontal="center" vertical="center"/>
      <protection locked="0"/>
    </xf>
    <xf numFmtId="0" fontId="5" fillId="35" borderId="0" xfId="0" applyFont="1" applyFill="1" applyAlignment="1" applyProtection="1">
      <alignment horizontal="center" vertical="center"/>
      <protection locked="0"/>
    </xf>
    <xf numFmtId="0" fontId="10" fillId="35" borderId="11" xfId="63" applyFill="1" applyBorder="1" applyAlignment="1" applyProtection="1">
      <alignment vertical="center"/>
      <protection locked="0"/>
    </xf>
    <xf numFmtId="3" fontId="5" fillId="40" borderId="12" xfId="0" applyNumberFormat="1" applyFont="1" applyFill="1" applyBorder="1" applyAlignment="1" applyProtection="1">
      <alignment vertical="center"/>
      <protection/>
    </xf>
    <xf numFmtId="37" fontId="15" fillId="3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5"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7" fillId="34" borderId="0" xfId="0" applyFont="1" applyFill="1" applyBorder="1" applyAlignment="1">
      <alignment vertical="center"/>
    </xf>
    <xf numFmtId="0" fontId="19" fillId="0" borderId="0" xfId="0" applyFont="1" applyAlignment="1">
      <alignment vertical="center"/>
    </xf>
    <xf numFmtId="37" fontId="13" fillId="34" borderId="0" xfId="0" applyNumberFormat="1" applyFont="1" applyFill="1" applyBorder="1" applyAlignment="1" applyProtection="1">
      <alignment horizontal="center" vertical="center"/>
      <protection/>
    </xf>
    <xf numFmtId="0" fontId="0" fillId="0" borderId="0" xfId="0" applyAlignment="1" applyProtection="1">
      <alignment horizontal="center" vertical="center"/>
      <protection/>
    </xf>
    <xf numFmtId="0" fontId="5" fillId="33" borderId="18" xfId="0" applyFont="1" applyFill="1" applyBorder="1" applyAlignment="1">
      <alignment vertical="center" wrapText="1"/>
    </xf>
    <xf numFmtId="0" fontId="0" fillId="0" borderId="18" xfId="0" applyBorder="1" applyAlignment="1">
      <alignment vertical="center" wrapText="1"/>
    </xf>
    <xf numFmtId="0" fontId="4"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5" fillId="0" borderId="0" xfId="368" applyFont="1" applyAlignment="1">
      <alignment horizontal="left" vertical="center" wrapText="1"/>
      <protection/>
    </xf>
    <xf numFmtId="0" fontId="23" fillId="0" borderId="0" xfId="368" applyAlignment="1">
      <alignment horizontal="left" vertical="center" wrapText="1"/>
      <protection/>
    </xf>
    <xf numFmtId="0" fontId="13" fillId="0" borderId="0" xfId="368" applyFont="1" applyAlignment="1">
      <alignment horizontal="left" vertical="center"/>
      <protection/>
    </xf>
    <xf numFmtId="37" fontId="13" fillId="34" borderId="0" xfId="0" applyNumberFormat="1" applyFont="1" applyFill="1" applyAlignment="1" applyProtection="1">
      <alignment horizontal="center" vertical="center"/>
      <protection/>
    </xf>
    <xf numFmtId="0" fontId="1"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0" fontId="0" fillId="0" borderId="0" xfId="0" applyAlignment="1">
      <alignment vertical="center"/>
    </xf>
    <xf numFmtId="0" fontId="9" fillId="38" borderId="13" xfId="0" applyFont="1" applyFill="1" applyBorder="1" applyAlignment="1" applyProtection="1">
      <alignment horizontal="center" vertical="center" wrapText="1" shrinkToFit="1"/>
      <protection/>
    </xf>
    <xf numFmtId="0" fontId="0" fillId="0" borderId="14" xfId="0" applyBorder="1" applyAlignment="1">
      <alignment horizontal="center" vertical="center" wrapText="1"/>
    </xf>
    <xf numFmtId="0" fontId="5" fillId="0" borderId="0" xfId="0" applyFont="1" applyAlignment="1" applyProtection="1">
      <alignment horizontal="center" vertical="center"/>
      <protection/>
    </xf>
    <xf numFmtId="0" fontId="7" fillId="34" borderId="0" xfId="0" applyFont="1" applyFill="1" applyAlignment="1" applyProtection="1">
      <alignment horizontal="center" vertical="center"/>
      <protection/>
    </xf>
    <xf numFmtId="0" fontId="7" fillId="34" borderId="0" xfId="0" applyFont="1" applyFill="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0" xfId="0" applyFont="1" applyFill="1" applyAlignment="1" applyProtection="1">
      <alignment horizontal="center" vertical="center"/>
      <protection/>
    </xf>
    <xf numFmtId="37" fontId="5" fillId="34" borderId="19"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0" fillId="0" borderId="17" xfId="0" applyBorder="1" applyAlignment="1">
      <alignment horizontal="center" vertical="center"/>
    </xf>
    <xf numFmtId="0" fontId="5" fillId="34" borderId="21" xfId="0" applyFont="1" applyFill="1" applyBorder="1" applyAlignment="1" applyProtection="1">
      <alignment horizontal="center" vertical="center"/>
      <protection/>
    </xf>
    <xf numFmtId="0" fontId="0" fillId="0" borderId="16" xfId="0" applyBorder="1" applyAlignment="1" applyProtection="1">
      <alignment vertical="center"/>
      <protection/>
    </xf>
    <xf numFmtId="1" fontId="5" fillId="34" borderId="21" xfId="0" applyNumberFormat="1" applyFont="1"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5" fillId="34" borderId="0" xfId="0" applyNumberFormat="1" applyFont="1" applyFill="1" applyBorder="1" applyAlignment="1" applyProtection="1">
      <alignment horizontal="right" vertical="center"/>
      <protection/>
    </xf>
    <xf numFmtId="0" fontId="0" fillId="0" borderId="0" xfId="0" applyBorder="1" applyAlignment="1">
      <alignment horizontal="right" vertical="center"/>
    </xf>
    <xf numFmtId="0" fontId="26" fillId="34" borderId="24" xfId="84" applyFont="1" applyFill="1" applyBorder="1" applyAlignment="1" applyProtection="1">
      <alignment horizontal="center" vertical="center"/>
      <protection/>
    </xf>
    <xf numFmtId="0" fontId="0" fillId="0" borderId="18" xfId="0" applyBorder="1" applyAlignment="1">
      <alignment vertical="center"/>
    </xf>
    <xf numFmtId="0" fontId="0" fillId="0" borderId="23" xfId="0" applyBorder="1" applyAlignment="1">
      <alignment vertical="center"/>
    </xf>
    <xf numFmtId="182" fontId="26" fillId="34" borderId="24" xfId="0" applyNumberFormat="1" applyFont="1" applyFill="1" applyBorder="1" applyAlignment="1" applyProtection="1">
      <alignment horizontal="center"/>
      <protection/>
    </xf>
    <xf numFmtId="0" fontId="16" fillId="0" borderId="18" xfId="0" applyFont="1" applyBorder="1" applyAlignment="1">
      <alignment/>
    </xf>
    <xf numFmtId="0" fontId="16" fillId="0" borderId="23" xfId="0" applyFont="1" applyBorder="1" applyAlignment="1">
      <alignment/>
    </xf>
    <xf numFmtId="0" fontId="26" fillId="34" borderId="18" xfId="84" applyFont="1" applyFill="1" applyBorder="1" applyAlignment="1" applyProtection="1">
      <alignment horizontal="center" vertical="center"/>
      <protection/>
    </xf>
    <xf numFmtId="0" fontId="0" fillId="0" borderId="23" xfId="84" applyBorder="1" applyAlignment="1" applyProtection="1">
      <alignment vertical="center"/>
      <protection/>
    </xf>
    <xf numFmtId="3" fontId="5" fillId="34" borderId="18" xfId="88" applyNumberFormat="1" applyFont="1" applyFill="1" applyBorder="1" applyAlignment="1" applyProtection="1">
      <alignment horizontal="right" vertical="center"/>
      <protection/>
    </xf>
    <xf numFmtId="0" fontId="0" fillId="0" borderId="23" xfId="88" applyBorder="1" applyAlignment="1">
      <alignment horizontal="right" vertical="center"/>
      <protection/>
    </xf>
    <xf numFmtId="0" fontId="5" fillId="34" borderId="0" xfId="88" applyFont="1" applyFill="1" applyAlignment="1" applyProtection="1">
      <alignment horizontal="right" vertical="center"/>
      <protection/>
    </xf>
    <xf numFmtId="0" fontId="5" fillId="0" borderId="26" xfId="88" applyFont="1" applyBorder="1" applyAlignment="1">
      <alignment horizontal="right" vertical="center"/>
      <protection/>
    </xf>
    <xf numFmtId="0" fontId="0" fillId="0" borderId="0" xfId="0" applyAlignment="1">
      <alignment horizontal="right" vertical="center"/>
    </xf>
    <xf numFmtId="0" fontId="29" fillId="34" borderId="24" xfId="84" applyFont="1" applyFill="1" applyBorder="1" applyAlignment="1" applyProtection="1">
      <alignment horizontal="center" vertical="center"/>
      <protection/>
    </xf>
    <xf numFmtId="0" fontId="0" fillId="0" borderId="18" xfId="0" applyBorder="1" applyAlignment="1">
      <alignment horizontal="center" vertical="center"/>
    </xf>
    <xf numFmtId="0" fontId="26" fillId="34" borderId="24" xfId="75" applyFont="1" applyFill="1" applyBorder="1" applyAlignment="1" applyProtection="1">
      <alignment horizontal="center" vertical="center"/>
      <protection/>
    </xf>
    <xf numFmtId="0" fontId="30" fillId="0" borderId="18" xfId="75" applyFont="1" applyBorder="1" applyAlignment="1">
      <alignment horizontal="center" vertical="center"/>
      <protection/>
    </xf>
    <xf numFmtId="0" fontId="26" fillId="34" borderId="24" xfId="0" applyFont="1" applyFill="1" applyBorder="1" applyAlignment="1" applyProtection="1">
      <alignment horizontal="center" vertical="center"/>
      <protection/>
    </xf>
    <xf numFmtId="0" fontId="0" fillId="0" borderId="18" xfId="75" applyBorder="1" applyAlignment="1">
      <alignment vertical="center"/>
      <protection/>
    </xf>
    <xf numFmtId="0" fontId="0" fillId="0" borderId="23" xfId="75" applyBorder="1" applyAlignment="1">
      <alignment vertical="center"/>
      <protection/>
    </xf>
    <xf numFmtId="0" fontId="5" fillId="34" borderId="0" xfId="63" applyNumberFormat="1" applyFont="1" applyFill="1" applyBorder="1" applyAlignment="1" applyProtection="1">
      <alignment horizontal="right" vertical="center"/>
      <protection/>
    </xf>
    <xf numFmtId="0" fontId="5" fillId="0" borderId="0" xfId="63" applyFont="1" applyAlignment="1" applyProtection="1">
      <alignment horizontal="right" vertical="center"/>
      <protection/>
    </xf>
    <xf numFmtId="0" fontId="4" fillId="34" borderId="19" xfId="0" applyFont="1" applyFill="1" applyBorder="1" applyAlignment="1">
      <alignment vertical="center"/>
    </xf>
    <xf numFmtId="0" fontId="4" fillId="34" borderId="17" xfId="0" applyFont="1" applyFill="1" applyBorder="1" applyAlignment="1">
      <alignment vertical="center"/>
    </xf>
    <xf numFmtId="37" fontId="5" fillId="34" borderId="0" xfId="110" applyNumberFormat="1" applyFont="1" applyFill="1" applyAlignment="1" applyProtection="1">
      <alignment horizontal="center"/>
      <protection/>
    </xf>
    <xf numFmtId="0" fontId="13" fillId="34" borderId="24" xfId="85" applyFont="1" applyFill="1" applyBorder="1" applyAlignment="1" applyProtection="1">
      <alignment horizontal="center"/>
      <protection/>
    </xf>
    <xf numFmtId="0" fontId="0" fillId="0" borderId="18" xfId="0" applyBorder="1" applyAlignment="1">
      <alignment horizontal="center"/>
    </xf>
    <xf numFmtId="0" fontId="0" fillId="0" borderId="23" xfId="0" applyBorder="1" applyAlignment="1">
      <alignment horizontal="center"/>
    </xf>
    <xf numFmtId="0" fontId="0" fillId="0" borderId="18" xfId="85" applyBorder="1" applyAlignment="1" applyProtection="1">
      <alignment horizontal="center"/>
      <protection/>
    </xf>
    <xf numFmtId="0" fontId="0" fillId="0" borderId="23" xfId="85" applyBorder="1" applyAlignment="1" applyProtection="1">
      <alignment horizontal="center"/>
      <protection/>
    </xf>
    <xf numFmtId="0" fontId="13" fillId="34" borderId="18" xfId="85" applyFont="1" applyFill="1" applyBorder="1" applyAlignment="1" applyProtection="1">
      <alignment horizontal="center"/>
      <protection/>
    </xf>
    <xf numFmtId="0" fontId="13" fillId="34" borderId="23" xfId="85" applyFont="1" applyFill="1" applyBorder="1" applyAlignment="1" applyProtection="1">
      <alignment horizontal="center"/>
      <protection/>
    </xf>
    <xf numFmtId="49" fontId="4" fillId="34" borderId="10" xfId="0" applyNumberFormat="1" applyFont="1" applyFill="1" applyBorder="1" applyAlignment="1" applyProtection="1">
      <alignment horizontal="center" vertical="center"/>
      <protection locked="0"/>
    </xf>
    <xf numFmtId="0" fontId="4" fillId="34" borderId="10" xfId="0" applyNumberFormat="1" applyFont="1" applyFill="1" applyBorder="1" applyAlignment="1" applyProtection="1">
      <alignment horizontal="center" vertical="center"/>
      <protection locked="0"/>
    </xf>
    <xf numFmtId="0" fontId="5" fillId="34" borderId="0" xfId="0" applyFont="1" applyFill="1" applyAlignment="1">
      <alignment horizontal="right" vertical="center"/>
    </xf>
    <xf numFmtId="0" fontId="0" fillId="0" borderId="0" xfId="0" applyAlignment="1" applyProtection="1">
      <alignment vertical="center"/>
      <protection/>
    </xf>
    <xf numFmtId="0" fontId="5" fillId="34" borderId="0" xfId="0" applyFont="1" applyFill="1" applyAlignment="1" applyProtection="1">
      <alignment horizontal="right" vertical="center"/>
      <protection/>
    </xf>
  </cellXfs>
  <cellStyles count="3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4" xfId="51"/>
    <cellStyle name="Comma 5" xfId="52"/>
    <cellStyle name="Comma 6"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3" xfId="65"/>
    <cellStyle name="Hyperlink 4" xfId="66"/>
    <cellStyle name="Hyperlink 5" xfId="67"/>
    <cellStyle name="Hyperlink 6"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3" xfId="82"/>
    <cellStyle name="Normal 11 4" xfId="83"/>
    <cellStyle name="Normal 12" xfId="84"/>
    <cellStyle name="Normal 12 10" xfId="85"/>
    <cellStyle name="Normal 12 11" xfId="86"/>
    <cellStyle name="Normal 12 12" xfId="87"/>
    <cellStyle name="Normal 12 2" xfId="88"/>
    <cellStyle name="Normal 12 2 2" xfId="89"/>
    <cellStyle name="Normal 12 3" xfId="90"/>
    <cellStyle name="Normal 12 4" xfId="91"/>
    <cellStyle name="Normal 12 5" xfId="92"/>
    <cellStyle name="Normal 12 6" xfId="93"/>
    <cellStyle name="Normal 12 7" xfId="94"/>
    <cellStyle name="Normal 12 8" xfId="95"/>
    <cellStyle name="Normal 12 9" xfId="96"/>
    <cellStyle name="Normal 13" xfId="97"/>
    <cellStyle name="Normal 13 10" xfId="98"/>
    <cellStyle name="Normal 13 11" xfId="99"/>
    <cellStyle name="Normal 13 12" xfId="100"/>
    <cellStyle name="Normal 13 2" xfId="101"/>
    <cellStyle name="Normal 13 2 2" xfId="102"/>
    <cellStyle name="Normal 13 3" xfId="103"/>
    <cellStyle name="Normal 13 4" xfId="104"/>
    <cellStyle name="Normal 13 5" xfId="105"/>
    <cellStyle name="Normal 13 6" xfId="106"/>
    <cellStyle name="Normal 13 7" xfId="107"/>
    <cellStyle name="Normal 13 8" xfId="108"/>
    <cellStyle name="Normal 13 9" xfId="109"/>
    <cellStyle name="Normal 14" xfId="110"/>
    <cellStyle name="Normal 14 2" xfId="111"/>
    <cellStyle name="Normal 14 3" xfId="112"/>
    <cellStyle name="Normal 14 4" xfId="113"/>
    <cellStyle name="Normal 14 5" xfId="114"/>
    <cellStyle name="Normal 14 6" xfId="115"/>
    <cellStyle name="Normal 15" xfId="116"/>
    <cellStyle name="Normal 15 2" xfId="117"/>
    <cellStyle name="Normal 15 3" xfId="118"/>
    <cellStyle name="Normal 15 4" xfId="119"/>
    <cellStyle name="Normal 16" xfId="120"/>
    <cellStyle name="Normal 16 2" xfId="121"/>
    <cellStyle name="Normal 16 3" xfId="122"/>
    <cellStyle name="Normal 16 4" xfId="123"/>
    <cellStyle name="Normal 17" xfId="124"/>
    <cellStyle name="Normal 17 2" xfId="125"/>
    <cellStyle name="Normal 17 3" xfId="126"/>
    <cellStyle name="Normal 17 4" xfId="127"/>
    <cellStyle name="Normal 18" xfId="128"/>
    <cellStyle name="Normal 18 2" xfId="129"/>
    <cellStyle name="Normal 18 2 2" xfId="130"/>
    <cellStyle name="Normal 18 2 3" xfId="131"/>
    <cellStyle name="Normal 18 3" xfId="132"/>
    <cellStyle name="Normal 18 4" xfId="133"/>
    <cellStyle name="Normal 18 5" xfId="134"/>
    <cellStyle name="Normal 18 6" xfId="135"/>
    <cellStyle name="Normal 18 7" xfId="136"/>
    <cellStyle name="Normal 19" xfId="137"/>
    <cellStyle name="Normal 19 2" xfId="138"/>
    <cellStyle name="Normal 19 2 2" xfId="139"/>
    <cellStyle name="Normal 19 2 3" xfId="140"/>
    <cellStyle name="Normal 19 3" xfId="141"/>
    <cellStyle name="Normal 19 4" xfId="142"/>
    <cellStyle name="Normal 19 5" xfId="143"/>
    <cellStyle name="Normal 19 6" xfId="144"/>
    <cellStyle name="Normal 2" xfId="145"/>
    <cellStyle name="Normal 2 10" xfId="146"/>
    <cellStyle name="Normal 2 10 10" xfId="147"/>
    <cellStyle name="Normal 2 10 2" xfId="148"/>
    <cellStyle name="Normal 2 10 2 2" xfId="149"/>
    <cellStyle name="Normal 2 10 3" xfId="150"/>
    <cellStyle name="Normal 2 10 3 2" xfId="151"/>
    <cellStyle name="Normal 2 10 4" xfId="152"/>
    <cellStyle name="Normal 2 10 4 2" xfId="153"/>
    <cellStyle name="Normal 2 10 5" xfId="154"/>
    <cellStyle name="Normal 2 10 5 2" xfId="155"/>
    <cellStyle name="Normal 2 10 6" xfId="156"/>
    <cellStyle name="Normal 2 10 6 2" xfId="157"/>
    <cellStyle name="Normal 2 10 7" xfId="158"/>
    <cellStyle name="Normal 2 10 7 2" xfId="159"/>
    <cellStyle name="Normal 2 10 8" xfId="160"/>
    <cellStyle name="Normal 2 10 8 2" xfId="161"/>
    <cellStyle name="Normal 2 10 9" xfId="162"/>
    <cellStyle name="Normal 2 11" xfId="163"/>
    <cellStyle name="Normal 2 11 10" xfId="164"/>
    <cellStyle name="Normal 2 11 2" xfId="165"/>
    <cellStyle name="Normal 2 11 2 2" xfId="166"/>
    <cellStyle name="Normal 2 11 3" xfId="167"/>
    <cellStyle name="Normal 2 11 3 2" xfId="168"/>
    <cellStyle name="Normal 2 11 4" xfId="169"/>
    <cellStyle name="Normal 2 11 4 2" xfId="170"/>
    <cellStyle name="Normal 2 11 5" xfId="171"/>
    <cellStyle name="Normal 2 11 5 2" xfId="172"/>
    <cellStyle name="Normal 2 11 6" xfId="173"/>
    <cellStyle name="Normal 2 11 6 2" xfId="174"/>
    <cellStyle name="Normal 2 11 7" xfId="175"/>
    <cellStyle name="Normal 2 11 7 2" xfId="176"/>
    <cellStyle name="Normal 2 11 8" xfId="177"/>
    <cellStyle name="Normal 2 11 8 2" xfId="178"/>
    <cellStyle name="Normal 2 11 9" xfId="179"/>
    <cellStyle name="Normal 2 12" xfId="180"/>
    <cellStyle name="Normal 2 13" xfId="181"/>
    <cellStyle name="Normal 2 14" xfId="182"/>
    <cellStyle name="Normal 2 15" xfId="183"/>
    <cellStyle name="Normal 2 2" xfId="184"/>
    <cellStyle name="Normal 2 2 10" xfId="185"/>
    <cellStyle name="Normal 2 2 10 2" xfId="186"/>
    <cellStyle name="Normal 2 2 11" xfId="187"/>
    <cellStyle name="Normal 2 2 11 2" xfId="188"/>
    <cellStyle name="Normal 2 2 12" xfId="189"/>
    <cellStyle name="Normal 2 2 12 2" xfId="190"/>
    <cellStyle name="Normal 2 2 13" xfId="191"/>
    <cellStyle name="Normal 2 2 13 2" xfId="192"/>
    <cellStyle name="Normal 2 2 14" xfId="193"/>
    <cellStyle name="Normal 2 2 14 2" xfId="194"/>
    <cellStyle name="Normal 2 2 15" xfId="195"/>
    <cellStyle name="Normal 2 2 15 2" xfId="196"/>
    <cellStyle name="Normal 2 2 16" xfId="197"/>
    <cellStyle name="Normal 2 2 17" xfId="198"/>
    <cellStyle name="Normal 2 2 18" xfId="199"/>
    <cellStyle name="Normal 2 2 19" xfId="200"/>
    <cellStyle name="Normal 2 2 2" xfId="201"/>
    <cellStyle name="Normal 2 2 2 2" xfId="202"/>
    <cellStyle name="Normal 2 2 2 2 2" xfId="203"/>
    <cellStyle name="Normal 2 2 2 3" xfId="204"/>
    <cellStyle name="Normal 2 2 2 3 2" xfId="205"/>
    <cellStyle name="Normal 2 2 2 4" xfId="206"/>
    <cellStyle name="Normal 2 2 2 4 2" xfId="207"/>
    <cellStyle name="Normal 2 2 2 5" xfId="208"/>
    <cellStyle name="Normal 2 2 2 5 2" xfId="209"/>
    <cellStyle name="Normal 2 2 2 6" xfId="210"/>
    <cellStyle name="Normal 2 2 2 6 2" xfId="211"/>
    <cellStyle name="Normal 2 2 2 7" xfId="212"/>
    <cellStyle name="Normal 2 2 2 8" xfId="213"/>
    <cellStyle name="Normal 2 2 20" xfId="214"/>
    <cellStyle name="Normal 2 2 21" xfId="215"/>
    <cellStyle name="Normal 2 2 3" xfId="216"/>
    <cellStyle name="Normal 2 2 3 2" xfId="217"/>
    <cellStyle name="Normal 2 2 4" xfId="218"/>
    <cellStyle name="Normal 2 2 4 2" xfId="219"/>
    <cellStyle name="Normal 2 2 5" xfId="220"/>
    <cellStyle name="Normal 2 2 5 2" xfId="221"/>
    <cellStyle name="Normal 2 2 6" xfId="222"/>
    <cellStyle name="Normal 2 2 6 2" xfId="223"/>
    <cellStyle name="Normal 2 2 7" xfId="224"/>
    <cellStyle name="Normal 2 2 7 2" xfId="225"/>
    <cellStyle name="Normal 2 2 8" xfId="226"/>
    <cellStyle name="Normal 2 2 8 2" xfId="227"/>
    <cellStyle name="Normal 2 2 9" xfId="228"/>
    <cellStyle name="Normal 2 2 9 2" xfId="229"/>
    <cellStyle name="Normal 2 3" xfId="230"/>
    <cellStyle name="Normal 2 3 10" xfId="231"/>
    <cellStyle name="Normal 2 3 11" xfId="232"/>
    <cellStyle name="Normal 2 3 12" xfId="233"/>
    <cellStyle name="Normal 2 3 13" xfId="234"/>
    <cellStyle name="Normal 2 3 14" xfId="235"/>
    <cellStyle name="Normal 2 3 2" xfId="236"/>
    <cellStyle name="Normal 2 3 2 2" xfId="237"/>
    <cellStyle name="Normal 2 3 3" xfId="238"/>
    <cellStyle name="Normal 2 3 3 2" xfId="239"/>
    <cellStyle name="Normal 2 3 4" xfId="240"/>
    <cellStyle name="Normal 2 3 5" xfId="241"/>
    <cellStyle name="Normal 2 3 6" xfId="242"/>
    <cellStyle name="Normal 2 3 7" xfId="243"/>
    <cellStyle name="Normal 2 3 8" xfId="244"/>
    <cellStyle name="Normal 2 3 9" xfId="245"/>
    <cellStyle name="Normal 2 4" xfId="246"/>
    <cellStyle name="Normal 2 4 10" xfId="247"/>
    <cellStyle name="Normal 2 4 11" xfId="248"/>
    <cellStyle name="Normal 2 4 2" xfId="249"/>
    <cellStyle name="Normal 2 4 2 2" xfId="250"/>
    <cellStyle name="Normal 2 4 3" xfId="251"/>
    <cellStyle name="Normal 2 4 3 2" xfId="252"/>
    <cellStyle name="Normal 2 4 4" xfId="253"/>
    <cellStyle name="Normal 2 4 5" xfId="254"/>
    <cellStyle name="Normal 2 4 6" xfId="255"/>
    <cellStyle name="Normal 2 4 7" xfId="256"/>
    <cellStyle name="Normal 2 4 8" xfId="257"/>
    <cellStyle name="Normal 2 4 9" xfId="258"/>
    <cellStyle name="Normal 2 5" xfId="259"/>
    <cellStyle name="Normal 2 5 10" xfId="260"/>
    <cellStyle name="Normal 2 5 11" xfId="261"/>
    <cellStyle name="Normal 2 5 2" xfId="262"/>
    <cellStyle name="Normal 2 5 2 2" xfId="263"/>
    <cellStyle name="Normal 2 5 3" xfId="264"/>
    <cellStyle name="Normal 2 5 3 2" xfId="265"/>
    <cellStyle name="Normal 2 5 4" xfId="266"/>
    <cellStyle name="Normal 2 5 5" xfId="267"/>
    <cellStyle name="Normal 2 5 6" xfId="268"/>
    <cellStyle name="Normal 2 5 7" xfId="269"/>
    <cellStyle name="Normal 2 5 8" xfId="270"/>
    <cellStyle name="Normal 2 5 9" xfId="271"/>
    <cellStyle name="Normal 2 6" xfId="272"/>
    <cellStyle name="Normal 2 6 10" xfId="273"/>
    <cellStyle name="Normal 2 6 11" xfId="274"/>
    <cellStyle name="Normal 2 6 2" xfId="275"/>
    <cellStyle name="Normal 2 6 2 2" xfId="276"/>
    <cellStyle name="Normal 2 6 3" xfId="277"/>
    <cellStyle name="Normal 2 6 3 2" xfId="278"/>
    <cellStyle name="Normal 2 6 4" xfId="279"/>
    <cellStyle name="Normal 2 6 5" xfId="280"/>
    <cellStyle name="Normal 2 6 6" xfId="281"/>
    <cellStyle name="Normal 2 6 7" xfId="282"/>
    <cellStyle name="Normal 2 6 8" xfId="283"/>
    <cellStyle name="Normal 2 6 9" xfId="284"/>
    <cellStyle name="Normal 2 7" xfId="285"/>
    <cellStyle name="Normal 2 7 10" xfId="286"/>
    <cellStyle name="Normal 2 7 2" xfId="287"/>
    <cellStyle name="Normal 2 7 2 2" xfId="288"/>
    <cellStyle name="Normal 2 7 3" xfId="289"/>
    <cellStyle name="Normal 2 7 3 2" xfId="290"/>
    <cellStyle name="Normal 2 7 4" xfId="291"/>
    <cellStyle name="Normal 2 7 4 2" xfId="292"/>
    <cellStyle name="Normal 2 7 5" xfId="293"/>
    <cellStyle name="Normal 2 7 5 2" xfId="294"/>
    <cellStyle name="Normal 2 7 6" xfId="295"/>
    <cellStyle name="Normal 2 7 6 2" xfId="296"/>
    <cellStyle name="Normal 2 7 7" xfId="297"/>
    <cellStyle name="Normal 2 7 7 2" xfId="298"/>
    <cellStyle name="Normal 2 7 8" xfId="299"/>
    <cellStyle name="Normal 2 7 8 2" xfId="300"/>
    <cellStyle name="Normal 2 7 9" xfId="301"/>
    <cellStyle name="Normal 2 8" xfId="302"/>
    <cellStyle name="Normal 2 8 10" xfId="303"/>
    <cellStyle name="Normal 2 8 2" xfId="304"/>
    <cellStyle name="Normal 2 8 2 2" xfId="305"/>
    <cellStyle name="Normal 2 8 3" xfId="306"/>
    <cellStyle name="Normal 2 8 3 2" xfId="307"/>
    <cellStyle name="Normal 2 8 4" xfId="308"/>
    <cellStyle name="Normal 2 8 4 2" xfId="309"/>
    <cellStyle name="Normal 2 8 5" xfId="310"/>
    <cellStyle name="Normal 2 8 5 2" xfId="311"/>
    <cellStyle name="Normal 2 8 6" xfId="312"/>
    <cellStyle name="Normal 2 8 6 2" xfId="313"/>
    <cellStyle name="Normal 2 8 7" xfId="314"/>
    <cellStyle name="Normal 2 8 7 2" xfId="315"/>
    <cellStyle name="Normal 2 8 8" xfId="316"/>
    <cellStyle name="Normal 2 8 8 2" xfId="317"/>
    <cellStyle name="Normal 2 8 9" xfId="318"/>
    <cellStyle name="Normal 2 9" xfId="319"/>
    <cellStyle name="Normal 2 9 10" xfId="320"/>
    <cellStyle name="Normal 2 9 2" xfId="321"/>
    <cellStyle name="Normal 2 9 2 2" xfId="322"/>
    <cellStyle name="Normal 2 9 3" xfId="323"/>
    <cellStyle name="Normal 2 9 3 2" xfId="324"/>
    <cellStyle name="Normal 2 9 4" xfId="325"/>
    <cellStyle name="Normal 2 9 4 2" xfId="326"/>
    <cellStyle name="Normal 2 9 5" xfId="327"/>
    <cellStyle name="Normal 2 9 5 2" xfId="328"/>
    <cellStyle name="Normal 2 9 6" xfId="329"/>
    <cellStyle name="Normal 2 9 6 2" xfId="330"/>
    <cellStyle name="Normal 2 9 7" xfId="331"/>
    <cellStyle name="Normal 2 9 7 2" xfId="332"/>
    <cellStyle name="Normal 2 9 8" xfId="333"/>
    <cellStyle name="Normal 2 9 8 2" xfId="334"/>
    <cellStyle name="Normal 2 9 9" xfId="335"/>
    <cellStyle name="Normal 20" xfId="336"/>
    <cellStyle name="Normal 20 2" xfId="337"/>
    <cellStyle name="Normal 20 3" xfId="338"/>
    <cellStyle name="Normal 21" xfId="339"/>
    <cellStyle name="Normal 22" xfId="340"/>
    <cellStyle name="Normal 22 2" xfId="341"/>
    <cellStyle name="Normal 22 3" xfId="342"/>
    <cellStyle name="Normal 23" xfId="343"/>
    <cellStyle name="Normal 23 2" xfId="344"/>
    <cellStyle name="Normal 23 3" xfId="345"/>
    <cellStyle name="Normal 24" xfId="346"/>
    <cellStyle name="Normal 24 2" xfId="347"/>
    <cellStyle name="Normal 24 3" xfId="348"/>
    <cellStyle name="Normal 25" xfId="349"/>
    <cellStyle name="Normal 25 2" xfId="350"/>
    <cellStyle name="Normal 25 3" xfId="351"/>
    <cellStyle name="Normal 26" xfId="352"/>
    <cellStyle name="Normal 3" xfId="353"/>
    <cellStyle name="Normal 3 2" xfId="354"/>
    <cellStyle name="Normal 3 3" xfId="355"/>
    <cellStyle name="Normal 3 4" xfId="356"/>
    <cellStyle name="Normal 3 5" xfId="357"/>
    <cellStyle name="Normal 3 6" xfId="358"/>
    <cellStyle name="Normal 3 7" xfId="359"/>
    <cellStyle name="Normal 4" xfId="360"/>
    <cellStyle name="Normal 4 2" xfId="361"/>
    <cellStyle name="Normal 5" xfId="362"/>
    <cellStyle name="Normal 5 2" xfId="363"/>
    <cellStyle name="Normal 5 3" xfId="364"/>
    <cellStyle name="Normal 6" xfId="365"/>
    <cellStyle name="Normal 6 2" xfId="366"/>
    <cellStyle name="Normal 7" xfId="367"/>
    <cellStyle name="Normal 7 2" xfId="368"/>
    <cellStyle name="Normal 7 3" xfId="369"/>
    <cellStyle name="Normal 7 4" xfId="370"/>
    <cellStyle name="Normal 8" xfId="371"/>
    <cellStyle name="Normal 8 2" xfId="372"/>
    <cellStyle name="Normal 9" xfId="373"/>
    <cellStyle name="Normal 9 2" xfId="374"/>
    <cellStyle name="Normal 9 3" xfId="375"/>
    <cellStyle name="Normal 9 4" xfId="376"/>
    <cellStyle name="Normal_debt" xfId="377"/>
    <cellStyle name="Normal_lpform" xfId="378"/>
    <cellStyle name="Note" xfId="379"/>
    <cellStyle name="Output" xfId="380"/>
    <cellStyle name="Percent" xfId="381"/>
    <cellStyle name="Title" xfId="382"/>
    <cellStyle name="Total" xfId="383"/>
    <cellStyle name="Warning Text" xfId="384"/>
  </cellStyles>
  <dxfs count="86">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strike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28575</xdr:colOff>
      <xdr:row>54</xdr:row>
      <xdr:rowOff>19050</xdr:rowOff>
    </xdr:to>
    <xdr:pic>
      <xdr:nvPicPr>
        <xdr:cNvPr id="1" name="Picture 1"/>
        <xdr:cNvPicPr preferRelativeResize="1">
          <a:picLocks noChangeAspect="1"/>
        </xdr:cNvPicPr>
      </xdr:nvPicPr>
      <xdr:blipFill>
        <a:blip r:embed="rId1"/>
        <a:stretch>
          <a:fillRect/>
        </a:stretch>
      </xdr:blipFill>
      <xdr:spPr>
        <a:xfrm>
          <a:off x="0" y="0"/>
          <a:ext cx="7572375" cy="10306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742950</xdr:colOff>
      <xdr:row>41</xdr:row>
      <xdr:rowOff>76200</xdr:rowOff>
    </xdr:to>
    <xdr:pic>
      <xdr:nvPicPr>
        <xdr:cNvPr id="1" name="Picture 1"/>
        <xdr:cNvPicPr preferRelativeResize="1">
          <a:picLocks noChangeAspect="1"/>
        </xdr:cNvPicPr>
      </xdr:nvPicPr>
      <xdr:blipFill>
        <a:blip r:embed="rId1"/>
        <a:stretch>
          <a:fillRect/>
        </a:stretch>
      </xdr:blipFill>
      <xdr:spPr>
        <a:xfrm>
          <a:off x="0" y="0"/>
          <a:ext cx="9124950" cy="7886700"/>
        </a:xfrm>
        <a:prstGeom prst="rect">
          <a:avLst/>
        </a:prstGeom>
        <a:noFill/>
        <a:ln w="9525" cmpd="sng">
          <a:noFill/>
        </a:ln>
      </xdr:spPr>
    </xdr:pic>
    <xdr:clientData/>
  </xdr:twoCellAnchor>
  <xdr:twoCellAnchor editAs="oneCell">
    <xdr:from>
      <xdr:col>11</xdr:col>
      <xdr:colOff>0</xdr:colOff>
      <xdr:row>9</xdr:row>
      <xdr:rowOff>0</xdr:rowOff>
    </xdr:from>
    <xdr:to>
      <xdr:col>21</xdr:col>
      <xdr:colOff>495300</xdr:colOff>
      <xdr:row>62</xdr:row>
      <xdr:rowOff>0</xdr:rowOff>
    </xdr:to>
    <xdr:pic>
      <xdr:nvPicPr>
        <xdr:cNvPr id="2" name="Picture 2"/>
        <xdr:cNvPicPr preferRelativeResize="1">
          <a:picLocks noChangeAspect="1"/>
        </xdr:cNvPicPr>
      </xdr:nvPicPr>
      <xdr:blipFill>
        <a:blip r:embed="rId2"/>
        <a:stretch>
          <a:fillRect/>
        </a:stretch>
      </xdr:blipFill>
      <xdr:spPr>
        <a:xfrm>
          <a:off x="9220200" y="1714500"/>
          <a:ext cx="8877300" cy="10096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pjarred@jgppa.com"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93"/>
  <sheetViews>
    <sheetView zoomScale="90" zoomScaleNormal="90" zoomScalePageLayoutView="0" workbookViewId="0" topLeftCell="A22">
      <selection activeCell="D40" sqref="D40"/>
    </sheetView>
  </sheetViews>
  <sheetFormatPr defaultColWidth="8.796875" defaultRowHeight="15"/>
  <cols>
    <col min="1" max="1" width="15.796875" style="5" customWidth="1"/>
    <col min="2" max="2" width="20.796875" style="5" customWidth="1"/>
    <col min="3" max="3" width="9.796875" style="5" customWidth="1"/>
    <col min="4" max="4" width="15.09765625" style="5" customWidth="1"/>
    <col min="5" max="5" width="15.796875" style="5" customWidth="1"/>
    <col min="6" max="6" width="1.8984375" style="5" customWidth="1"/>
    <col min="7" max="7" width="18.69921875" style="5" customWidth="1"/>
    <col min="8" max="16384" width="8.8984375" style="5" customWidth="1"/>
  </cols>
  <sheetData>
    <row r="1" spans="1:5" ht="15.75">
      <c r="A1" s="3" t="s">
        <v>370</v>
      </c>
      <c r="B1" s="4"/>
      <c r="C1" s="4"/>
      <c r="D1" s="4"/>
      <c r="E1" s="4"/>
    </row>
    <row r="2" spans="1:5" ht="15.75">
      <c r="A2" s="6" t="s">
        <v>72</v>
      </c>
      <c r="B2" s="4"/>
      <c r="C2" s="4"/>
      <c r="D2" s="496" t="s">
        <v>20</v>
      </c>
      <c r="E2" s="7"/>
    </row>
    <row r="3" spans="1:5" ht="15.75">
      <c r="A3" s="6" t="s">
        <v>73</v>
      </c>
      <c r="B3" s="4"/>
      <c r="C3" s="4"/>
      <c r="D3" s="497" t="s">
        <v>21</v>
      </c>
      <c r="E3" s="8"/>
    </row>
    <row r="4" spans="1:5" ht="15.75">
      <c r="A4" s="9"/>
      <c r="B4" s="4"/>
      <c r="C4" s="4"/>
      <c r="D4" s="10"/>
      <c r="E4" s="4"/>
    </row>
    <row r="5" spans="1:5" ht="15.75">
      <c r="A5" s="6" t="s">
        <v>337</v>
      </c>
      <c r="B5" s="4"/>
      <c r="C5" s="11">
        <v>2013</v>
      </c>
      <c r="D5" s="10"/>
      <c r="E5" s="4"/>
    </row>
    <row r="6" spans="1:5" ht="15.75">
      <c r="A6" s="4"/>
      <c r="B6" s="4"/>
      <c r="C6" s="4"/>
      <c r="D6" s="4"/>
      <c r="E6" s="4"/>
    </row>
    <row r="7" spans="1:5" ht="15.75">
      <c r="A7" s="12" t="s">
        <v>99</v>
      </c>
      <c r="B7" s="13"/>
      <c r="C7" s="13"/>
      <c r="D7" s="13"/>
      <c r="E7" s="13"/>
    </row>
    <row r="8" spans="1:8" ht="15.75" customHeight="1">
      <c r="A8" s="12" t="s">
        <v>98</v>
      </c>
      <c r="B8" s="13"/>
      <c r="C8" s="13"/>
      <c r="D8" s="13"/>
      <c r="E8" s="13"/>
      <c r="F8" s="58"/>
      <c r="G8" s="519" t="s">
        <v>66</v>
      </c>
      <c r="H8" s="520"/>
    </row>
    <row r="9" spans="1:8" ht="15.75">
      <c r="A9" s="14"/>
      <c r="B9" s="13"/>
      <c r="C9" s="13"/>
      <c r="D9" s="13"/>
      <c r="E9" s="13"/>
      <c r="F9" s="58"/>
      <c r="G9" s="521"/>
      <c r="H9" s="520"/>
    </row>
    <row r="10" spans="1:8" ht="15.75">
      <c r="A10" s="517" t="s">
        <v>68</v>
      </c>
      <c r="B10" s="518"/>
      <c r="C10" s="518"/>
      <c r="D10" s="518"/>
      <c r="E10" s="518"/>
      <c r="F10" s="58"/>
      <c r="G10" s="521"/>
      <c r="H10" s="520"/>
    </row>
    <row r="11" spans="1:8" ht="15.75">
      <c r="A11" s="15"/>
      <c r="B11" s="15"/>
      <c r="C11" s="15"/>
      <c r="D11" s="15"/>
      <c r="E11" s="15"/>
      <c r="F11" s="58"/>
      <c r="G11" s="521"/>
      <c r="H11" s="520"/>
    </row>
    <row r="12" spans="1:8" ht="15.75">
      <c r="A12" s="16" t="s">
        <v>69</v>
      </c>
      <c r="B12" s="17"/>
      <c r="C12" s="4"/>
      <c r="D12" s="4"/>
      <c r="E12" s="4"/>
      <c r="F12" s="58"/>
      <c r="G12" s="521"/>
      <c r="H12" s="520"/>
    </row>
    <row r="13" spans="1:8" ht="15.75">
      <c r="A13" s="18" t="str">
        <f>CONCATENATE("the ",C5-1," Budget, Certificate Page:")</f>
        <v>the 2012 Budget, Certificate Page:</v>
      </c>
      <c r="B13" s="19"/>
      <c r="C13" s="20"/>
      <c r="D13" s="4"/>
      <c r="E13" s="4"/>
      <c r="F13" s="58"/>
      <c r="G13" s="521"/>
      <c r="H13" s="520"/>
    </row>
    <row r="14" spans="1:8" ht="15.75">
      <c r="A14" s="18" t="s">
        <v>101</v>
      </c>
      <c r="B14" s="19"/>
      <c r="C14" s="20"/>
      <c r="D14" s="4"/>
      <c r="E14" s="4"/>
      <c r="F14" s="58"/>
      <c r="G14" s="58"/>
      <c r="H14" s="4"/>
    </row>
    <row r="15" spans="1:8" ht="15.75">
      <c r="A15" s="21"/>
      <c r="B15" s="4"/>
      <c r="C15" s="4"/>
      <c r="D15" s="22">
        <f>C5-1</f>
        <v>2012</v>
      </c>
      <c r="E15" s="23">
        <f>$C$5-2</f>
        <v>2011</v>
      </c>
      <c r="G15" s="401" t="s">
        <v>37</v>
      </c>
      <c r="H15" s="117" t="s">
        <v>215</v>
      </c>
    </row>
    <row r="16" spans="1:8" ht="15.75">
      <c r="A16" s="9" t="s">
        <v>91</v>
      </c>
      <c r="B16" s="4"/>
      <c r="C16" s="24" t="s">
        <v>92</v>
      </c>
      <c r="D16" s="25" t="s">
        <v>100</v>
      </c>
      <c r="E16" s="26" t="s">
        <v>90</v>
      </c>
      <c r="G16" s="402" t="str">
        <f>CONCATENATE("",E15," Ad Valorem Tax")</f>
        <v>2011 Ad Valorem Tax</v>
      </c>
      <c r="H16" s="494">
        <v>0.03</v>
      </c>
    </row>
    <row r="17" spans="1:7" ht="15.75">
      <c r="A17" s="4"/>
      <c r="B17" s="27" t="s">
        <v>93</v>
      </c>
      <c r="C17" s="117" t="s">
        <v>321</v>
      </c>
      <c r="D17" s="29">
        <v>215942</v>
      </c>
      <c r="E17" s="30">
        <v>82874</v>
      </c>
      <c r="G17" s="400">
        <f>IF(H16&gt;0,ROUND(E17-(E17*H$16),0),0)</f>
        <v>80388</v>
      </c>
    </row>
    <row r="18" spans="1:7" ht="15.75">
      <c r="A18" s="4"/>
      <c r="B18" s="27" t="s">
        <v>22</v>
      </c>
      <c r="C18" s="117" t="s">
        <v>338</v>
      </c>
      <c r="D18" s="29">
        <v>51186</v>
      </c>
      <c r="E18" s="30"/>
      <c r="G18" s="400">
        <f>IF(H16&gt;0,ROUND(E18-(E18*H16),0),0)</f>
        <v>0</v>
      </c>
    </row>
    <row r="19" spans="1:7" ht="15.75">
      <c r="A19" s="4"/>
      <c r="B19" s="27"/>
      <c r="C19" s="117"/>
      <c r="D19" s="29"/>
      <c r="E19" s="30"/>
      <c r="G19" s="400">
        <f>IF(H$16&gt;0,ROUND(E19-(E19*H$16),0),0)</f>
        <v>0</v>
      </c>
    </row>
    <row r="20" spans="1:5" ht="15.75">
      <c r="A20" s="9" t="s">
        <v>67</v>
      </c>
      <c r="B20" s="4"/>
      <c r="C20" s="4"/>
      <c r="D20" s="31"/>
      <c r="E20" s="32"/>
    </row>
    <row r="21" spans="1:7" ht="15.75">
      <c r="A21" s="4"/>
      <c r="B21" s="475"/>
      <c r="C21" s="325"/>
      <c r="D21" s="30"/>
      <c r="E21" s="30"/>
      <c r="G21" s="400">
        <f aca="true" t="shared" si="0" ref="G21:G30">IF(H$16&gt;0,ROUND(E21-(E21*H$16),0),0)</f>
        <v>0</v>
      </c>
    </row>
    <row r="22" spans="1:7" ht="15.75">
      <c r="A22" s="4"/>
      <c r="B22" s="33"/>
      <c r="C22" s="326"/>
      <c r="D22" s="30"/>
      <c r="E22" s="30"/>
      <c r="G22" s="400">
        <f t="shared" si="0"/>
        <v>0</v>
      </c>
    </row>
    <row r="23" spans="1:7" ht="15.75">
      <c r="A23" s="4"/>
      <c r="B23" s="33"/>
      <c r="C23" s="326"/>
      <c r="D23" s="30"/>
      <c r="E23" s="30"/>
      <c r="G23" s="400">
        <f t="shared" si="0"/>
        <v>0</v>
      </c>
    </row>
    <row r="24" spans="1:7" ht="15.75">
      <c r="A24" s="4"/>
      <c r="B24" s="33"/>
      <c r="C24" s="326"/>
      <c r="D24" s="30"/>
      <c r="E24" s="30"/>
      <c r="G24" s="400">
        <f t="shared" si="0"/>
        <v>0</v>
      </c>
    </row>
    <row r="25" spans="1:7" ht="15.75">
      <c r="A25" s="4"/>
      <c r="B25" s="33"/>
      <c r="C25" s="326"/>
      <c r="D25" s="30"/>
      <c r="E25" s="30"/>
      <c r="G25" s="400">
        <f t="shared" si="0"/>
        <v>0</v>
      </c>
    </row>
    <row r="26" spans="1:7" ht="15.75">
      <c r="A26" s="4"/>
      <c r="B26" s="33"/>
      <c r="C26" s="326"/>
      <c r="D26" s="30"/>
      <c r="E26" s="30"/>
      <c r="G26" s="400">
        <f t="shared" si="0"/>
        <v>0</v>
      </c>
    </row>
    <row r="27" spans="1:7" ht="15.75">
      <c r="A27" s="4"/>
      <c r="B27" s="33"/>
      <c r="C27" s="326"/>
      <c r="D27" s="30"/>
      <c r="E27" s="30"/>
      <c r="G27" s="400">
        <f t="shared" si="0"/>
        <v>0</v>
      </c>
    </row>
    <row r="28" spans="1:7" ht="15.75">
      <c r="A28" s="4"/>
      <c r="B28" s="33"/>
      <c r="C28" s="326"/>
      <c r="D28" s="30"/>
      <c r="E28" s="30"/>
      <c r="G28" s="400">
        <f t="shared" si="0"/>
        <v>0</v>
      </c>
    </row>
    <row r="29" spans="1:7" ht="15.75">
      <c r="A29" s="4"/>
      <c r="B29" s="33"/>
      <c r="C29" s="326"/>
      <c r="D29" s="30"/>
      <c r="E29" s="30"/>
      <c r="G29" s="400">
        <f t="shared" si="0"/>
        <v>0</v>
      </c>
    </row>
    <row r="30" spans="1:7" ht="15.75">
      <c r="A30" s="4"/>
      <c r="B30" s="33"/>
      <c r="C30" s="326"/>
      <c r="D30" s="30"/>
      <c r="E30" s="30"/>
      <c r="G30" s="400">
        <f t="shared" si="0"/>
        <v>0</v>
      </c>
    </row>
    <row r="31" spans="1:5" ht="15.75">
      <c r="A31" s="34" t="str">
        <f>CONCATENATE("Total Tax Levy Funds for ",C5-1," Budgeted Year")</f>
        <v>Total Tax Levy Funds for 2012 Budgeted Year</v>
      </c>
      <c r="B31" s="35"/>
      <c r="C31" s="35"/>
      <c r="D31" s="36"/>
      <c r="E31" s="37">
        <f>SUM(E17:E30)</f>
        <v>82874</v>
      </c>
    </row>
    <row r="32" spans="1:5" ht="15.75">
      <c r="A32" s="9"/>
      <c r="B32" s="4"/>
      <c r="C32" s="4"/>
      <c r="D32" s="38"/>
      <c r="E32" s="32"/>
    </row>
    <row r="33" spans="1:5" ht="15.75">
      <c r="A33" s="9" t="s">
        <v>339</v>
      </c>
      <c r="B33" s="4"/>
      <c r="C33" s="4"/>
      <c r="D33" s="4"/>
      <c r="E33" s="4"/>
    </row>
    <row r="34" spans="1:5" ht="15.75">
      <c r="A34" s="4"/>
      <c r="B34" s="39" t="s">
        <v>297</v>
      </c>
      <c r="C34" s="40"/>
      <c r="D34" s="29">
        <v>84066</v>
      </c>
      <c r="E34" s="40"/>
    </row>
    <row r="35" spans="1:5" ht="15.75">
      <c r="A35" s="4"/>
      <c r="B35" s="498" t="s">
        <v>23</v>
      </c>
      <c r="C35" s="40"/>
      <c r="D35" s="29">
        <v>123158</v>
      </c>
      <c r="E35" s="40"/>
    </row>
    <row r="36" spans="1:5" ht="15.75">
      <c r="A36" s="4"/>
      <c r="B36" s="498" t="s">
        <v>24</v>
      </c>
      <c r="C36" s="40"/>
      <c r="D36" s="29">
        <v>540050</v>
      </c>
      <c r="E36" s="40"/>
    </row>
    <row r="37" spans="1:5" ht="15.75">
      <c r="A37" s="4"/>
      <c r="B37" s="498" t="s">
        <v>25</v>
      </c>
      <c r="C37" s="40"/>
      <c r="D37" s="29">
        <v>91965</v>
      </c>
      <c r="E37" s="40"/>
    </row>
    <row r="38" spans="1:5" ht="15.75">
      <c r="A38" s="4"/>
      <c r="B38" s="498" t="s">
        <v>26</v>
      </c>
      <c r="C38" s="40"/>
      <c r="D38" s="29">
        <v>21088</v>
      </c>
      <c r="E38" s="40"/>
    </row>
    <row r="39" spans="1:5" ht="15.75">
      <c r="A39" s="4"/>
      <c r="B39" s="476" t="s">
        <v>27</v>
      </c>
      <c r="C39" s="40"/>
      <c r="D39" s="29">
        <v>18184</v>
      </c>
      <c r="E39" s="40"/>
    </row>
    <row r="40" spans="1:5" ht="15.75">
      <c r="A40" s="41"/>
      <c r="B40" s="475"/>
      <c r="C40" s="42"/>
      <c r="D40" s="29"/>
      <c r="E40" s="43"/>
    </row>
    <row r="41" spans="1:5" ht="15.75">
      <c r="A41" s="41"/>
      <c r="B41" s="475"/>
      <c r="C41" s="40"/>
      <c r="D41" s="29"/>
      <c r="E41" s="43"/>
    </row>
    <row r="42" spans="1:5" ht="15.75">
      <c r="A42" s="41"/>
      <c r="B42" s="43"/>
      <c r="C42" s="40"/>
      <c r="D42" s="43"/>
      <c r="E42" s="43"/>
    </row>
    <row r="43" spans="1:5" ht="15.75">
      <c r="A43" s="41" t="s">
        <v>375</v>
      </c>
      <c r="B43" s="40"/>
      <c r="C43" s="40"/>
      <c r="D43" s="40"/>
      <c r="E43" s="43"/>
    </row>
    <row r="44" spans="1:5" ht="15.75">
      <c r="A44" s="44">
        <v>1</v>
      </c>
      <c r="B44" s="475"/>
      <c r="C44" s="40"/>
      <c r="D44" s="29"/>
      <c r="E44" s="43"/>
    </row>
    <row r="45" spans="1:5" ht="15.75">
      <c r="A45" s="44">
        <v>2</v>
      </c>
      <c r="B45" s="475"/>
      <c r="C45" s="40"/>
      <c r="D45" s="29"/>
      <c r="E45" s="43"/>
    </row>
    <row r="46" spans="1:5" ht="15.75">
      <c r="A46" s="44">
        <v>3</v>
      </c>
      <c r="B46" s="475"/>
      <c r="C46" s="40"/>
      <c r="D46" s="29"/>
      <c r="E46" s="43"/>
    </row>
    <row r="47" spans="1:5" ht="15.75">
      <c r="A47" s="44">
        <v>4</v>
      </c>
      <c r="B47" s="475"/>
      <c r="C47" s="40"/>
      <c r="D47" s="29"/>
      <c r="E47" s="43"/>
    </row>
    <row r="48" spans="1:5" ht="15.75">
      <c r="A48" s="34" t="str">
        <f>CONCATENATE("Total Expenditures for ",C5-1," Budgeted Year")</f>
        <v>Total Expenditures for 2012 Budgeted Year</v>
      </c>
      <c r="B48" s="35"/>
      <c r="C48" s="35"/>
      <c r="D48" s="37">
        <f>SUM(D17:D19,D21:D30,D34:D41,D44:D47)</f>
        <v>1145639</v>
      </c>
      <c r="E48" s="4"/>
    </row>
    <row r="49" spans="1:5" ht="15.75">
      <c r="A49" s="41"/>
      <c r="B49" s="40"/>
      <c r="C49" s="40"/>
      <c r="D49" s="4"/>
      <c r="E49" s="4"/>
    </row>
    <row r="50" spans="1:5" ht="15.75">
      <c r="A50" s="41" t="s">
        <v>376</v>
      </c>
      <c r="B50" s="40"/>
      <c r="C50" s="40"/>
      <c r="D50" s="40"/>
      <c r="E50" s="4"/>
    </row>
    <row r="51" spans="1:5" ht="15.75">
      <c r="A51" s="44">
        <v>1</v>
      </c>
      <c r="B51" s="475" t="s">
        <v>28</v>
      </c>
      <c r="C51" s="40"/>
      <c r="D51" s="40"/>
      <c r="E51" s="4"/>
    </row>
    <row r="52" spans="1:5" ht="15.75">
      <c r="A52" s="44">
        <v>2</v>
      </c>
      <c r="B52" s="475" t="s">
        <v>29</v>
      </c>
      <c r="C52" s="40"/>
      <c r="D52" s="40"/>
      <c r="E52" s="4"/>
    </row>
    <row r="53" spans="1:5" ht="15.75">
      <c r="A53" s="44">
        <v>3</v>
      </c>
      <c r="B53" s="475"/>
      <c r="C53" s="40"/>
      <c r="D53" s="40"/>
      <c r="E53" s="4"/>
    </row>
    <row r="54" spans="1:5" ht="15.75">
      <c r="A54" s="44">
        <v>4</v>
      </c>
      <c r="B54" s="475"/>
      <c r="C54" s="40"/>
      <c r="D54" s="40"/>
      <c r="E54" s="4"/>
    </row>
    <row r="55" spans="1:5" ht="15.75">
      <c r="A55" s="44">
        <v>5</v>
      </c>
      <c r="B55" s="475"/>
      <c r="C55" s="40"/>
      <c r="D55" s="40"/>
      <c r="E55" s="4"/>
    </row>
    <row r="56" spans="1:5" ht="15.75">
      <c r="A56" s="41" t="s">
        <v>349</v>
      </c>
      <c r="B56" s="40"/>
      <c r="C56" s="40"/>
      <c r="D56" s="40"/>
      <c r="E56" s="4"/>
    </row>
    <row r="57" spans="1:5" ht="15.75">
      <c r="A57" s="44">
        <v>1</v>
      </c>
      <c r="B57" s="475"/>
      <c r="C57" s="40"/>
      <c r="D57" s="40"/>
      <c r="E57" s="4"/>
    </row>
    <row r="58" spans="1:5" ht="15.75">
      <c r="A58" s="44">
        <v>2</v>
      </c>
      <c r="B58" s="475"/>
      <c r="C58" s="40"/>
      <c r="D58" s="40"/>
      <c r="E58" s="4"/>
    </row>
    <row r="59" spans="1:5" ht="15.75">
      <c r="A59" s="44">
        <v>3</v>
      </c>
      <c r="B59" s="475"/>
      <c r="C59" s="40"/>
      <c r="D59" s="40"/>
      <c r="E59" s="4"/>
    </row>
    <row r="60" spans="1:5" ht="15.75">
      <c r="A60" s="44">
        <v>4</v>
      </c>
      <c r="B60" s="475"/>
      <c r="C60" s="40"/>
      <c r="D60" s="40"/>
      <c r="E60" s="4"/>
    </row>
    <row r="61" spans="1:5" ht="18" customHeight="1">
      <c r="A61" s="44">
        <v>5</v>
      </c>
      <c r="B61" s="475"/>
      <c r="C61" s="4"/>
      <c r="D61" s="4"/>
      <c r="E61" s="4"/>
    </row>
    <row r="62" spans="1:5" ht="15.75">
      <c r="A62" s="4"/>
      <c r="B62" s="4"/>
      <c r="C62" s="4"/>
      <c r="D62" s="45" t="str">
        <f>CONCATENATE("",C5-3," Tax Rate")</f>
        <v>2010 Tax Rate</v>
      </c>
      <c r="E62" s="4"/>
    </row>
    <row r="63" spans="1:5" ht="15.75">
      <c r="A63" s="46" t="str">
        <f>CONCATENATE("From the ",C5-1," Budget, Budget Summary Page")</f>
        <v>From the 2012 Budget, Budget Summary Page</v>
      </c>
      <c r="B63" s="17"/>
      <c r="C63" s="4"/>
      <c r="D63" s="47" t="str">
        <f>CONCATENATE("(",C5-2," Column)")</f>
        <v>(2011 Column)</v>
      </c>
      <c r="E63" s="4"/>
    </row>
    <row r="64" spans="1:5" ht="15.75">
      <c r="A64" s="4"/>
      <c r="B64" s="48" t="str">
        <f>B17</f>
        <v>General</v>
      </c>
      <c r="C64" s="49"/>
      <c r="D64" s="50">
        <v>54.15</v>
      </c>
      <c r="E64" s="4"/>
    </row>
    <row r="65" spans="1:5" ht="15.75">
      <c r="A65" s="4"/>
      <c r="B65" s="48" t="str">
        <f>B18</f>
        <v>Bond &amp; Interest</v>
      </c>
      <c r="C65" s="49"/>
      <c r="D65" s="50">
        <v>0</v>
      </c>
      <c r="E65" s="4"/>
    </row>
    <row r="66" spans="1:5" ht="15.75">
      <c r="A66" s="4"/>
      <c r="B66" s="48">
        <f>B19</f>
        <v>0</v>
      </c>
      <c r="C66" s="28"/>
      <c r="D66" s="50"/>
      <c r="E66" s="4"/>
    </row>
    <row r="67" spans="1:5" ht="15.75">
      <c r="A67" s="4"/>
      <c r="B67" s="48">
        <f aca="true" t="shared" si="1" ref="B67:B76">B21</f>
        <v>0</v>
      </c>
      <c r="C67" s="28"/>
      <c r="D67" s="50"/>
      <c r="E67" s="4"/>
    </row>
    <row r="68" spans="1:5" ht="15.75">
      <c r="A68" s="4"/>
      <c r="B68" s="48">
        <f t="shared" si="1"/>
        <v>0</v>
      </c>
      <c r="C68" s="28"/>
      <c r="D68" s="50"/>
      <c r="E68" s="4"/>
    </row>
    <row r="69" spans="1:5" ht="15.75">
      <c r="A69" s="4"/>
      <c r="B69" s="48">
        <f t="shared" si="1"/>
        <v>0</v>
      </c>
      <c r="C69" s="28"/>
      <c r="D69" s="50"/>
      <c r="E69" s="4"/>
    </row>
    <row r="70" spans="1:5" ht="15.75">
      <c r="A70" s="4"/>
      <c r="B70" s="48">
        <f t="shared" si="1"/>
        <v>0</v>
      </c>
      <c r="C70" s="28"/>
      <c r="D70" s="50"/>
      <c r="E70" s="4"/>
    </row>
    <row r="71" spans="1:5" ht="15.75">
      <c r="A71" s="4"/>
      <c r="B71" s="48">
        <f t="shared" si="1"/>
        <v>0</v>
      </c>
      <c r="C71" s="28"/>
      <c r="D71" s="50"/>
      <c r="E71" s="4"/>
    </row>
    <row r="72" spans="1:5" ht="15.75">
      <c r="A72" s="4"/>
      <c r="B72" s="48">
        <f t="shared" si="1"/>
        <v>0</v>
      </c>
      <c r="C72" s="28"/>
      <c r="D72" s="50"/>
      <c r="E72" s="4"/>
    </row>
    <row r="73" spans="1:5" ht="15.75">
      <c r="A73" s="4"/>
      <c r="B73" s="48">
        <f t="shared" si="1"/>
        <v>0</v>
      </c>
      <c r="C73" s="28"/>
      <c r="D73" s="50"/>
      <c r="E73" s="4"/>
    </row>
    <row r="74" spans="1:5" ht="15.75">
      <c r="A74" s="4"/>
      <c r="B74" s="48">
        <f t="shared" si="1"/>
        <v>0</v>
      </c>
      <c r="C74" s="28"/>
      <c r="D74" s="50"/>
      <c r="E74" s="4"/>
    </row>
    <row r="75" spans="1:5" ht="15.75">
      <c r="A75" s="4"/>
      <c r="B75" s="48">
        <f t="shared" si="1"/>
        <v>0</v>
      </c>
      <c r="C75" s="28"/>
      <c r="D75" s="50"/>
      <c r="E75" s="4"/>
    </row>
    <row r="76" spans="1:5" ht="15.75">
      <c r="A76" s="4"/>
      <c r="B76" s="48">
        <f t="shared" si="1"/>
        <v>0</v>
      </c>
      <c r="C76" s="28"/>
      <c r="D76" s="50"/>
      <c r="E76" s="4"/>
    </row>
    <row r="77" spans="1:5" ht="15.75">
      <c r="A77" s="9" t="s">
        <v>94</v>
      </c>
      <c r="B77" s="4"/>
      <c r="C77" s="4"/>
      <c r="D77" s="51">
        <f>SUM(D64:D76)</f>
        <v>54.15</v>
      </c>
      <c r="E77" s="4"/>
    </row>
    <row r="78" spans="1:5" ht="15.75">
      <c r="A78" s="4"/>
      <c r="B78" s="4"/>
      <c r="C78" s="4"/>
      <c r="D78" s="4"/>
      <c r="E78" s="4"/>
    </row>
    <row r="79" spans="1:5" ht="15.75">
      <c r="A79" s="52" t="str">
        <f>CONCATENATE("Total Tax Levied (",C5-2," budget column)")</f>
        <v>Total Tax Levied (2011 budget column)</v>
      </c>
      <c r="B79" s="53"/>
      <c r="C79" s="35"/>
      <c r="D79" s="54"/>
      <c r="E79" s="30">
        <v>81466</v>
      </c>
    </row>
    <row r="80" spans="1:5" ht="15.75">
      <c r="A80" s="52" t="str">
        <f>CONCATENATE("Assessed Valuation  (",C5-2," budget column)")</f>
        <v>Assessed Valuation  (2011 budget column)</v>
      </c>
      <c r="B80" s="55"/>
      <c r="C80" s="56"/>
      <c r="D80" s="57"/>
      <c r="E80" s="30">
        <v>1504439</v>
      </c>
    </row>
    <row r="81" spans="1:5" ht="15.75">
      <c r="A81" s="4"/>
      <c r="B81" s="4"/>
      <c r="C81" s="4"/>
      <c r="D81" s="20"/>
      <c r="E81" s="31"/>
    </row>
    <row r="82" spans="1:5" ht="15.75">
      <c r="A82" s="17" t="s">
        <v>76</v>
      </c>
      <c r="B82" s="17"/>
      <c r="C82" s="58"/>
      <c r="D82" s="59">
        <f>C5-3</f>
        <v>2010</v>
      </c>
      <c r="E82" s="60">
        <f>C5-2</f>
        <v>2011</v>
      </c>
    </row>
    <row r="83" spans="1:5" ht="15.75">
      <c r="A83" s="53" t="s">
        <v>340</v>
      </c>
      <c r="B83" s="53"/>
      <c r="C83" s="61"/>
      <c r="D83" s="29"/>
      <c r="E83" s="29"/>
    </row>
    <row r="84" spans="1:5" ht="15.75">
      <c r="A84" s="55" t="s">
        <v>341</v>
      </c>
      <c r="B84" s="55"/>
      <c r="C84" s="62"/>
      <c r="D84" s="29"/>
      <c r="E84" s="29"/>
    </row>
    <row r="85" spans="1:5" ht="15.75">
      <c r="A85" s="55" t="s">
        <v>342</v>
      </c>
      <c r="B85" s="55"/>
      <c r="C85" s="62"/>
      <c r="D85" s="29">
        <v>437027</v>
      </c>
      <c r="E85" s="29">
        <v>399140</v>
      </c>
    </row>
    <row r="86" spans="1:5" ht="15.75">
      <c r="A86" s="55" t="s">
        <v>343</v>
      </c>
      <c r="B86" s="55"/>
      <c r="C86" s="62"/>
      <c r="D86" s="29"/>
      <c r="E86" s="29"/>
    </row>
    <row r="93" spans="1:5" s="63" customFormat="1" ht="15.75">
      <c r="A93" s="5"/>
      <c r="B93" s="5"/>
      <c r="C93" s="5"/>
      <c r="D93" s="5"/>
      <c r="E93" s="5"/>
    </row>
  </sheetData>
  <sheetProtection/>
  <mergeCells count="2">
    <mergeCell ref="A10:E10"/>
    <mergeCell ref="G8:H13"/>
  </mergeCells>
  <printOptions/>
  <pageMargins left="0.5" right="0.5" top="1" bottom="0.5" header="0.5" footer="0.25"/>
  <pageSetup blackAndWhite="1" fitToHeight="2" fitToWidth="1" horizontalDpi="120" verticalDpi="120" orientation="portrait" scale="83" r:id="rId1"/>
</worksheet>
</file>

<file path=xl/worksheets/sheet10.xml><?xml version="1.0" encoding="utf-8"?>
<worksheet xmlns="http://schemas.openxmlformats.org/spreadsheetml/2006/main" xmlns:r="http://schemas.openxmlformats.org/officeDocument/2006/relationships">
  <sheetPr>
    <pageSetUpPr fitToPage="1"/>
  </sheetPr>
  <dimension ref="B1:I30"/>
  <sheetViews>
    <sheetView zoomScale="75" zoomScaleNormal="75" zoomScalePageLayoutView="0" workbookViewId="0" topLeftCell="A1">
      <selection activeCell="F11" sqref="F11"/>
    </sheetView>
  </sheetViews>
  <sheetFormatPr defaultColWidth="8.796875" defaultRowHeight="15"/>
  <cols>
    <col min="1" max="1" width="10.796875" style="5" customWidth="1"/>
    <col min="2" max="2" width="23.59765625" style="5" customWidth="1"/>
    <col min="3" max="5" width="9.796875" style="5" customWidth="1"/>
    <col min="6" max="6" width="18.296875" style="5" customWidth="1"/>
    <col min="7" max="9" width="15.796875" style="5" customWidth="1"/>
    <col min="10" max="16384" width="8.8984375" style="5" customWidth="1"/>
  </cols>
  <sheetData>
    <row r="1" spans="2:9" ht="15.75">
      <c r="B1" s="131" t="str">
        <f>inputPrYr!$D$2</f>
        <v>City of LaHarpe</v>
      </c>
      <c r="C1" s="4"/>
      <c r="D1" s="4"/>
      <c r="E1" s="4"/>
      <c r="F1" s="4"/>
      <c r="G1" s="4"/>
      <c r="H1" s="4"/>
      <c r="I1" s="191">
        <f>inputPrYr!$C$5</f>
        <v>2013</v>
      </c>
    </row>
    <row r="2" spans="2:9" ht="15.75">
      <c r="B2" s="131"/>
      <c r="C2" s="4"/>
      <c r="D2" s="4"/>
      <c r="E2" s="4"/>
      <c r="F2" s="4"/>
      <c r="G2" s="4"/>
      <c r="H2" s="4"/>
      <c r="I2" s="127"/>
    </row>
    <row r="3" spans="2:9" ht="15.75">
      <c r="B3" s="4"/>
      <c r="C3" s="4"/>
      <c r="D3" s="4"/>
      <c r="E3" s="4"/>
      <c r="F3" s="4"/>
      <c r="G3" s="4"/>
      <c r="H3" s="4"/>
      <c r="I3" s="99"/>
    </row>
    <row r="4" spans="2:9" ht="15.75">
      <c r="B4" s="165" t="s">
        <v>259</v>
      </c>
      <c r="C4" s="13"/>
      <c r="D4" s="13"/>
      <c r="E4" s="13"/>
      <c r="F4" s="13"/>
      <c r="G4" s="13"/>
      <c r="H4" s="13"/>
      <c r="I4" s="13"/>
    </row>
    <row r="5" spans="2:9" ht="15.75">
      <c r="B5" s="35"/>
      <c r="C5" s="166"/>
      <c r="D5" s="166"/>
      <c r="E5" s="166"/>
      <c r="F5" s="166"/>
      <c r="G5" s="166"/>
      <c r="H5" s="166"/>
      <c r="I5" s="166"/>
    </row>
    <row r="6" spans="2:9" ht="15.75">
      <c r="B6" s="113"/>
      <c r="C6" s="113"/>
      <c r="D6" s="113"/>
      <c r="E6" s="113"/>
      <c r="F6" s="146" t="s">
        <v>94</v>
      </c>
      <c r="G6" s="113"/>
      <c r="H6" s="113"/>
      <c r="I6" s="113"/>
    </row>
    <row r="7" spans="2:9" ht="15.75">
      <c r="B7" s="114"/>
      <c r="C7" s="107"/>
      <c r="D7" s="107" t="s">
        <v>247</v>
      </c>
      <c r="E7" s="107" t="s">
        <v>248</v>
      </c>
      <c r="F7" s="107" t="s">
        <v>193</v>
      </c>
      <c r="G7" s="107" t="s">
        <v>250</v>
      </c>
      <c r="H7" s="107" t="s">
        <v>251</v>
      </c>
      <c r="I7" s="107" t="s">
        <v>251</v>
      </c>
    </row>
    <row r="8" spans="2:9" ht="15.75">
      <c r="B8" s="114"/>
      <c r="C8" s="107" t="s">
        <v>252</v>
      </c>
      <c r="D8" s="107" t="s">
        <v>253</v>
      </c>
      <c r="E8" s="107" t="s">
        <v>237</v>
      </c>
      <c r="F8" s="107" t="s">
        <v>254</v>
      </c>
      <c r="G8" s="107" t="s">
        <v>299</v>
      </c>
      <c r="H8" s="107" t="s">
        <v>255</v>
      </c>
      <c r="I8" s="107" t="s">
        <v>255</v>
      </c>
    </row>
    <row r="9" spans="2:9" ht="15.75">
      <c r="B9" s="110" t="s">
        <v>256</v>
      </c>
      <c r="C9" s="110" t="s">
        <v>234</v>
      </c>
      <c r="D9" s="192" t="s">
        <v>257</v>
      </c>
      <c r="E9" s="110" t="s">
        <v>215</v>
      </c>
      <c r="F9" s="192" t="s">
        <v>323</v>
      </c>
      <c r="G9" s="193" t="str">
        <f>CONCATENATE("Jan 1 ",I1-1,"")</f>
        <v>Jan 1 2012</v>
      </c>
      <c r="H9" s="110">
        <f>I1-1</f>
        <v>2012</v>
      </c>
      <c r="I9" s="110">
        <f>I1</f>
        <v>2013</v>
      </c>
    </row>
    <row r="10" spans="2:9" ht="15.75">
      <c r="B10" s="33" t="s">
        <v>128</v>
      </c>
      <c r="C10" s="294">
        <v>40723</v>
      </c>
      <c r="D10" s="195">
        <v>36</v>
      </c>
      <c r="E10" s="173">
        <v>3.5</v>
      </c>
      <c r="F10" s="174">
        <v>9488</v>
      </c>
      <c r="G10" s="174">
        <v>7687</v>
      </c>
      <c r="H10" s="174">
        <v>3336</v>
      </c>
      <c r="I10" s="174">
        <v>3337</v>
      </c>
    </row>
    <row r="11" spans="2:9" ht="15.75">
      <c r="B11" s="33"/>
      <c r="C11" s="194"/>
      <c r="D11" s="195"/>
      <c r="E11" s="173"/>
      <c r="F11" s="174"/>
      <c r="G11" s="174"/>
      <c r="H11" s="174"/>
      <c r="I11" s="174"/>
    </row>
    <row r="12" spans="2:9" ht="15.75">
      <c r="B12" s="33"/>
      <c r="C12" s="194"/>
      <c r="D12" s="195"/>
      <c r="E12" s="173"/>
      <c r="F12" s="174"/>
      <c r="G12" s="174"/>
      <c r="H12" s="174"/>
      <c r="I12" s="174"/>
    </row>
    <row r="13" spans="2:9" ht="15.75">
      <c r="B13" s="33"/>
      <c r="C13" s="194"/>
      <c r="D13" s="195"/>
      <c r="E13" s="173"/>
      <c r="F13" s="174"/>
      <c r="G13" s="174"/>
      <c r="H13" s="174"/>
      <c r="I13" s="174"/>
    </row>
    <row r="14" spans="2:9" ht="15.75">
      <c r="B14" s="33"/>
      <c r="C14" s="294"/>
      <c r="D14" s="195"/>
      <c r="E14" s="173"/>
      <c r="F14" s="174"/>
      <c r="G14" s="174"/>
      <c r="H14" s="174"/>
      <c r="I14" s="174"/>
    </row>
    <row r="15" spans="2:9" ht="15.75">
      <c r="B15" s="33"/>
      <c r="C15" s="194"/>
      <c r="D15" s="195"/>
      <c r="E15" s="173"/>
      <c r="F15" s="174"/>
      <c r="G15" s="174"/>
      <c r="H15" s="174"/>
      <c r="I15" s="174"/>
    </row>
    <row r="16" spans="2:9" ht="15.75">
      <c r="B16" s="33"/>
      <c r="C16" s="194"/>
      <c r="D16" s="195"/>
      <c r="E16" s="173"/>
      <c r="F16" s="174"/>
      <c r="G16" s="174"/>
      <c r="H16" s="174"/>
      <c r="I16" s="174"/>
    </row>
    <row r="17" spans="2:9" ht="15.75">
      <c r="B17" s="33"/>
      <c r="C17" s="194"/>
      <c r="D17" s="195"/>
      <c r="E17" s="173"/>
      <c r="F17" s="174"/>
      <c r="G17" s="174"/>
      <c r="H17" s="174"/>
      <c r="I17" s="174"/>
    </row>
    <row r="18" spans="2:9" ht="15.75">
      <c r="B18" s="33"/>
      <c r="C18" s="194"/>
      <c r="D18" s="195"/>
      <c r="E18" s="173"/>
      <c r="F18" s="174"/>
      <c r="G18" s="174"/>
      <c r="H18" s="174"/>
      <c r="I18" s="174"/>
    </row>
    <row r="19" spans="2:9" ht="15.75">
      <c r="B19" s="33"/>
      <c r="C19" s="194"/>
      <c r="D19" s="195"/>
      <c r="E19" s="173"/>
      <c r="F19" s="174"/>
      <c r="G19" s="174"/>
      <c r="H19" s="174"/>
      <c r="I19" s="174"/>
    </row>
    <row r="20" spans="2:9" ht="15.75">
      <c r="B20" s="33"/>
      <c r="C20" s="194"/>
      <c r="D20" s="195"/>
      <c r="E20" s="173"/>
      <c r="F20" s="174"/>
      <c r="G20" s="174"/>
      <c r="H20" s="174"/>
      <c r="I20" s="174"/>
    </row>
    <row r="21" spans="2:9" ht="15.75">
      <c r="B21" s="33"/>
      <c r="C21" s="194"/>
      <c r="D21" s="195"/>
      <c r="E21" s="173"/>
      <c r="F21" s="174"/>
      <c r="G21" s="174"/>
      <c r="H21" s="174"/>
      <c r="I21" s="174"/>
    </row>
    <row r="22" spans="2:9" ht="15.75">
      <c r="B22" s="33"/>
      <c r="C22" s="194"/>
      <c r="D22" s="195"/>
      <c r="E22" s="173"/>
      <c r="F22" s="174"/>
      <c r="G22" s="174"/>
      <c r="H22" s="174"/>
      <c r="I22" s="174"/>
    </row>
    <row r="23" spans="2:9" ht="15.75">
      <c r="B23" s="33"/>
      <c r="C23" s="194"/>
      <c r="D23" s="195"/>
      <c r="E23" s="173"/>
      <c r="F23" s="174"/>
      <c r="G23" s="174"/>
      <c r="H23" s="174"/>
      <c r="I23" s="174"/>
    </row>
    <row r="24" spans="2:9" ht="15.75">
      <c r="B24" s="33"/>
      <c r="C24" s="194"/>
      <c r="D24" s="195"/>
      <c r="E24" s="173"/>
      <c r="F24" s="174"/>
      <c r="G24" s="174"/>
      <c r="H24" s="174"/>
      <c r="I24" s="174"/>
    </row>
    <row r="25" spans="2:9" ht="15.75">
      <c r="B25" s="33"/>
      <c r="C25" s="194"/>
      <c r="D25" s="195"/>
      <c r="E25" s="173"/>
      <c r="F25" s="174"/>
      <c r="G25" s="174"/>
      <c r="H25" s="174"/>
      <c r="I25" s="174"/>
    </row>
    <row r="26" spans="2:9" ht="15.75">
      <c r="B26" s="33"/>
      <c r="C26" s="194"/>
      <c r="D26" s="195"/>
      <c r="E26" s="173"/>
      <c r="F26" s="174"/>
      <c r="G26" s="174"/>
      <c r="H26" s="174"/>
      <c r="I26" s="174"/>
    </row>
    <row r="27" spans="2:9" ht="15.75">
      <c r="B27" s="33"/>
      <c r="C27" s="194"/>
      <c r="D27" s="195"/>
      <c r="E27" s="173"/>
      <c r="F27" s="174"/>
      <c r="G27" s="174"/>
      <c r="H27" s="174"/>
      <c r="I27" s="174"/>
    </row>
    <row r="28" spans="2:9" ht="16.5" thickBot="1">
      <c r="B28" s="196" t="s">
        <v>188</v>
      </c>
      <c r="C28" s="130"/>
      <c r="D28" s="130"/>
      <c r="E28" s="130"/>
      <c r="F28" s="130"/>
      <c r="G28" s="197">
        <f>SUM(G10:G27)</f>
        <v>7687</v>
      </c>
      <c r="H28" s="197">
        <f>SUM(H10:H27)</f>
        <v>3336</v>
      </c>
      <c r="I28" s="197">
        <f>SUM(I10:I27)</f>
        <v>3337</v>
      </c>
    </row>
    <row r="29" spans="2:9" ht="16.5" thickTop="1">
      <c r="B29" s="4"/>
      <c r="C29" s="4"/>
      <c r="D29" s="4"/>
      <c r="E29" s="4"/>
      <c r="F29" s="4"/>
      <c r="G29" s="4"/>
      <c r="H29" s="131"/>
      <c r="I29" s="131"/>
    </row>
    <row r="30" spans="2:9" ht="15.75">
      <c r="B30" s="198" t="s">
        <v>87</v>
      </c>
      <c r="C30" s="199"/>
      <c r="D30" s="199"/>
      <c r="E30" s="199"/>
      <c r="F30" s="199"/>
      <c r="G30" s="199"/>
      <c r="H30" s="131"/>
      <c r="I30" s="131"/>
    </row>
  </sheetData>
  <sheetProtection sheet="1"/>
  <printOptions/>
  <pageMargins left="0.25" right="0.25" top="1" bottom="0.5" header="0.5" footer="0.5"/>
  <pageSetup blackAndWhite="1" fitToHeight="1" fitToWidth="1" horizontalDpi="120" verticalDpi="120" orientation="landscape" scale="88" r:id="rId1"/>
  <headerFooter alignWithMargins="0">
    <oddHeader>&amp;RState of Kansas
City
</oddHeader>
    <oddFooter>&amp;CPage No. 6</oddFooter>
  </headerFooter>
</worksheet>
</file>

<file path=xl/worksheets/sheet11.xml><?xml version="1.0" encoding="utf-8"?>
<worksheet xmlns="http://schemas.openxmlformats.org/spreadsheetml/2006/main" xmlns:r="http://schemas.openxmlformats.org/officeDocument/2006/relationships">
  <dimension ref="B1:K148"/>
  <sheetViews>
    <sheetView zoomScalePageLayoutView="0" workbookViewId="0" topLeftCell="A67">
      <selection activeCell="E85" sqref="E85"/>
    </sheetView>
  </sheetViews>
  <sheetFormatPr defaultColWidth="8.796875" defaultRowHeight="15"/>
  <cols>
    <col min="1" max="1" width="2.3984375" style="5" customWidth="1"/>
    <col min="2" max="2" width="31.69921875" style="5" customWidth="1"/>
    <col min="3" max="4" width="15.796875" style="5" customWidth="1"/>
    <col min="5" max="5" width="16.19921875" style="5" customWidth="1"/>
    <col min="6" max="6" width="6.8984375" style="5" customWidth="1"/>
    <col min="7" max="7" width="10.19921875" style="5" customWidth="1"/>
    <col min="8" max="8" width="8.8984375" style="5" customWidth="1"/>
    <col min="9" max="9" width="5" style="5" customWidth="1"/>
    <col min="10" max="10" width="10" style="5" customWidth="1"/>
    <col min="11" max="16384" width="8.8984375" style="5" customWidth="1"/>
  </cols>
  <sheetData>
    <row r="1" spans="2:5" ht="15.75">
      <c r="B1" s="131" t="str">
        <f>inputPrYr!D2</f>
        <v>City of LaHarpe</v>
      </c>
      <c r="C1" s="4"/>
      <c r="D1" s="4"/>
      <c r="E1" s="191">
        <f>inputPrYr!C5</f>
        <v>2013</v>
      </c>
    </row>
    <row r="2" spans="2:5" ht="15.75">
      <c r="B2" s="4"/>
      <c r="C2" s="4"/>
      <c r="D2" s="4"/>
      <c r="E2" s="127"/>
    </row>
    <row r="3" spans="2:5" ht="15.75">
      <c r="B3" s="21"/>
      <c r="C3" s="4"/>
      <c r="D3" s="4"/>
      <c r="E3" s="99"/>
    </row>
    <row r="4" spans="2:5" ht="15.75">
      <c r="B4" s="21" t="s">
        <v>263</v>
      </c>
      <c r="C4" s="200"/>
      <c r="D4" s="200"/>
      <c r="E4" s="200"/>
    </row>
    <row r="5" spans="2:5" ht="15.75">
      <c r="B5" s="129" t="s">
        <v>200</v>
      </c>
      <c r="C5" s="458" t="s">
        <v>41</v>
      </c>
      <c r="D5" s="459" t="s">
        <v>44</v>
      </c>
      <c r="E5" s="105" t="s">
        <v>45</v>
      </c>
    </row>
    <row r="6" spans="2:5" ht="15.75">
      <c r="B6" s="313" t="str">
        <f>inputPrYr!B17</f>
        <v>General</v>
      </c>
      <c r="C6" s="296" t="str">
        <f>CONCATENATE("Actual for ",E1-2,"")</f>
        <v>Actual for 2011</v>
      </c>
      <c r="D6" s="296" t="str">
        <f>CONCATENATE("Estimate for ",E1-1,"")</f>
        <v>Estimate for 2012</v>
      </c>
      <c r="E6" s="201" t="str">
        <f>CONCATENATE("Year for ",E1,"")</f>
        <v>Year for 2013</v>
      </c>
    </row>
    <row r="7" spans="2:5" ht="15.75">
      <c r="B7" s="202" t="s">
        <v>318</v>
      </c>
      <c r="C7" s="203">
        <v>31681</v>
      </c>
      <c r="D7" s="295">
        <f>C116</f>
        <v>45413</v>
      </c>
      <c r="E7" s="172">
        <f>D116</f>
        <v>69152</v>
      </c>
    </row>
    <row r="8" spans="2:5" ht="15.75">
      <c r="B8" s="205" t="s">
        <v>320</v>
      </c>
      <c r="C8" s="119"/>
      <c r="D8" s="119"/>
      <c r="E8" s="48"/>
    </row>
    <row r="9" spans="2:5" ht="15.75">
      <c r="B9" s="202" t="s">
        <v>201</v>
      </c>
      <c r="C9" s="203">
        <v>77692</v>
      </c>
      <c r="D9" s="295">
        <f>IF(inputPrYr!H16&gt;0,inputPrYr!G17,inputPrYr!E17)</f>
        <v>80388</v>
      </c>
      <c r="E9" s="207" t="s">
        <v>189</v>
      </c>
    </row>
    <row r="10" spans="2:5" ht="15.75">
      <c r="B10" s="202" t="s">
        <v>202</v>
      </c>
      <c r="C10" s="203">
        <v>4449</v>
      </c>
      <c r="D10" s="203">
        <v>2486</v>
      </c>
      <c r="E10" s="208">
        <v>2486</v>
      </c>
    </row>
    <row r="11" spans="2:5" ht="15.75">
      <c r="B11" s="202" t="s">
        <v>203</v>
      </c>
      <c r="C11" s="203">
        <v>17599</v>
      </c>
      <c r="D11" s="203">
        <v>19695</v>
      </c>
      <c r="E11" s="172">
        <f>mvalloc!D7</f>
        <v>17431</v>
      </c>
    </row>
    <row r="12" spans="2:5" ht="15.75">
      <c r="B12" s="202" t="s">
        <v>204</v>
      </c>
      <c r="C12" s="203">
        <v>171</v>
      </c>
      <c r="D12" s="203">
        <v>374</v>
      </c>
      <c r="E12" s="172">
        <f>mvalloc!E7</f>
        <v>143</v>
      </c>
    </row>
    <row r="13" spans="2:5" ht="15.75">
      <c r="B13" s="202" t="s">
        <v>295</v>
      </c>
      <c r="C13" s="203">
        <v>179</v>
      </c>
      <c r="D13" s="203">
        <v>164</v>
      </c>
      <c r="E13" s="172">
        <f>mvalloc!F7</f>
        <v>152</v>
      </c>
    </row>
    <row r="14" spans="2:5" ht="15.75">
      <c r="B14" s="202" t="s">
        <v>296</v>
      </c>
      <c r="C14" s="203">
        <v>0</v>
      </c>
      <c r="D14" s="203">
        <v>0</v>
      </c>
      <c r="E14" s="172">
        <f>inputOth!E16</f>
        <v>0</v>
      </c>
    </row>
    <row r="15" spans="2:5" ht="15.75">
      <c r="B15" s="202" t="s">
        <v>334</v>
      </c>
      <c r="C15" s="203">
        <v>0</v>
      </c>
      <c r="D15" s="203">
        <v>0</v>
      </c>
      <c r="E15" s="172">
        <f>inputOth!E42</f>
        <v>0</v>
      </c>
    </row>
    <row r="16" spans="2:5" ht="15.75">
      <c r="B16" s="202" t="s">
        <v>335</v>
      </c>
      <c r="C16" s="203">
        <v>0</v>
      </c>
      <c r="D16" s="203">
        <v>0</v>
      </c>
      <c r="E16" s="172">
        <f>inputOth!E43</f>
        <v>0</v>
      </c>
    </row>
    <row r="17" spans="2:5" ht="15.75">
      <c r="B17" s="509" t="s">
        <v>33</v>
      </c>
      <c r="C17" s="203">
        <v>9375</v>
      </c>
      <c r="D17" s="203">
        <v>7792</v>
      </c>
      <c r="E17" s="30">
        <v>7792</v>
      </c>
    </row>
    <row r="18" spans="2:5" ht="15.75">
      <c r="B18" s="509" t="s">
        <v>28</v>
      </c>
      <c r="C18" s="203">
        <v>26076</v>
      </c>
      <c r="D18" s="203">
        <v>23200</v>
      </c>
      <c r="E18" s="30">
        <v>23200</v>
      </c>
    </row>
    <row r="19" spans="2:5" ht="15.75">
      <c r="B19" s="509" t="s">
        <v>129</v>
      </c>
      <c r="C19" s="203">
        <v>390</v>
      </c>
      <c r="D19" s="203">
        <v>390</v>
      </c>
      <c r="E19" s="30">
        <v>390</v>
      </c>
    </row>
    <row r="20" spans="2:5" ht="15.75">
      <c r="B20" s="509" t="s">
        <v>130</v>
      </c>
      <c r="C20" s="203">
        <v>4750</v>
      </c>
      <c r="D20" s="203">
        <v>0</v>
      </c>
      <c r="E20" s="30">
        <v>0</v>
      </c>
    </row>
    <row r="21" spans="2:5" ht="15.75">
      <c r="B21" s="509" t="s">
        <v>131</v>
      </c>
      <c r="C21" s="203">
        <v>689</v>
      </c>
      <c r="D21" s="203">
        <v>322</v>
      </c>
      <c r="E21" s="30">
        <v>325</v>
      </c>
    </row>
    <row r="22" spans="2:5" ht="15.75">
      <c r="B22" s="206" t="s">
        <v>132</v>
      </c>
      <c r="C22" s="203">
        <v>2400</v>
      </c>
      <c r="D22" s="203">
        <v>2400</v>
      </c>
      <c r="E22" s="30">
        <v>2400</v>
      </c>
    </row>
    <row r="23" spans="2:5" ht="15.75">
      <c r="B23" s="206" t="s">
        <v>133</v>
      </c>
      <c r="C23" s="203">
        <v>6500</v>
      </c>
      <c r="D23" s="203">
        <v>0</v>
      </c>
      <c r="E23" s="30">
        <v>0</v>
      </c>
    </row>
    <row r="24" spans="2:5" ht="15.75">
      <c r="B24" s="206"/>
      <c r="C24" s="203"/>
      <c r="D24" s="203"/>
      <c r="E24" s="30"/>
    </row>
    <row r="25" spans="2:5" ht="15.75">
      <c r="B25" s="206"/>
      <c r="C25" s="203"/>
      <c r="D25" s="203"/>
      <c r="E25" s="30"/>
    </row>
    <row r="26" spans="2:5" ht="15.75">
      <c r="B26" s="206"/>
      <c r="C26" s="203"/>
      <c r="D26" s="203"/>
      <c r="E26" s="30"/>
    </row>
    <row r="27" spans="2:5" ht="15.75">
      <c r="B27" s="206"/>
      <c r="C27" s="203"/>
      <c r="D27" s="203"/>
      <c r="E27" s="30"/>
    </row>
    <row r="28" spans="2:5" ht="15.75">
      <c r="B28" s="206"/>
      <c r="C28" s="203"/>
      <c r="D28" s="203"/>
      <c r="E28" s="30"/>
    </row>
    <row r="29" spans="2:5" ht="15.75">
      <c r="B29" s="206"/>
      <c r="C29" s="203"/>
      <c r="D29" s="203"/>
      <c r="E29" s="30"/>
    </row>
    <row r="30" spans="2:5" ht="15.75">
      <c r="B30" s="206"/>
      <c r="C30" s="203"/>
      <c r="D30" s="203"/>
      <c r="E30" s="30"/>
    </row>
    <row r="31" spans="2:5" ht="15.75">
      <c r="B31" s="206"/>
      <c r="C31" s="203"/>
      <c r="D31" s="203"/>
      <c r="E31" s="30"/>
    </row>
    <row r="32" spans="2:5" ht="15.75">
      <c r="B32" s="206"/>
      <c r="C32" s="203"/>
      <c r="D32" s="203"/>
      <c r="E32" s="30"/>
    </row>
    <row r="33" spans="2:5" ht="15.75">
      <c r="B33" s="206"/>
      <c r="C33" s="203"/>
      <c r="D33" s="203"/>
      <c r="E33" s="30"/>
    </row>
    <row r="34" spans="2:5" ht="15.75">
      <c r="B34" s="206"/>
      <c r="C34" s="203"/>
      <c r="D34" s="203"/>
      <c r="E34" s="30"/>
    </row>
    <row r="35" spans="2:5" ht="15.75">
      <c r="B35" s="206"/>
      <c r="C35" s="203"/>
      <c r="D35" s="203"/>
      <c r="E35" s="30"/>
    </row>
    <row r="36" spans="2:5" ht="15.75">
      <c r="B36" s="206"/>
      <c r="C36" s="203"/>
      <c r="D36" s="203"/>
      <c r="E36" s="30"/>
    </row>
    <row r="37" spans="2:5" ht="15.75">
      <c r="B37" s="206"/>
      <c r="C37" s="203"/>
      <c r="D37" s="203"/>
      <c r="E37" s="30"/>
    </row>
    <row r="38" spans="2:5" ht="15.75">
      <c r="B38" s="206"/>
      <c r="C38" s="203"/>
      <c r="D38" s="203"/>
      <c r="E38" s="30"/>
    </row>
    <row r="39" spans="2:5" ht="15.75">
      <c r="B39" s="206"/>
      <c r="C39" s="203"/>
      <c r="D39" s="203"/>
      <c r="E39" s="30"/>
    </row>
    <row r="40" spans="2:5" ht="15.75">
      <c r="B40" s="206"/>
      <c r="C40" s="203"/>
      <c r="D40" s="203"/>
      <c r="E40" s="30"/>
    </row>
    <row r="41" spans="2:5" ht="15.75">
      <c r="B41" s="206"/>
      <c r="C41" s="203"/>
      <c r="D41" s="203"/>
      <c r="E41" s="30"/>
    </row>
    <row r="42" spans="2:5" ht="15.75">
      <c r="B42" s="206"/>
      <c r="C42" s="203"/>
      <c r="D42" s="203"/>
      <c r="E42" s="30"/>
    </row>
    <row r="43" spans="2:5" ht="15.75">
      <c r="B43" s="206"/>
      <c r="C43" s="203"/>
      <c r="D43" s="203"/>
      <c r="E43" s="30"/>
    </row>
    <row r="44" spans="2:5" ht="15.75">
      <c r="B44" s="206"/>
      <c r="C44" s="203"/>
      <c r="D44" s="203"/>
      <c r="E44" s="30"/>
    </row>
    <row r="45" spans="2:5" ht="15.75">
      <c r="B45" s="206"/>
      <c r="C45" s="203"/>
      <c r="D45" s="203"/>
      <c r="E45" s="30"/>
    </row>
    <row r="46" spans="2:5" ht="15.75">
      <c r="B46" s="206"/>
      <c r="C46" s="203"/>
      <c r="D46" s="203"/>
      <c r="E46" s="30"/>
    </row>
    <row r="47" spans="2:5" ht="15.75">
      <c r="B47" s="206"/>
      <c r="C47" s="203"/>
      <c r="D47" s="203"/>
      <c r="E47" s="30"/>
    </row>
    <row r="48" spans="2:5" ht="15.75">
      <c r="B48" s="206"/>
      <c r="C48" s="203"/>
      <c r="D48" s="203"/>
      <c r="E48" s="30"/>
    </row>
    <row r="49" spans="2:5" ht="15.75">
      <c r="B49" s="206"/>
      <c r="C49" s="203"/>
      <c r="D49" s="203"/>
      <c r="E49" s="30"/>
    </row>
    <row r="50" spans="2:5" ht="15.75">
      <c r="B50" s="206"/>
      <c r="C50" s="203"/>
      <c r="D50" s="203"/>
      <c r="E50" s="30"/>
    </row>
    <row r="51" spans="2:5" ht="15.75">
      <c r="B51" s="206"/>
      <c r="C51" s="203"/>
      <c r="D51" s="203"/>
      <c r="E51" s="30"/>
    </row>
    <row r="52" spans="2:5" ht="15.75">
      <c r="B52" s="376" t="s">
        <v>205</v>
      </c>
      <c r="C52" s="203"/>
      <c r="D52" s="203"/>
      <c r="E52" s="30"/>
    </row>
    <row r="53" spans="2:5" ht="15.75">
      <c r="B53" s="209" t="s">
        <v>206</v>
      </c>
      <c r="C53" s="203">
        <v>941</v>
      </c>
      <c r="D53" s="203">
        <v>554</v>
      </c>
      <c r="E53" s="30">
        <v>554</v>
      </c>
    </row>
    <row r="54" spans="2:5" ht="15.75">
      <c r="B54" s="119" t="s">
        <v>84</v>
      </c>
      <c r="C54" s="203">
        <f>8641-689-2400</f>
        <v>5552</v>
      </c>
      <c r="D54" s="30">
        <v>4773</v>
      </c>
      <c r="E54" s="204">
        <v>4800</v>
      </c>
    </row>
    <row r="55" spans="2:5" ht="15.75">
      <c r="B55" s="202" t="s">
        <v>35</v>
      </c>
      <c r="C55" s="293">
        <f>IF(C56*0.1&lt;C54,"Exceed 10% Rule","")</f>
      </c>
      <c r="D55" s="300">
        <f>IF(D56*0.1&lt;D54,"Exceed 10% Rule","")</f>
      </c>
      <c r="E55" s="210">
        <f>IF(E56*0.1+E122&lt;E54,"Exceed 10% Rule","")</f>
      </c>
    </row>
    <row r="56" spans="2:5" ht="15.75">
      <c r="B56" s="211" t="s">
        <v>207</v>
      </c>
      <c r="C56" s="310">
        <f>SUM(C9:C54)</f>
        <v>156763</v>
      </c>
      <c r="D56" s="310">
        <f>SUM(D9:D54)</f>
        <v>142538</v>
      </c>
      <c r="E56" s="212">
        <f>SUM(E10:E54)</f>
        <v>59673</v>
      </c>
    </row>
    <row r="57" spans="2:5" ht="15.75">
      <c r="B57" s="211" t="s">
        <v>208</v>
      </c>
      <c r="C57" s="310">
        <f>C7+C56</f>
        <v>188444</v>
      </c>
      <c r="D57" s="310">
        <f>D7+D56</f>
        <v>187951</v>
      </c>
      <c r="E57" s="212">
        <f>E7+E56</f>
        <v>128825</v>
      </c>
    </row>
    <row r="58" spans="2:5" ht="15.75">
      <c r="B58" s="4"/>
      <c r="C58" s="4"/>
      <c r="D58" s="4"/>
      <c r="E58" s="4"/>
    </row>
    <row r="59" spans="2:5" ht="15.75">
      <c r="B59" s="130"/>
      <c r="C59" s="99" t="s">
        <v>216</v>
      </c>
      <c r="D59" s="129">
        <f>IF(inputPrYr!D19&gt;0,8,7)</f>
        <v>7</v>
      </c>
      <c r="E59" s="130"/>
    </row>
    <row r="60" spans="2:5" ht="15.75">
      <c r="B60" s="130"/>
      <c r="C60" s="130"/>
      <c r="D60" s="130"/>
      <c r="E60" s="130"/>
    </row>
    <row r="61" spans="2:5" ht="15.75">
      <c r="B61" s="131" t="str">
        <f>inputPrYr!D2</f>
        <v>City of LaHarpe</v>
      </c>
      <c r="C61" s="4"/>
      <c r="D61" s="4"/>
      <c r="E61" s="127"/>
    </row>
    <row r="62" spans="2:5" ht="15.75">
      <c r="B62" s="4"/>
      <c r="C62" s="4"/>
      <c r="D62" s="4"/>
      <c r="E62" s="99"/>
    </row>
    <row r="63" spans="2:5" ht="15.75">
      <c r="B63" s="196" t="s">
        <v>262</v>
      </c>
      <c r="C63" s="166"/>
      <c r="D63" s="166"/>
      <c r="E63" s="166"/>
    </row>
    <row r="64" spans="2:5" ht="15.75">
      <c r="B64" s="4" t="s">
        <v>200</v>
      </c>
      <c r="C64" s="458" t="str">
        <f aca="true" t="shared" si="0" ref="C64:E65">C5</f>
        <v>Prior Year </v>
      </c>
      <c r="D64" s="459" t="str">
        <f t="shared" si="0"/>
        <v>Current Year </v>
      </c>
      <c r="E64" s="105" t="str">
        <f t="shared" si="0"/>
        <v>Proposed Budget </v>
      </c>
    </row>
    <row r="65" spans="2:5" ht="15.75">
      <c r="B65" s="150" t="str">
        <f>inputPrYr!B17</f>
        <v>General</v>
      </c>
      <c r="C65" s="296" t="str">
        <f t="shared" si="0"/>
        <v>Actual for 2011</v>
      </c>
      <c r="D65" s="296" t="str">
        <f t="shared" si="0"/>
        <v>Estimate for 2012</v>
      </c>
      <c r="E65" s="201" t="str">
        <f t="shared" si="0"/>
        <v>Year for 2013</v>
      </c>
    </row>
    <row r="66" spans="2:5" ht="15.75">
      <c r="B66" s="213" t="s">
        <v>208</v>
      </c>
      <c r="C66" s="295">
        <f>C57</f>
        <v>188444</v>
      </c>
      <c r="D66" s="295">
        <f>D57</f>
        <v>187951</v>
      </c>
      <c r="E66" s="172">
        <f>E57</f>
        <v>128825</v>
      </c>
    </row>
    <row r="67" spans="2:5" ht="15.75">
      <c r="B67" s="202" t="s">
        <v>210</v>
      </c>
      <c r="C67" s="119"/>
      <c r="D67" s="119"/>
      <c r="E67" s="48"/>
    </row>
    <row r="68" spans="2:5" ht="15.75">
      <c r="B68" s="214" t="str">
        <f>GenDetail!A7</f>
        <v>General and Administrative Department</v>
      </c>
      <c r="C68" s="311">
        <f>GenDetail!B12</f>
        <v>54322</v>
      </c>
      <c r="D68" s="311">
        <f>GenDetail!C12</f>
        <v>56985</v>
      </c>
      <c r="E68" s="37">
        <f>GenDetail!D12</f>
        <v>71072</v>
      </c>
    </row>
    <row r="69" spans="2:5" ht="15.75">
      <c r="B69" s="214" t="str">
        <f>GenDetail!A13</f>
        <v>Fire Department</v>
      </c>
      <c r="C69" s="311">
        <f>GenDetail!B18</f>
        <v>5515</v>
      </c>
      <c r="D69" s="311">
        <f>GenDetail!C18</f>
        <v>6208</v>
      </c>
      <c r="E69" s="37">
        <f>GenDetail!D18</f>
        <v>8504</v>
      </c>
    </row>
    <row r="70" spans="2:5" ht="15.75">
      <c r="B70" s="214" t="str">
        <f>GenDetail!A19</f>
        <v>Incentive Program Houses Department</v>
      </c>
      <c r="C70" s="311">
        <f>GenDetail!B21</f>
        <v>5062</v>
      </c>
      <c r="D70" s="311">
        <f>GenDetail!C21</f>
        <v>3000</v>
      </c>
      <c r="E70" s="37">
        <f>GenDetail!D21</f>
        <v>5000</v>
      </c>
    </row>
    <row r="71" spans="2:5" ht="15.75">
      <c r="B71" s="214" t="str">
        <f>GenDetail!A22</f>
        <v>Parks and Recreation Department</v>
      </c>
      <c r="C71" s="311">
        <f>GenDetail!B24</f>
        <v>0</v>
      </c>
      <c r="D71" s="311">
        <f>GenDetail!C24</f>
        <v>0</v>
      </c>
      <c r="E71" s="37">
        <f>GenDetail!D24</f>
        <v>5000</v>
      </c>
    </row>
    <row r="72" spans="2:5" ht="15.75">
      <c r="B72" s="214" t="str">
        <f>GenDetail!A25</f>
        <v>Streets Department</v>
      </c>
      <c r="C72" s="311">
        <f>GenDetail!B29</f>
        <v>329</v>
      </c>
      <c r="D72" s="311">
        <f>GenDetail!C29</f>
        <v>497</v>
      </c>
      <c r="E72" s="37">
        <f>GenDetail!D29</f>
        <v>26500</v>
      </c>
    </row>
    <row r="73" spans="2:5" ht="15.75">
      <c r="B73" s="214" t="str">
        <f>GenDetail!A30</f>
        <v>Capital Outlay Department</v>
      </c>
      <c r="C73" s="311">
        <f>GenDetail!B35</f>
        <v>29000</v>
      </c>
      <c r="D73" s="311">
        <f>GenDetail!C35</f>
        <v>2990</v>
      </c>
      <c r="E73" s="37">
        <f>GenDetail!D35</f>
        <v>24164</v>
      </c>
    </row>
    <row r="74" spans="2:5" ht="15.75">
      <c r="B74" s="214" t="str">
        <f>GenDetail!A36</f>
        <v>Law Enforcement Department</v>
      </c>
      <c r="C74" s="311">
        <f>GenDetail!B41</f>
        <v>14800</v>
      </c>
      <c r="D74" s="311">
        <f>GenDetail!C41</f>
        <v>13538</v>
      </c>
      <c r="E74" s="37">
        <f>GenDetail!D41</f>
        <v>18337</v>
      </c>
    </row>
    <row r="75" spans="2:5" ht="15.75">
      <c r="B75" s="214" t="str">
        <f>GenDetail!A42</f>
        <v>Code Enforcement Department</v>
      </c>
      <c r="C75" s="311">
        <f>GenDetail!B45</f>
        <v>4640</v>
      </c>
      <c r="D75" s="311">
        <f>GenDetail!C45</f>
        <v>0</v>
      </c>
      <c r="E75" s="37">
        <f>GenDetail!D45</f>
        <v>6500</v>
      </c>
    </row>
    <row r="76" spans="2:5" ht="15.75">
      <c r="B76" s="214" t="str">
        <f>GenDetail!A52</f>
        <v>Employee Benefits Department</v>
      </c>
      <c r="C76" s="311">
        <f>GenDetail!B53</f>
        <v>18259</v>
      </c>
      <c r="D76" s="311">
        <f>GenDetail!C53</f>
        <v>19618</v>
      </c>
      <c r="E76" s="37">
        <f>GenDetail!D53</f>
        <v>25000</v>
      </c>
    </row>
    <row r="77" spans="2:5" ht="15.75">
      <c r="B77" s="214" t="str">
        <f>GenDetail!A46</f>
        <v>Miscellaneous Department</v>
      </c>
      <c r="C77" s="311">
        <f>GenDetail!B48</f>
        <v>2004</v>
      </c>
      <c r="D77" s="311">
        <f>GenDetail!C48</f>
        <v>1563</v>
      </c>
      <c r="E77" s="37">
        <f>GenDetail!D48</f>
        <v>2000</v>
      </c>
    </row>
    <row r="78" spans="2:5" ht="15.75">
      <c r="B78" s="214" t="str">
        <f>GenDetail!A49</f>
        <v>Accounting and Auditing Department</v>
      </c>
      <c r="C78" s="311">
        <f>GenDetail!B51</f>
        <v>4100</v>
      </c>
      <c r="D78" s="311">
        <f>GenDetail!C51</f>
        <v>4400</v>
      </c>
      <c r="E78" s="37">
        <f>GenDetail!D51</f>
        <v>4400</v>
      </c>
    </row>
    <row r="79" spans="2:5" ht="15.75">
      <c r="B79" s="214" t="str">
        <f>GenDetail!A55</f>
        <v>Transfer to Equipment Reserve</v>
      </c>
      <c r="C79" s="311">
        <f>GenDetail!B56</f>
        <v>5000</v>
      </c>
      <c r="D79" s="311">
        <f>GenDetail!C56</f>
        <v>10000</v>
      </c>
      <c r="E79" s="37">
        <f>GenDetail!D56</f>
        <v>10000</v>
      </c>
    </row>
    <row r="80" spans="2:6" ht="15.75">
      <c r="B80" s="215" t="s">
        <v>14</v>
      </c>
      <c r="C80" s="347">
        <f>SUM(C68:C79)</f>
        <v>143031</v>
      </c>
      <c r="D80" s="347">
        <f>SUM(D68:D79)</f>
        <v>118799</v>
      </c>
      <c r="E80" s="516">
        <f>SUM(E68:E79)</f>
        <v>206477</v>
      </c>
      <c r="F80" s="216"/>
    </row>
    <row r="81" spans="2:5" ht="15.75">
      <c r="B81" s="209"/>
      <c r="C81" s="203"/>
      <c r="D81" s="203"/>
      <c r="E81" s="30"/>
    </row>
    <row r="82" spans="2:5" ht="15.75">
      <c r="B82" s="209"/>
      <c r="C82" s="203"/>
      <c r="D82" s="203"/>
      <c r="E82" s="30"/>
    </row>
    <row r="83" spans="2:5" ht="15.75">
      <c r="B83" s="209"/>
      <c r="C83" s="203"/>
      <c r="D83" s="203"/>
      <c r="E83" s="30"/>
    </row>
    <row r="84" spans="2:5" ht="15.75">
      <c r="B84" s="209"/>
      <c r="C84" s="203"/>
      <c r="D84" s="203"/>
      <c r="E84" s="30"/>
    </row>
    <row r="85" spans="2:5" ht="15.75">
      <c r="B85" s="209"/>
      <c r="C85" s="203"/>
      <c r="D85" s="203"/>
      <c r="E85" s="30"/>
    </row>
    <row r="86" spans="2:5" ht="15.75">
      <c r="B86" s="209"/>
      <c r="C86" s="203"/>
      <c r="D86" s="203"/>
      <c r="E86" s="30"/>
    </row>
    <row r="87" spans="2:5" ht="15.75">
      <c r="B87" s="217"/>
      <c r="C87" s="203"/>
      <c r="D87" s="203"/>
      <c r="E87" s="30"/>
    </row>
    <row r="88" spans="2:5" ht="15.75">
      <c r="B88" s="217"/>
      <c r="C88" s="203"/>
      <c r="D88" s="203"/>
      <c r="E88" s="30"/>
    </row>
    <row r="89" spans="2:5" ht="15.75">
      <c r="B89" s="217"/>
      <c r="C89" s="203"/>
      <c r="D89" s="203"/>
      <c r="E89" s="30"/>
    </row>
    <row r="90" spans="2:5" ht="15.75">
      <c r="B90" s="217"/>
      <c r="C90" s="203"/>
      <c r="D90" s="203"/>
      <c r="E90" s="30"/>
    </row>
    <row r="91" spans="2:5" ht="15.75">
      <c r="B91" s="217"/>
      <c r="C91" s="203"/>
      <c r="D91" s="203"/>
      <c r="E91" s="30"/>
    </row>
    <row r="92" spans="2:5" ht="15.75">
      <c r="B92" s="217"/>
      <c r="C92" s="203"/>
      <c r="D92" s="203"/>
      <c r="E92" s="30"/>
    </row>
    <row r="93" spans="2:5" ht="15.75">
      <c r="B93" s="217"/>
      <c r="C93" s="203"/>
      <c r="D93" s="203"/>
      <c r="E93" s="30"/>
    </row>
    <row r="94" spans="2:5" ht="15.75">
      <c r="B94" s="217"/>
      <c r="C94" s="203"/>
      <c r="D94" s="203"/>
      <c r="E94" s="30"/>
    </row>
    <row r="95" spans="2:5" ht="15.75">
      <c r="B95" s="217"/>
      <c r="C95" s="203"/>
      <c r="D95" s="203"/>
      <c r="E95" s="30"/>
    </row>
    <row r="96" spans="2:5" ht="15.75">
      <c r="B96" s="217"/>
      <c r="C96" s="203"/>
      <c r="D96" s="203"/>
      <c r="E96" s="30"/>
    </row>
    <row r="97" spans="2:5" ht="15.75">
      <c r="B97" s="217"/>
      <c r="C97" s="203"/>
      <c r="D97" s="203"/>
      <c r="E97" s="30"/>
    </row>
    <row r="98" spans="2:5" ht="15.75">
      <c r="B98" s="217"/>
      <c r="C98" s="203"/>
      <c r="D98" s="203"/>
      <c r="E98" s="30"/>
    </row>
    <row r="99" spans="2:5" ht="15.75">
      <c r="B99" s="217"/>
      <c r="C99" s="203"/>
      <c r="D99" s="203"/>
      <c r="E99" s="30"/>
    </row>
    <row r="100" spans="2:5" ht="15.75">
      <c r="B100" s="217"/>
      <c r="C100" s="203"/>
      <c r="D100" s="203"/>
      <c r="E100" s="30"/>
    </row>
    <row r="101" spans="2:5" ht="15.75">
      <c r="B101" s="217"/>
      <c r="C101" s="203"/>
      <c r="D101" s="203"/>
      <c r="E101" s="30"/>
    </row>
    <row r="102" spans="2:5" ht="15.75">
      <c r="B102" s="217"/>
      <c r="C102" s="203"/>
      <c r="D102" s="203"/>
      <c r="E102" s="30"/>
    </row>
    <row r="103" spans="2:5" ht="15.75">
      <c r="B103" s="217"/>
      <c r="C103" s="203"/>
      <c r="D103" s="203"/>
      <c r="E103" s="30"/>
    </row>
    <row r="104" spans="2:5" ht="15.75">
      <c r="B104" s="217"/>
      <c r="C104" s="203"/>
      <c r="D104" s="203"/>
      <c r="E104" s="30"/>
    </row>
    <row r="105" spans="2:10" ht="15.75">
      <c r="B105" s="217"/>
      <c r="C105" s="203"/>
      <c r="D105" s="203"/>
      <c r="E105" s="30"/>
      <c r="G105" s="554" t="str">
        <f>CONCATENATE("Desired Carryover Into ",E1+1,"")</f>
        <v>Desired Carryover Into 2014</v>
      </c>
      <c r="H105" s="560"/>
      <c r="I105" s="560"/>
      <c r="J105" s="561"/>
    </row>
    <row r="106" spans="2:10" ht="15.75">
      <c r="B106" s="217"/>
      <c r="C106" s="203"/>
      <c r="D106" s="203"/>
      <c r="E106" s="30"/>
      <c r="G106" s="354"/>
      <c r="H106" s="353"/>
      <c r="I106" s="353"/>
      <c r="J106" s="334"/>
    </row>
    <row r="107" spans="2:10" ht="15.75">
      <c r="B107" s="217"/>
      <c r="C107" s="203"/>
      <c r="D107" s="203"/>
      <c r="E107" s="30"/>
      <c r="G107" s="344" t="s">
        <v>17</v>
      </c>
      <c r="H107" s="338"/>
      <c r="I107" s="338"/>
      <c r="J107" s="333">
        <v>0</v>
      </c>
    </row>
    <row r="108" spans="2:10" ht="15.75">
      <c r="B108" s="217"/>
      <c r="C108" s="203"/>
      <c r="D108" s="203"/>
      <c r="E108" s="30"/>
      <c r="G108" s="355" t="s">
        <v>18</v>
      </c>
      <c r="H108" s="331"/>
      <c r="I108" s="332"/>
      <c r="J108" s="352">
        <f>IF(J107=0,"",ROUND((J107+E122-G120)/inputOth!E7*1000,3)-G125)</f>
      </c>
    </row>
    <row r="109" spans="2:10" ht="15.75">
      <c r="B109" s="217"/>
      <c r="C109" s="203"/>
      <c r="D109" s="203"/>
      <c r="E109" s="30"/>
      <c r="G109" s="405" t="str">
        <f>CONCATENATE("",E1," Tot Exp/Non-Appr Must Be:")</f>
        <v>2013 Tot Exp/Non-Appr Must Be:</v>
      </c>
      <c r="H109" s="406"/>
      <c r="I109" s="407"/>
      <c r="J109" s="408">
        <f>IF(J107&gt;0,IF(E119&lt;E57,IF(J107=G120,E119,((J107-G120)*(1-D121))+E57),E119+(J107-G120)),0)</f>
        <v>0</v>
      </c>
    </row>
    <row r="110" spans="2:10" ht="15.75">
      <c r="B110" s="217"/>
      <c r="C110" s="203"/>
      <c r="D110" s="203"/>
      <c r="E110" s="30"/>
      <c r="G110" s="426" t="s">
        <v>46</v>
      </c>
      <c r="H110" s="404"/>
      <c r="I110" s="404"/>
      <c r="J110" s="423">
        <f>IF(J107&gt;0,J109-E119,0)</f>
        <v>0</v>
      </c>
    </row>
    <row r="111" spans="2:5" ht="15.75">
      <c r="B111" s="217"/>
      <c r="C111" s="203"/>
      <c r="D111" s="203"/>
      <c r="E111" s="30"/>
    </row>
    <row r="112" spans="2:10" ht="15.75" customHeight="1">
      <c r="B112" s="218" t="s">
        <v>85</v>
      </c>
      <c r="C112" s="203"/>
      <c r="D112" s="203"/>
      <c r="E112" s="37">
        <f>nhood!E6</f>
        <v>5830</v>
      </c>
      <c r="G112" s="554" t="str">
        <f>CONCATENATE("Projected Carryover Into ",E1+1,"")</f>
        <v>Projected Carryover Into 2014</v>
      </c>
      <c r="H112" s="555"/>
      <c r="I112" s="555"/>
      <c r="J112" s="556"/>
    </row>
    <row r="113" spans="2:10" ht="15.75">
      <c r="B113" s="218" t="s">
        <v>84</v>
      </c>
      <c r="C113" s="203"/>
      <c r="D113" s="203"/>
      <c r="E113" s="30"/>
      <c r="G113" s="354"/>
      <c r="H113" s="353"/>
      <c r="I113" s="353"/>
      <c r="J113" s="334"/>
    </row>
    <row r="114" spans="2:10" ht="15.75">
      <c r="B114" s="218" t="s">
        <v>36</v>
      </c>
      <c r="C114" s="293">
        <f>IF(C115*0.1&lt;C113,"Exceed 10% Rule","")</f>
      </c>
      <c r="D114" s="300">
        <f>IF(D115*0.1&lt;D113,"Exceed 10% Rule","")</f>
      </c>
      <c r="E114" s="230">
        <f>IF(E115*0.1&lt;E113,"Exceed 10% Rule","")</f>
      </c>
      <c r="G114" s="335">
        <f>D116</f>
        <v>69152</v>
      </c>
      <c r="H114" s="336" t="str">
        <f>CONCATENATE("",E1-1," Ending Cash Balance (est.)")</f>
        <v>2012 Ending Cash Balance (est.)</v>
      </c>
      <c r="I114" s="337"/>
      <c r="J114" s="334"/>
    </row>
    <row r="115" spans="2:10" ht="15.75">
      <c r="B115" s="211" t="s">
        <v>213</v>
      </c>
      <c r="C115" s="310">
        <f>SUM(C80:C113)</f>
        <v>143031</v>
      </c>
      <c r="D115" s="310">
        <f>SUM(D80:D113)</f>
        <v>118799</v>
      </c>
      <c r="E115" s="212">
        <f>SUM(E80:E113)</f>
        <v>212307</v>
      </c>
      <c r="G115" s="335">
        <f>E56</f>
        <v>59673</v>
      </c>
      <c r="H115" s="338" t="str">
        <f>CONCATENATE("",E1," Non-AV Receipts (est.)")</f>
        <v>2013 Non-AV Receipts (est.)</v>
      </c>
      <c r="I115" s="337"/>
      <c r="J115" s="334"/>
    </row>
    <row r="116" spans="2:11" ht="15.75">
      <c r="B116" s="111" t="s">
        <v>319</v>
      </c>
      <c r="C116" s="311">
        <f>C57-C115</f>
        <v>45413</v>
      </c>
      <c r="D116" s="311">
        <f>D57-D115</f>
        <v>69152</v>
      </c>
      <c r="E116" s="229" t="s">
        <v>189</v>
      </c>
      <c r="G116" s="339">
        <f>IF(E121&gt;0,E120,E122)</f>
        <v>83482</v>
      </c>
      <c r="H116" s="338" t="str">
        <f>CONCATENATE("",E1," Ad Valorem Tax (est.)")</f>
        <v>2013 Ad Valorem Tax (est.)</v>
      </c>
      <c r="I116" s="337"/>
      <c r="J116" s="334"/>
      <c r="K116" s="493">
        <f>IF(G116=E122,"","Note: Does not include Delinquent Taxes")</f>
      </c>
    </row>
    <row r="117" spans="2:10" ht="15.75">
      <c r="B117" s="99" t="str">
        <f>CONCATENATE("",$E$1-2,"/",$E$1-1," Budget Authority Amount:")</f>
        <v>2011/2012 Budget Authority Amount:</v>
      </c>
      <c r="C117" s="162">
        <f>inputOth!B61</f>
        <v>160527</v>
      </c>
      <c r="D117" s="220">
        <f>inputPrYr!D17</f>
        <v>215942</v>
      </c>
      <c r="E117" s="229" t="s">
        <v>189</v>
      </c>
      <c r="F117" s="221"/>
      <c r="G117" s="335">
        <f>SUM(G114:G116)</f>
        <v>212307</v>
      </c>
      <c r="H117" s="338" t="str">
        <f>CONCATENATE("Total ",E1," Resources Available")</f>
        <v>Total 2013 Resources Available</v>
      </c>
      <c r="I117" s="337"/>
      <c r="J117" s="334"/>
    </row>
    <row r="118" spans="2:10" ht="15.75">
      <c r="B118" s="99"/>
      <c r="C118" s="562" t="s">
        <v>9</v>
      </c>
      <c r="D118" s="563"/>
      <c r="E118" s="30"/>
      <c r="F118" s="327">
        <f>IF((E115/0.95)-E115&lt;E118,"Exceeds 5% ","")</f>
      </c>
      <c r="G118" s="340"/>
      <c r="H118" s="338"/>
      <c r="I118" s="338"/>
      <c r="J118" s="334"/>
    </row>
    <row r="119" spans="2:10" ht="15.75">
      <c r="B119" s="316" t="str">
        <f>CONCATENATE(C147,"     ",D147)</f>
        <v>     </v>
      </c>
      <c r="C119" s="564" t="s">
        <v>10</v>
      </c>
      <c r="D119" s="565"/>
      <c r="E119" s="172">
        <f>E115+E118</f>
        <v>212307</v>
      </c>
      <c r="G119" s="339">
        <f>ROUND(C115*0.05+C115,0)</f>
        <v>150183</v>
      </c>
      <c r="H119" s="338" t="str">
        <f>CONCATENATE("Less ",E1-2," Expenditures + 5%")</f>
        <v>Less 2011 Expenditures + 5%</v>
      </c>
      <c r="I119" s="337"/>
      <c r="J119" s="334"/>
    </row>
    <row r="120" spans="2:10" ht="15.75">
      <c r="B120" s="316" t="str">
        <f>CONCATENATE(C148,"     ",D148)</f>
        <v>     </v>
      </c>
      <c r="C120" s="222"/>
      <c r="D120" s="127" t="s">
        <v>214</v>
      </c>
      <c r="E120" s="37">
        <f>IF(E119-E57&gt;0,E119-E57,0)</f>
        <v>83482</v>
      </c>
      <c r="G120" s="345">
        <f>G117-G119</f>
        <v>62124</v>
      </c>
      <c r="H120" s="341" t="str">
        <f>CONCATENATE("Projected ",E1+1," Carryover (est.)")</f>
        <v>Projected 2014 Carryover (est.)</v>
      </c>
      <c r="I120" s="342"/>
      <c r="J120" s="343"/>
    </row>
    <row r="121" spans="2:5" ht="15.75">
      <c r="B121" s="99"/>
      <c r="C121" s="302" t="s">
        <v>11</v>
      </c>
      <c r="D121" s="428">
        <v>0</v>
      </c>
      <c r="E121" s="37">
        <f>ROUND(IF(D121&gt;0,(E120*D121),0),0)</f>
        <v>0</v>
      </c>
    </row>
    <row r="122" spans="2:10" ht="16.5" thickBot="1">
      <c r="B122" s="4"/>
      <c r="C122" s="552" t="str">
        <f>CONCATENATE("Amount of  ",$E$1-1," Ad Valorem Tax")</f>
        <v>Amount of  2012 Ad Valorem Tax</v>
      </c>
      <c r="D122" s="566"/>
      <c r="E122" s="299">
        <f>E120+E121</f>
        <v>83482</v>
      </c>
      <c r="G122" s="557" t="s">
        <v>51</v>
      </c>
      <c r="H122" s="558"/>
      <c r="I122" s="558"/>
      <c r="J122" s="559"/>
    </row>
    <row r="123" spans="2:10" ht="16.5" thickTop="1">
      <c r="B123" s="4"/>
      <c r="C123" s="552"/>
      <c r="D123" s="553"/>
      <c r="E123" s="460"/>
      <c r="G123" s="461"/>
      <c r="H123" s="462"/>
      <c r="I123" s="463"/>
      <c r="J123" s="464"/>
    </row>
    <row r="124" spans="2:10" ht="15.75">
      <c r="B124" s="4"/>
      <c r="C124" s="4"/>
      <c r="D124" s="4"/>
      <c r="E124" s="4"/>
      <c r="G124" s="465">
        <f>summ!H16</f>
        <v>53.446</v>
      </c>
      <c r="H124" s="462" t="str">
        <f>CONCATENATE("",E1," Fund Mill Rate")</f>
        <v>2013 Fund Mill Rate</v>
      </c>
      <c r="I124" s="463"/>
      <c r="J124" s="464"/>
    </row>
    <row r="125" spans="2:10" ht="15.75">
      <c r="B125" s="130"/>
      <c r="C125" s="99" t="s">
        <v>216</v>
      </c>
      <c r="D125" s="129" t="str">
        <f>CONCATENATE("",D59,"a")</f>
        <v>7a</v>
      </c>
      <c r="E125" s="130"/>
      <c r="G125" s="466">
        <f>summ!E16</f>
        <v>53.446</v>
      </c>
      <c r="H125" s="462" t="str">
        <f>CONCATENATE("",E1-1," Fund Mill Rate")</f>
        <v>2012 Fund Mill Rate</v>
      </c>
      <c r="I125" s="463"/>
      <c r="J125" s="464"/>
    </row>
    <row r="126" spans="7:10" ht="15.75">
      <c r="G126" s="467">
        <f>summ!H25</f>
        <v>53.446</v>
      </c>
      <c r="H126" s="462" t="str">
        <f>CONCATENATE("Total ",E1," Mill Rate")</f>
        <v>Total 2013 Mill Rate</v>
      </c>
      <c r="I126" s="463"/>
      <c r="J126" s="464"/>
    </row>
    <row r="127" spans="2:10" ht="15.75">
      <c r="B127" s="63"/>
      <c r="G127" s="466">
        <f>summ!E25</f>
        <v>53.446</v>
      </c>
      <c r="H127" s="468" t="str">
        <f>CONCATENATE("Total ",E1-1," Mill Rate")</f>
        <v>Total 2012 Mill Rate</v>
      </c>
      <c r="I127" s="469"/>
      <c r="J127" s="76"/>
    </row>
    <row r="128" ht="15.75">
      <c r="K128" s="403"/>
    </row>
    <row r="130" spans="2:3" ht="15.75">
      <c r="B130" s="1"/>
      <c r="C130" s="1"/>
    </row>
    <row r="147" spans="3:4" ht="15.75" hidden="1">
      <c r="C147" s="5">
        <f>IF(C115&gt;C117,"See Tab A","")</f>
      </c>
      <c r="D147" s="5">
        <f>IF(D115&gt;D117,"See Tab C","")</f>
      </c>
    </row>
    <row r="148" spans="3:4" ht="15.75" hidden="1">
      <c r="C148" s="5">
        <f>IF(C116&lt;0,"See Tab B","")</f>
      </c>
      <c r="D148" s="5">
        <f>IF(D116&lt;0,"See Tab D","")</f>
      </c>
    </row>
  </sheetData>
  <sheetProtection/>
  <mergeCells count="7">
    <mergeCell ref="C123:D123"/>
    <mergeCell ref="G112:J112"/>
    <mergeCell ref="G122:J122"/>
    <mergeCell ref="G105:J105"/>
    <mergeCell ref="C118:D118"/>
    <mergeCell ref="C119:D119"/>
    <mergeCell ref="C122:D122"/>
  </mergeCells>
  <conditionalFormatting sqref="E118">
    <cfRule type="cellIs" priority="2" dxfId="85" operator="greaterThan" stopIfTrue="1">
      <formula>$E$115/0.95-$E$115</formula>
    </cfRule>
  </conditionalFormatting>
  <conditionalFormatting sqref="E113">
    <cfRule type="cellIs" priority="3" dxfId="85" operator="greaterThan" stopIfTrue="1">
      <formula>$E$115*0.1</formula>
    </cfRule>
  </conditionalFormatting>
  <conditionalFormatting sqref="D115">
    <cfRule type="cellIs" priority="4" dxfId="2" operator="greaterThan" stopIfTrue="1">
      <formula>$D$117</formula>
    </cfRule>
  </conditionalFormatting>
  <conditionalFormatting sqref="C115">
    <cfRule type="cellIs" priority="5" dxfId="2" operator="greaterThan" stopIfTrue="1">
      <formula>$C$117</formula>
    </cfRule>
  </conditionalFormatting>
  <conditionalFormatting sqref="C116:D116">
    <cfRule type="cellIs" priority="6" dxfId="2" operator="lessThan" stopIfTrue="1">
      <formula>0</formula>
    </cfRule>
  </conditionalFormatting>
  <conditionalFormatting sqref="C113">
    <cfRule type="cellIs" priority="7" dxfId="2" operator="greaterThan" stopIfTrue="1">
      <formula>$C$115*0.1</formula>
    </cfRule>
  </conditionalFormatting>
  <conditionalFormatting sqref="D113">
    <cfRule type="cellIs" priority="8" dxfId="2" operator="greaterThan" stopIfTrue="1">
      <formula>$D$115*0.1</formula>
    </cfRule>
  </conditionalFormatting>
  <conditionalFormatting sqref="D54">
    <cfRule type="cellIs" priority="9" dxfId="2" operator="greaterThan" stopIfTrue="1">
      <formula>$D$56*0.1</formula>
    </cfRule>
  </conditionalFormatting>
  <conditionalFormatting sqref="C54">
    <cfRule type="cellIs" priority="10" dxfId="2" operator="greaterThan" stopIfTrue="1">
      <formula>$C$56*0.1</formula>
    </cfRule>
  </conditionalFormatting>
  <conditionalFormatting sqref="E54">
    <cfRule type="cellIs" priority="11" dxfId="85" operator="greaterThan" stopIfTrue="1">
      <formula>$E$56*0.1+E122</formula>
    </cfRule>
  </conditionalFormatting>
  <printOptions/>
  <pageMargins left="0.5" right="0.5" top="1" bottom="0.5" header="0.5" footer="0.25"/>
  <pageSetup blackAndWhite="1" fitToHeight="2" horizontalDpi="120" verticalDpi="120" orientation="portrait" scale="68" r:id="rId1"/>
  <headerFooter alignWithMargins="0">
    <oddHeader>&amp;RState of Kansas
City
</oddHeader>
  </headerFooter>
  <rowBreaks count="1" manualBreakCount="1">
    <brk id="6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D60"/>
  <sheetViews>
    <sheetView zoomScalePageLayoutView="0" workbookViewId="0" topLeftCell="A16">
      <selection activeCell="D35" sqref="D35"/>
    </sheetView>
  </sheetViews>
  <sheetFormatPr defaultColWidth="8.796875" defaultRowHeight="15"/>
  <cols>
    <col min="1" max="1" width="28.296875" style="1" customWidth="1"/>
    <col min="2" max="3" width="15.796875" style="1" customWidth="1"/>
    <col min="4" max="4" width="16.09765625" style="1" customWidth="1"/>
    <col min="5" max="16384" width="8.8984375" style="1" customWidth="1"/>
  </cols>
  <sheetData>
    <row r="1" spans="1:4" ht="15.75">
      <c r="A1" s="131" t="str">
        <f>inputPrYr!D2</f>
        <v>City of LaHarpe</v>
      </c>
      <c r="B1" s="4"/>
      <c r="C1" s="129"/>
      <c r="D1" s="4">
        <f>inputPrYr!C5</f>
        <v>2013</v>
      </c>
    </row>
    <row r="2" spans="1:4" ht="15.75">
      <c r="A2" s="4"/>
      <c r="B2" s="4"/>
      <c r="C2" s="4"/>
      <c r="D2" s="129"/>
    </row>
    <row r="3" spans="1:4" ht="15.75">
      <c r="A3" s="21"/>
      <c r="B3" s="224"/>
      <c r="C3" s="224"/>
      <c r="D3" s="224"/>
    </row>
    <row r="4" spans="1:4" ht="15.75">
      <c r="A4" s="129" t="s">
        <v>200</v>
      </c>
      <c r="B4" s="225" t="s">
        <v>41</v>
      </c>
      <c r="C4" s="105" t="s">
        <v>44</v>
      </c>
      <c r="D4" s="105" t="s">
        <v>45</v>
      </c>
    </row>
    <row r="5" spans="1:4" ht="15.75">
      <c r="A5" s="384" t="s">
        <v>89</v>
      </c>
      <c r="B5" s="296" t="str">
        <f>CONCATENATE("Actual for ",D1-2,"")</f>
        <v>Actual for 2011</v>
      </c>
      <c r="C5" s="296" t="str">
        <f>CONCATENATE("Estimate for ",D1-1,"")</f>
        <v>Estimate for 2012</v>
      </c>
      <c r="D5" s="201" t="str">
        <f>CONCATENATE("Year for ",D1,"")</f>
        <v>Year for 2013</v>
      </c>
    </row>
    <row r="6" spans="1:4" ht="15.75">
      <c r="A6" s="170" t="s">
        <v>210</v>
      </c>
      <c r="B6" s="48"/>
      <c r="C6" s="48"/>
      <c r="D6" s="48"/>
    </row>
    <row r="7" spans="1:4" ht="15.75">
      <c r="A7" s="510" t="s">
        <v>134</v>
      </c>
      <c r="B7" s="48"/>
      <c r="C7" s="48"/>
      <c r="D7" s="48"/>
    </row>
    <row r="8" spans="1:4" ht="15.75">
      <c r="A8" s="511" t="s">
        <v>135</v>
      </c>
      <c r="B8" s="208">
        <v>23351</v>
      </c>
      <c r="C8" s="208">
        <v>22925</v>
      </c>
      <c r="D8" s="208">
        <v>24072</v>
      </c>
    </row>
    <row r="9" spans="1:4" ht="15.75">
      <c r="A9" s="511" t="s">
        <v>136</v>
      </c>
      <c r="B9" s="208">
        <v>26702</v>
      </c>
      <c r="C9" s="208">
        <v>28830</v>
      </c>
      <c r="D9" s="208">
        <v>38000</v>
      </c>
    </row>
    <row r="10" spans="1:4" ht="15.75">
      <c r="A10" s="511" t="s">
        <v>211</v>
      </c>
      <c r="B10" s="208">
        <v>4269</v>
      </c>
      <c r="C10" s="208">
        <v>5230</v>
      </c>
      <c r="D10" s="208">
        <v>6000</v>
      </c>
    </row>
    <row r="11" spans="1:4" ht="15.75">
      <c r="A11" s="226" t="s">
        <v>212</v>
      </c>
      <c r="B11" s="208">
        <v>0</v>
      </c>
      <c r="C11" s="208">
        <v>0</v>
      </c>
      <c r="D11" s="208">
        <v>3000</v>
      </c>
    </row>
    <row r="12" spans="1:4" ht="15.75">
      <c r="A12" s="170" t="s">
        <v>94</v>
      </c>
      <c r="B12" s="219">
        <f>SUM(B8:B11)</f>
        <v>54322</v>
      </c>
      <c r="C12" s="219">
        <f>SUM(C8:C11)</f>
        <v>56985</v>
      </c>
      <c r="D12" s="219">
        <f>SUM(D8:D11)</f>
        <v>71072</v>
      </c>
    </row>
    <row r="13" spans="1:4" ht="15.75">
      <c r="A13" s="226" t="s">
        <v>137</v>
      </c>
      <c r="B13" s="131"/>
      <c r="C13" s="131"/>
      <c r="D13" s="131"/>
    </row>
    <row r="14" spans="1:4" ht="15.75">
      <c r="A14" s="226" t="s">
        <v>135</v>
      </c>
      <c r="B14" s="208">
        <v>2950</v>
      </c>
      <c r="C14" s="208">
        <v>3337</v>
      </c>
      <c r="D14" s="208">
        <v>3504</v>
      </c>
    </row>
    <row r="15" spans="1:4" ht="15.75">
      <c r="A15" s="226" t="s">
        <v>136</v>
      </c>
      <c r="B15" s="208">
        <v>0</v>
      </c>
      <c r="C15" s="208">
        <v>0</v>
      </c>
      <c r="D15" s="208">
        <v>2000</v>
      </c>
    </row>
    <row r="16" spans="1:4" ht="15.75">
      <c r="A16" s="511" t="s">
        <v>211</v>
      </c>
      <c r="B16" s="208">
        <v>2565</v>
      </c>
      <c r="C16" s="208">
        <v>2871</v>
      </c>
      <c r="D16" s="208">
        <v>3000</v>
      </c>
    </row>
    <row r="17" spans="1:4" ht="15.75">
      <c r="A17" s="511" t="s">
        <v>212</v>
      </c>
      <c r="B17" s="208">
        <v>0</v>
      </c>
      <c r="C17" s="208">
        <v>0</v>
      </c>
      <c r="D17" s="208">
        <v>0</v>
      </c>
    </row>
    <row r="18" spans="1:4" ht="15.75">
      <c r="A18" s="170" t="s">
        <v>94</v>
      </c>
      <c r="B18" s="219">
        <f>SUM(B14:B17)</f>
        <v>5515</v>
      </c>
      <c r="C18" s="219">
        <f>SUM(C14:C17)</f>
        <v>6208</v>
      </c>
      <c r="D18" s="219">
        <f>SUM(D14:D17)</f>
        <v>8504</v>
      </c>
    </row>
    <row r="19" spans="1:4" ht="15.75">
      <c r="A19" s="511" t="s">
        <v>138</v>
      </c>
      <c r="B19" s="131"/>
      <c r="C19" s="131"/>
      <c r="D19" s="131"/>
    </row>
    <row r="20" spans="1:4" ht="15.75">
      <c r="A20" s="511" t="s">
        <v>139</v>
      </c>
      <c r="B20" s="208">
        <v>5062</v>
      </c>
      <c r="C20" s="208">
        <v>3000</v>
      </c>
      <c r="D20" s="208">
        <v>5000</v>
      </c>
    </row>
    <row r="21" spans="1:4" ht="15.75">
      <c r="A21" s="170" t="s">
        <v>94</v>
      </c>
      <c r="B21" s="219">
        <f>SUM(B20:B20)</f>
        <v>5062</v>
      </c>
      <c r="C21" s="219">
        <f>SUM(C20:C20)</f>
        <v>3000</v>
      </c>
      <c r="D21" s="219">
        <f>SUM(D20:D20)</f>
        <v>5000</v>
      </c>
    </row>
    <row r="22" spans="1:4" ht="15.75">
      <c r="A22" s="510" t="s">
        <v>140</v>
      </c>
      <c r="B22" s="131"/>
      <c r="C22" s="131"/>
      <c r="D22" s="131"/>
    </row>
    <row r="23" spans="1:4" ht="15.75">
      <c r="A23" s="511" t="s">
        <v>211</v>
      </c>
      <c r="B23" s="208">
        <v>0</v>
      </c>
      <c r="C23" s="208">
        <v>0</v>
      </c>
      <c r="D23" s="208">
        <v>5000</v>
      </c>
    </row>
    <row r="24" spans="1:4" ht="15.75">
      <c r="A24" s="170" t="s">
        <v>94</v>
      </c>
      <c r="B24" s="219">
        <f>SUM(B23:B23)</f>
        <v>0</v>
      </c>
      <c r="C24" s="219">
        <f>SUM(C23:C23)</f>
        <v>0</v>
      </c>
      <c r="D24" s="219">
        <f>SUM(D23:D23)</f>
        <v>5000</v>
      </c>
    </row>
    <row r="25" spans="1:4" ht="15.75">
      <c r="A25" s="510" t="s">
        <v>141</v>
      </c>
      <c r="B25" s="131"/>
      <c r="C25" s="131"/>
      <c r="D25" s="131"/>
    </row>
    <row r="26" spans="1:4" ht="15.75">
      <c r="A26" s="511" t="s">
        <v>211</v>
      </c>
      <c r="B26" s="208">
        <v>0</v>
      </c>
      <c r="C26" s="208">
        <v>497</v>
      </c>
      <c r="D26" s="208">
        <v>500</v>
      </c>
    </row>
    <row r="27" spans="1:4" ht="15.75">
      <c r="A27" s="226" t="s">
        <v>139</v>
      </c>
      <c r="B27" s="208">
        <v>329</v>
      </c>
      <c r="C27" s="208">
        <v>0</v>
      </c>
      <c r="D27" s="208">
        <v>1000</v>
      </c>
    </row>
    <row r="28" spans="1:4" ht="15.75">
      <c r="A28" s="226" t="s">
        <v>212</v>
      </c>
      <c r="B28" s="208">
        <v>0</v>
      </c>
      <c r="C28" s="208">
        <v>0</v>
      </c>
      <c r="D28" s="208">
        <v>25000</v>
      </c>
    </row>
    <row r="29" spans="1:4" ht="15.75">
      <c r="A29" s="170" t="s">
        <v>94</v>
      </c>
      <c r="B29" s="219">
        <f>SUM(B26:B28)</f>
        <v>329</v>
      </c>
      <c r="C29" s="219">
        <f>SUM(C26:C28)</f>
        <v>497</v>
      </c>
      <c r="D29" s="219">
        <f>SUM(D26:D28)</f>
        <v>26500</v>
      </c>
    </row>
    <row r="30" spans="1:4" ht="15.75">
      <c r="A30" s="226" t="s">
        <v>142</v>
      </c>
      <c r="B30" s="131"/>
      <c r="C30" s="131"/>
      <c r="D30" s="131"/>
    </row>
    <row r="31" spans="1:4" ht="15.75">
      <c r="A31" s="226" t="s">
        <v>391</v>
      </c>
      <c r="B31" s="208">
        <v>20000</v>
      </c>
      <c r="C31" s="208">
        <v>0</v>
      </c>
      <c r="D31" s="208">
        <v>0</v>
      </c>
    </row>
    <row r="32" spans="1:4" ht="15.75">
      <c r="A32" s="226" t="s">
        <v>392</v>
      </c>
      <c r="B32" s="208">
        <v>9000</v>
      </c>
      <c r="C32" s="208">
        <v>0</v>
      </c>
      <c r="D32" s="208">
        <v>0</v>
      </c>
    </row>
    <row r="33" spans="1:4" ht="15.75">
      <c r="A33" s="226" t="s">
        <v>395</v>
      </c>
      <c r="B33" s="208">
        <v>0</v>
      </c>
      <c r="C33" s="208">
        <v>2990</v>
      </c>
      <c r="D33" s="208">
        <v>0</v>
      </c>
    </row>
    <row r="34" spans="1:4" ht="15.75">
      <c r="A34" s="226" t="s">
        <v>143</v>
      </c>
      <c r="B34" s="208">
        <v>0</v>
      </c>
      <c r="C34" s="208">
        <v>0</v>
      </c>
      <c r="D34" s="208">
        <v>24164</v>
      </c>
    </row>
    <row r="35" spans="1:4" ht="15.75">
      <c r="A35" s="170" t="s">
        <v>94</v>
      </c>
      <c r="B35" s="219">
        <f>SUM(B31:B34)</f>
        <v>29000</v>
      </c>
      <c r="C35" s="219">
        <f>SUM(C31:C34)</f>
        <v>2990</v>
      </c>
      <c r="D35" s="219">
        <f>SUM(D31:D34)</f>
        <v>24164</v>
      </c>
    </row>
    <row r="36" spans="1:4" ht="15.75">
      <c r="A36" s="510" t="s">
        <v>144</v>
      </c>
      <c r="B36" s="131"/>
      <c r="C36" s="131"/>
      <c r="D36" s="131"/>
    </row>
    <row r="37" spans="1:4" ht="15.75">
      <c r="A37" s="511" t="s">
        <v>135</v>
      </c>
      <c r="B37" s="208">
        <v>2455</v>
      </c>
      <c r="C37" s="208">
        <v>2500</v>
      </c>
      <c r="D37" s="208">
        <v>6000</v>
      </c>
    </row>
    <row r="38" spans="1:4" ht="15.75">
      <c r="A38" s="511" t="s">
        <v>139</v>
      </c>
      <c r="B38" s="208">
        <f>7568-1946</f>
        <v>5622</v>
      </c>
      <c r="C38" s="208">
        <v>6106</v>
      </c>
      <c r="D38" s="208">
        <v>6500</v>
      </c>
    </row>
    <row r="39" spans="1:4" ht="15.75">
      <c r="A39" s="511" t="s">
        <v>211</v>
      </c>
      <c r="B39" s="208">
        <v>4777</v>
      </c>
      <c r="C39" s="208">
        <f>96+1500</f>
        <v>1596</v>
      </c>
      <c r="D39" s="208">
        <v>2500</v>
      </c>
    </row>
    <row r="40" spans="1:4" ht="15.75">
      <c r="A40" s="226" t="s">
        <v>390</v>
      </c>
      <c r="B40" s="208">
        <v>1946</v>
      </c>
      <c r="C40" s="208">
        <v>3336</v>
      </c>
      <c r="D40" s="208">
        <v>3337</v>
      </c>
    </row>
    <row r="41" spans="1:4" ht="15.75">
      <c r="A41" s="170" t="s">
        <v>94</v>
      </c>
      <c r="B41" s="219">
        <f>SUM(B37:B40)</f>
        <v>14800</v>
      </c>
      <c r="C41" s="219">
        <f>SUM(C37:C40)</f>
        <v>13538</v>
      </c>
      <c r="D41" s="219">
        <f>SUM(D37:D40)</f>
        <v>18337</v>
      </c>
    </row>
    <row r="42" spans="1:4" ht="15.75">
      <c r="A42" s="510" t="s">
        <v>145</v>
      </c>
      <c r="B42" s="131"/>
      <c r="C42" s="131"/>
      <c r="D42" s="131"/>
    </row>
    <row r="43" spans="1:4" ht="15.75">
      <c r="A43" s="511" t="s">
        <v>135</v>
      </c>
      <c r="B43" s="208">
        <v>4640</v>
      </c>
      <c r="C43" s="208">
        <v>0</v>
      </c>
      <c r="D43" s="208">
        <v>5000</v>
      </c>
    </row>
    <row r="44" spans="1:4" ht="15.75">
      <c r="A44" s="511" t="s">
        <v>211</v>
      </c>
      <c r="B44" s="208">
        <v>0</v>
      </c>
      <c r="C44" s="208">
        <v>0</v>
      </c>
      <c r="D44" s="208">
        <v>1500</v>
      </c>
    </row>
    <row r="45" spans="1:4" ht="15.75">
      <c r="A45" s="170" t="s">
        <v>94</v>
      </c>
      <c r="B45" s="219">
        <f>SUM(B43:B44)</f>
        <v>4640</v>
      </c>
      <c r="C45" s="219">
        <f>SUM(C43:C44)</f>
        <v>0</v>
      </c>
      <c r="D45" s="219">
        <f>SUM(D43:D44)</f>
        <v>6500</v>
      </c>
    </row>
    <row r="46" spans="1:4" ht="15.75">
      <c r="A46" s="510" t="s">
        <v>393</v>
      </c>
      <c r="B46" s="131"/>
      <c r="C46" s="131"/>
      <c r="D46" s="131"/>
    </row>
    <row r="47" spans="1:4" ht="15.75">
      <c r="A47" s="511" t="s">
        <v>139</v>
      </c>
      <c r="B47" s="208">
        <v>2004</v>
      </c>
      <c r="C47" s="208">
        <v>1563</v>
      </c>
      <c r="D47" s="208">
        <v>2000</v>
      </c>
    </row>
    <row r="48" spans="1:4" ht="15.75">
      <c r="A48" s="170" t="s">
        <v>94</v>
      </c>
      <c r="B48" s="219">
        <f>SUM(B47)</f>
        <v>2004</v>
      </c>
      <c r="C48" s="219">
        <f>SUM(C47)</f>
        <v>1563</v>
      </c>
      <c r="D48" s="219">
        <f>SUM(D47)</f>
        <v>2000</v>
      </c>
    </row>
    <row r="49" spans="1:4" ht="15.75">
      <c r="A49" s="510" t="s">
        <v>394</v>
      </c>
      <c r="B49" s="131"/>
      <c r="C49" s="131"/>
      <c r="D49" s="131"/>
    </row>
    <row r="50" spans="1:4" ht="15.75">
      <c r="A50" s="511" t="s">
        <v>139</v>
      </c>
      <c r="B50" s="208">
        <v>4100</v>
      </c>
      <c r="C50" s="208">
        <v>4400</v>
      </c>
      <c r="D50" s="208">
        <v>4400</v>
      </c>
    </row>
    <row r="51" spans="1:4" ht="15.75">
      <c r="A51" s="170" t="s">
        <v>94</v>
      </c>
      <c r="B51" s="219">
        <f>SUM(B50)</f>
        <v>4100</v>
      </c>
      <c r="C51" s="219">
        <f>SUM(C50)</f>
        <v>4400</v>
      </c>
      <c r="D51" s="219">
        <f>SUM(D50)</f>
        <v>4400</v>
      </c>
    </row>
    <row r="52" spans="1:4" ht="15.75">
      <c r="A52" s="510" t="s">
        <v>146</v>
      </c>
      <c r="B52" s="131"/>
      <c r="C52" s="131"/>
      <c r="D52" s="131"/>
    </row>
    <row r="53" spans="1:4" ht="15.75">
      <c r="A53" s="511" t="s">
        <v>135</v>
      </c>
      <c r="B53" s="208">
        <v>18259</v>
      </c>
      <c r="C53" s="208">
        <v>19618</v>
      </c>
      <c r="D53" s="208">
        <v>25000</v>
      </c>
    </row>
    <row r="54" spans="1:4" ht="15.75">
      <c r="A54" s="170" t="s">
        <v>94</v>
      </c>
      <c r="B54" s="219">
        <f>SUM(B53)</f>
        <v>18259</v>
      </c>
      <c r="C54" s="219">
        <f>SUM(C53)</f>
        <v>19618</v>
      </c>
      <c r="D54" s="219">
        <f>SUM(D53)</f>
        <v>25000</v>
      </c>
    </row>
    <row r="55" spans="1:4" ht="15.75">
      <c r="A55" s="226" t="s">
        <v>147</v>
      </c>
      <c r="B55" s="208">
        <v>5000</v>
      </c>
      <c r="C55" s="208">
        <v>10000</v>
      </c>
      <c r="D55" s="208">
        <v>10000</v>
      </c>
    </row>
    <row r="56" spans="1:4" ht="15.75">
      <c r="A56" s="170" t="s">
        <v>94</v>
      </c>
      <c r="B56" s="219">
        <f>SUM(B55)</f>
        <v>5000</v>
      </c>
      <c r="C56" s="219">
        <f>SUM(C55)</f>
        <v>10000</v>
      </c>
      <c r="D56" s="219">
        <f>SUM(D55)</f>
        <v>10000</v>
      </c>
    </row>
    <row r="57" spans="1:4" ht="15.75">
      <c r="A57" s="4"/>
      <c r="B57" s="131"/>
      <c r="C57" s="131"/>
      <c r="D57" s="131"/>
    </row>
    <row r="58" spans="1:4" ht="16.5" thickBot="1">
      <c r="A58" s="170" t="s">
        <v>217</v>
      </c>
      <c r="B58" s="227">
        <f>B12+B18+B21+B24+B29+B35+B41+B56+B45+B54+B48+B51</f>
        <v>143031</v>
      </c>
      <c r="C58" s="227">
        <f>C12+C18+C21+C24+C29+C35+C41+C56+C45+C54+C48+C51</f>
        <v>118799</v>
      </c>
      <c r="D58" s="227">
        <f>D12+D18+D21+D24+D29+D35+D41+D56+D45+D54+D48+D51</f>
        <v>206477</v>
      </c>
    </row>
    <row r="59" spans="1:4" ht="16.5" thickTop="1">
      <c r="A59" s="228" t="s">
        <v>88</v>
      </c>
      <c r="B59" s="131"/>
      <c r="C59" s="131"/>
      <c r="D59" s="131"/>
    </row>
    <row r="60" spans="1:4" ht="15.75">
      <c r="A60" s="99" t="s">
        <v>216</v>
      </c>
      <c r="B60" s="410" t="str">
        <f>CONCATENATE("",general!D59,"b")</f>
        <v>7b</v>
      </c>
      <c r="C60" s="131"/>
      <c r="D60" s="131"/>
    </row>
  </sheetData>
  <sheetProtection/>
  <printOptions/>
  <pageMargins left="0.5" right="0.5" top="1" bottom="0.5" header="0.5" footer="0.5"/>
  <pageSetup blackAndWhite="1" fitToHeight="1" fitToWidth="1" horizontalDpi="300" verticalDpi="300" orientation="portrait" scale="82"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dimension ref="B1:K94"/>
  <sheetViews>
    <sheetView workbookViewId="0" topLeftCell="A1">
      <selection activeCell="B46" sqref="B46"/>
    </sheetView>
  </sheetViews>
  <sheetFormatPr defaultColWidth="8.796875" defaultRowHeight="15"/>
  <cols>
    <col min="1" max="1" width="2.3984375" style="5" customWidth="1"/>
    <col min="2" max="2" width="31.09765625" style="5" customWidth="1"/>
    <col min="3" max="4" width="15.796875" style="5" customWidth="1"/>
    <col min="5" max="5" width="16.19921875" style="5" customWidth="1"/>
    <col min="6" max="6" width="8.09765625" style="5" customWidth="1"/>
    <col min="7" max="7" width="10.19921875" style="5" customWidth="1"/>
    <col min="8" max="8" width="8.8984375" style="5" customWidth="1"/>
    <col min="9" max="9" width="5" style="5" customWidth="1"/>
    <col min="10" max="10" width="10" style="5" customWidth="1"/>
    <col min="11" max="16384" width="8.8984375" style="5" customWidth="1"/>
  </cols>
  <sheetData>
    <row r="1" spans="2:5" ht="15.75">
      <c r="B1" s="131" t="str">
        <f>(inputPrYr!D2)</f>
        <v>City of LaHarpe</v>
      </c>
      <c r="C1" s="131"/>
      <c r="D1" s="4"/>
      <c r="E1" s="164">
        <f>inputPrYr!$C$5</f>
        <v>2013</v>
      </c>
    </row>
    <row r="2" spans="2:5" ht="15.75">
      <c r="B2" s="4"/>
      <c r="C2" s="4"/>
      <c r="D2" s="4"/>
      <c r="E2" s="127"/>
    </row>
    <row r="3" spans="2:5" ht="15.75">
      <c r="B3" s="21" t="s">
        <v>263</v>
      </c>
      <c r="C3" s="21"/>
      <c r="D3" s="305"/>
      <c r="E3" s="304"/>
    </row>
    <row r="4" spans="2:5" ht="15.75">
      <c r="B4" s="9" t="s">
        <v>200</v>
      </c>
      <c r="C4" s="458" t="s">
        <v>41</v>
      </c>
      <c r="D4" s="459" t="s">
        <v>44</v>
      </c>
      <c r="E4" s="105" t="s">
        <v>45</v>
      </c>
    </row>
    <row r="5" spans="2:5" ht="15.75">
      <c r="B5" s="312" t="str">
        <f>inputPrYr!B18</f>
        <v>Bond &amp; Interest</v>
      </c>
      <c r="C5" s="296" t="str">
        <f>CONCATENATE("Actual for ",E1-2,"")</f>
        <v>Actual for 2011</v>
      </c>
      <c r="D5" s="296" t="str">
        <f>CONCATENATE("Estimate for ",E1-1,"")</f>
        <v>Estimate for 2012</v>
      </c>
      <c r="E5" s="201" t="str">
        <f>CONCATENATE("Year for ",E1,"")</f>
        <v>Year for 2013</v>
      </c>
    </row>
    <row r="6" spans="2:5" ht="15.75">
      <c r="B6" s="111" t="s">
        <v>318</v>
      </c>
      <c r="C6" s="430">
        <v>0</v>
      </c>
      <c r="D6" s="295">
        <f>C34</f>
        <v>0</v>
      </c>
      <c r="E6" s="172">
        <f>D34</f>
        <v>0</v>
      </c>
    </row>
    <row r="7" spans="2:5" ht="15.75">
      <c r="B7" s="111" t="s">
        <v>320</v>
      </c>
      <c r="C7" s="295"/>
      <c r="D7" s="295"/>
      <c r="E7" s="172"/>
    </row>
    <row r="8" spans="2:5" ht="15.75">
      <c r="B8" s="111" t="s">
        <v>201</v>
      </c>
      <c r="C8" s="416"/>
      <c r="D8" s="295">
        <f>IF(inputPrYr!H16&gt;0,inputPrYr!G18,inputPrYr!E18)</f>
        <v>0</v>
      </c>
      <c r="E8" s="229" t="s">
        <v>189</v>
      </c>
    </row>
    <row r="9" spans="2:5" ht="15.75">
      <c r="B9" s="111" t="s">
        <v>202</v>
      </c>
      <c r="C9" s="416"/>
      <c r="D9" s="203"/>
      <c r="E9" s="30"/>
    </row>
    <row r="10" spans="2:5" ht="15.75">
      <c r="B10" s="111" t="s">
        <v>203</v>
      </c>
      <c r="C10" s="416"/>
      <c r="D10" s="203"/>
      <c r="E10" s="172" t="str">
        <f>mvalloc!D8</f>
        <v>  </v>
      </c>
    </row>
    <row r="11" spans="2:5" ht="15.75">
      <c r="B11" s="111" t="s">
        <v>204</v>
      </c>
      <c r="C11" s="416"/>
      <c r="D11" s="203"/>
      <c r="E11" s="172" t="str">
        <f>mvalloc!E8</f>
        <v> </v>
      </c>
    </row>
    <row r="12" spans="2:5" ht="15.75">
      <c r="B12" s="218" t="s">
        <v>295</v>
      </c>
      <c r="C12" s="416"/>
      <c r="D12" s="203"/>
      <c r="E12" s="172" t="str">
        <f>mvalloc!F8</f>
        <v> </v>
      </c>
    </row>
    <row r="13" spans="2:5" ht="15.75">
      <c r="B13" s="512" t="s">
        <v>148</v>
      </c>
      <c r="C13" s="416">
        <v>18504</v>
      </c>
      <c r="D13" s="203">
        <v>18504</v>
      </c>
      <c r="E13" s="30">
        <v>18504</v>
      </c>
    </row>
    <row r="14" spans="2:5" ht="15.75">
      <c r="B14" s="512" t="s">
        <v>382</v>
      </c>
      <c r="C14" s="416"/>
      <c r="D14" s="203"/>
      <c r="E14" s="30"/>
    </row>
    <row r="15" spans="2:5" ht="15.75">
      <c r="B15" s="512" t="s">
        <v>383</v>
      </c>
      <c r="C15" s="416">
        <v>32683</v>
      </c>
      <c r="D15" s="203">
        <v>32682</v>
      </c>
      <c r="E15" s="30">
        <v>32682</v>
      </c>
    </row>
    <row r="16" spans="2:5" ht="15.75">
      <c r="B16" s="209"/>
      <c r="C16" s="416"/>
      <c r="D16" s="203"/>
      <c r="E16" s="30"/>
    </row>
    <row r="17" spans="2:5" ht="15.75">
      <c r="B17" s="235" t="s">
        <v>206</v>
      </c>
      <c r="C17" s="416">
        <v>0</v>
      </c>
      <c r="D17" s="203">
        <v>0</v>
      </c>
      <c r="E17" s="30">
        <v>0</v>
      </c>
    </row>
    <row r="18" spans="2:5" ht="15.75">
      <c r="B18" s="111" t="s">
        <v>84</v>
      </c>
      <c r="C18" s="416">
        <v>0</v>
      </c>
      <c r="D18" s="203">
        <v>0</v>
      </c>
      <c r="E18" s="30">
        <v>0</v>
      </c>
    </row>
    <row r="19" spans="2:5" ht="15.75">
      <c r="B19" s="111" t="s">
        <v>35</v>
      </c>
      <c r="C19" s="297">
        <f>IF(C20*0.1&lt;C18,"Exceed 10% Rule","")</f>
      </c>
      <c r="D19" s="314">
        <f>IF(D20*0.1&lt;D18,"Exceed 10% Rule","")</f>
      </c>
      <c r="E19" s="230">
        <f>IF(E21*0.01+E40&lt;E18,"Exceed 10% Rule","")</f>
      </c>
    </row>
    <row r="20" spans="2:5" ht="15.75">
      <c r="B20" s="211" t="s">
        <v>207</v>
      </c>
      <c r="C20" s="298">
        <f>SUM(C8:C18)</f>
        <v>51187</v>
      </c>
      <c r="D20" s="298">
        <f>SUM(D8:D18)</f>
        <v>51186</v>
      </c>
      <c r="E20" s="232">
        <f>SUM(E8:E18)</f>
        <v>51186</v>
      </c>
    </row>
    <row r="21" spans="2:5" ht="15.75">
      <c r="B21" s="211" t="s">
        <v>208</v>
      </c>
      <c r="C21" s="298">
        <f>C6+C20</f>
        <v>51187</v>
      </c>
      <c r="D21" s="298">
        <f>D6+D20</f>
        <v>51186</v>
      </c>
      <c r="E21" s="232">
        <f>E6+E20</f>
        <v>51186</v>
      </c>
    </row>
    <row r="22" spans="2:5" ht="15.75">
      <c r="B22" s="111" t="s">
        <v>210</v>
      </c>
      <c r="C22" s="111"/>
      <c r="D22" s="295"/>
      <c r="E22" s="172"/>
    </row>
    <row r="23" spans="2:5" ht="15.75">
      <c r="B23" s="512" t="s">
        <v>149</v>
      </c>
      <c r="C23" s="309"/>
      <c r="D23" s="203"/>
      <c r="E23" s="30"/>
    </row>
    <row r="24" spans="2:10" ht="15.75">
      <c r="B24" s="512" t="s">
        <v>150</v>
      </c>
      <c r="C24" s="309">
        <v>39075</v>
      </c>
      <c r="D24" s="203">
        <v>40299</v>
      </c>
      <c r="E24" s="30">
        <v>41562</v>
      </c>
      <c r="G24" s="571" t="str">
        <f>CONCATENATE("Desired Carryover Into ",E1+1,"")</f>
        <v>Desired Carryover Into 2014</v>
      </c>
      <c r="H24" s="555"/>
      <c r="I24" s="555"/>
      <c r="J24" s="556"/>
    </row>
    <row r="25" spans="2:10" ht="15.75">
      <c r="B25" s="512" t="s">
        <v>151</v>
      </c>
      <c r="C25" s="309">
        <v>12112</v>
      </c>
      <c r="D25" s="203">
        <v>10887</v>
      </c>
      <c r="E25" s="30">
        <v>9624</v>
      </c>
      <c r="G25" s="417"/>
      <c r="H25" s="40"/>
      <c r="I25" s="414"/>
      <c r="J25" s="418"/>
    </row>
    <row r="26" spans="2:10" ht="15.75">
      <c r="B26" s="209"/>
      <c r="C26" s="309"/>
      <c r="D26" s="203"/>
      <c r="E26" s="30"/>
      <c r="G26" s="415" t="s">
        <v>17</v>
      </c>
      <c r="H26" s="414"/>
      <c r="I26" s="414"/>
      <c r="J26" s="413">
        <v>0</v>
      </c>
    </row>
    <row r="27" spans="2:10" ht="15.75">
      <c r="B27" s="209"/>
      <c r="C27" s="309"/>
      <c r="D27" s="203"/>
      <c r="E27" s="30"/>
      <c r="G27" s="417" t="s">
        <v>18</v>
      </c>
      <c r="H27" s="40"/>
      <c r="I27" s="40"/>
      <c r="J27" s="431">
        <f>IF(J26=0,"",ROUND((J26+E40-G39)/inputOth!E7*1000,3)-G44)</f>
      </c>
    </row>
    <row r="28" spans="2:10" ht="15.75">
      <c r="B28" s="209"/>
      <c r="C28" s="309"/>
      <c r="D28" s="203"/>
      <c r="E28" s="30"/>
      <c r="G28" s="422" t="str">
        <f>CONCATENATE("",E1," Tot Exp/Non-Appr Must Be:")</f>
        <v>2013 Tot Exp/Non-Appr Must Be:</v>
      </c>
      <c r="H28" s="420"/>
      <c r="I28" s="421"/>
      <c r="J28" s="419">
        <f>IF(J26&gt;0,IF(E37&lt;E21,IF(J26=G39,E37,((J26-G39)*(1-D39))+E21),E37+(J26-G39)),0)</f>
        <v>0</v>
      </c>
    </row>
    <row r="29" spans="2:10" ht="15.75">
      <c r="B29" s="209"/>
      <c r="C29" s="309"/>
      <c r="D29" s="203"/>
      <c r="E29" s="30"/>
      <c r="G29" s="426" t="s">
        <v>46</v>
      </c>
      <c r="H29" s="427"/>
      <c r="I29" s="427"/>
      <c r="J29" s="423">
        <f>IF(J26&gt;0,J28-E37,0)</f>
        <v>0</v>
      </c>
    </row>
    <row r="30" spans="2:5" ht="15.75">
      <c r="B30" s="307" t="s">
        <v>85</v>
      </c>
      <c r="C30" s="309"/>
      <c r="D30" s="203"/>
      <c r="E30" s="172">
        <f>nhood!E7</f>
      </c>
    </row>
    <row r="31" spans="2:10" ht="15.75">
      <c r="B31" s="307" t="s">
        <v>84</v>
      </c>
      <c r="C31" s="309"/>
      <c r="D31" s="203"/>
      <c r="E31" s="30"/>
      <c r="G31" s="567" t="str">
        <f>CONCATENATE("Projected Carryover Into ",E1+1,"")</f>
        <v>Projected Carryover Into 2014</v>
      </c>
      <c r="H31" s="568"/>
      <c r="I31" s="568"/>
      <c r="J31" s="556"/>
    </row>
    <row r="32" spans="2:10" ht="15.75">
      <c r="B32" s="307" t="s">
        <v>13</v>
      </c>
      <c r="C32" s="308">
        <f>IF(C33*0.1&lt;C31,"Exceed 10% Rule","")</f>
      </c>
      <c r="D32" s="315">
        <f>IF(D33*0.1&lt;D31,"Exceed 10% Rule","")</f>
      </c>
      <c r="E32" s="306">
        <f>IF(E33*0.1&lt;E31,"Exceed 10% Rule","")</f>
      </c>
      <c r="G32" s="354"/>
      <c r="H32" s="353"/>
      <c r="I32" s="353"/>
      <c r="J32" s="411"/>
    </row>
    <row r="33" spans="2:10" ht="15.75">
      <c r="B33" s="211" t="s">
        <v>213</v>
      </c>
      <c r="C33" s="310">
        <f>SUM(C23:C31)</f>
        <v>51187</v>
      </c>
      <c r="D33" s="310">
        <f>SUM(D23:D31)</f>
        <v>51186</v>
      </c>
      <c r="E33" s="212">
        <f>SUM(E23:E31)</f>
        <v>51186</v>
      </c>
      <c r="G33" s="356">
        <f>D34</f>
        <v>0</v>
      </c>
      <c r="H33" s="357" t="str">
        <f>CONCATENATE("",E1-1," Ending Cash Balance (est.)")</f>
        <v>2012 Ending Cash Balance (est.)</v>
      </c>
      <c r="I33" s="334"/>
      <c r="J33" s="411"/>
    </row>
    <row r="34" spans="2:10" ht="15.75">
      <c r="B34" s="111" t="s">
        <v>319</v>
      </c>
      <c r="C34" s="311">
        <f>C21-C33</f>
        <v>0</v>
      </c>
      <c r="D34" s="311">
        <f>D21-D33</f>
        <v>0</v>
      </c>
      <c r="E34" s="229" t="s">
        <v>189</v>
      </c>
      <c r="G34" s="356">
        <f>E20</f>
        <v>51186</v>
      </c>
      <c r="H34" s="358" t="str">
        <f>CONCATENATE("",E1," Non-AV Receipts (est.)")</f>
        <v>2013 Non-AV Receipts (est.)</v>
      </c>
      <c r="I34" s="353"/>
      <c r="J34" s="411"/>
    </row>
    <row r="35" spans="2:11" ht="15.75">
      <c r="B35" s="99" t="str">
        <f>CONCATENATE("",E1-2,"/",E1-1," Budget Authority Amount:")</f>
        <v>2011/2012 Budget Authority Amount:</v>
      </c>
      <c r="C35" s="162">
        <f>inputOth!B62</f>
        <v>55756</v>
      </c>
      <c r="D35" s="220">
        <f>inputPrYr!D18</f>
        <v>51186</v>
      </c>
      <c r="E35" s="229" t="s">
        <v>189</v>
      </c>
      <c r="F35" s="221"/>
      <c r="G35" s="359">
        <f>IF(E39&gt;0,E38,E40)</f>
        <v>0</v>
      </c>
      <c r="H35" s="358" t="str">
        <f>CONCATENATE("",E1," Ad Valorem Tax (est.)")</f>
        <v>2013 Ad Valorem Tax (est.)</v>
      </c>
      <c r="I35" s="353"/>
      <c r="J35" s="411"/>
      <c r="K35" s="429">
        <f>IF(G35=E40,"","Note: Does not include Delinquent Taxes")</f>
      </c>
    </row>
    <row r="36" spans="2:10" ht="15.75">
      <c r="B36" s="99"/>
      <c r="C36" s="562" t="s">
        <v>9</v>
      </c>
      <c r="D36" s="563"/>
      <c r="E36" s="30"/>
      <c r="F36" s="327">
        <f>IF(E33/0.95-E33&lt;E36,"Exceeds 5%","")</f>
      </c>
      <c r="G36" s="356">
        <f>SUM(G33:G35)</f>
        <v>51186</v>
      </c>
      <c r="H36" s="358" t="str">
        <f>CONCATENATE("Total ",E1," Resources Available")</f>
        <v>Total 2013 Resources Available</v>
      </c>
      <c r="I36" s="334"/>
      <c r="J36" s="411"/>
    </row>
    <row r="37" spans="2:10" ht="15.75">
      <c r="B37" s="316" t="str">
        <f>CONCATENATE(C90,"     ",D90)</f>
        <v>     </v>
      </c>
      <c r="C37" s="564" t="s">
        <v>10</v>
      </c>
      <c r="D37" s="565"/>
      <c r="E37" s="172">
        <f>E33+E36</f>
        <v>51186</v>
      </c>
      <c r="G37" s="360"/>
      <c r="H37" s="358"/>
      <c r="I37" s="353"/>
      <c r="J37" s="411"/>
    </row>
    <row r="38" spans="2:10" ht="15.75">
      <c r="B38" s="316" t="str">
        <f>CONCATENATE(C91,"     ",D91)</f>
        <v>     </v>
      </c>
      <c r="C38" s="222"/>
      <c r="D38" s="127" t="s">
        <v>214</v>
      </c>
      <c r="E38" s="37">
        <f>IF(E37-E21&gt;0,E37-E21,0)</f>
        <v>0</v>
      </c>
      <c r="G38" s="359">
        <f>C33</f>
        <v>51187</v>
      </c>
      <c r="H38" s="358" t="str">
        <f>CONCATENATE("Less ",E1-2," Expenditures")</f>
        <v>Less 2011 Expenditures</v>
      </c>
      <c r="I38" s="353"/>
      <c r="J38" s="411"/>
    </row>
    <row r="39" spans="2:10" ht="15.75">
      <c r="B39" s="127"/>
      <c r="C39" s="302" t="s">
        <v>11</v>
      </c>
      <c r="D39" s="428">
        <f>inputOth!E47</f>
        <v>0.05</v>
      </c>
      <c r="E39" s="172">
        <f>ROUND(IF(D39&gt;0,(E38*D39),0),0)</f>
        <v>0</v>
      </c>
      <c r="G39" s="350">
        <f>SUM(G36-G38)</f>
        <v>-1</v>
      </c>
      <c r="H39" s="351" t="str">
        <f>CONCATENATE("Projected ",E1+1," carryover (est.)")</f>
        <v>Projected 2014 carryover (est.)</v>
      </c>
      <c r="I39" s="343"/>
      <c r="J39" s="409"/>
    </row>
    <row r="40" spans="2:5" ht="16.5" thickBot="1">
      <c r="B40" s="4"/>
      <c r="C40" s="574" t="str">
        <f>CONCATENATE("Amount of  ",E1-1," Ad Valorem Tax")</f>
        <v>Amount of  2012 Ad Valorem Tax</v>
      </c>
      <c r="D40" s="575"/>
      <c r="E40" s="233">
        <f>E38+E39</f>
        <v>0</v>
      </c>
    </row>
    <row r="41" spans="2:10" ht="16.5" thickTop="1">
      <c r="B41" s="4"/>
      <c r="C41" s="574"/>
      <c r="D41" s="574"/>
      <c r="E41" s="303"/>
      <c r="G41" s="557" t="s">
        <v>51</v>
      </c>
      <c r="H41" s="558"/>
      <c r="I41" s="558"/>
      <c r="J41" s="559"/>
    </row>
    <row r="42" spans="2:10" ht="15.75">
      <c r="B42" s="4"/>
      <c r="C42" s="303"/>
      <c r="D42" s="303"/>
      <c r="E42" s="303"/>
      <c r="G42" s="461"/>
      <c r="H42" s="462"/>
      <c r="I42" s="463"/>
      <c r="J42" s="464"/>
    </row>
    <row r="43" spans="2:10" ht="15.75">
      <c r="B43" s="9"/>
      <c r="C43" s="9"/>
      <c r="D43" s="305"/>
      <c r="E43" s="305"/>
      <c r="G43" s="465" t="str">
        <f>summ!H17</f>
        <v> </v>
      </c>
      <c r="H43" s="462" t="str">
        <f>CONCATENATE("",E1," Fund Mill Rate")</f>
        <v>2013 Fund Mill Rate</v>
      </c>
      <c r="I43" s="463"/>
      <c r="J43" s="464"/>
    </row>
    <row r="44" spans="2:10" ht="15.75">
      <c r="B44" s="9" t="s">
        <v>200</v>
      </c>
      <c r="C44" s="458" t="str">
        <f aca="true" t="shared" si="0" ref="C44:E45">C4</f>
        <v>Prior Year </v>
      </c>
      <c r="D44" s="459" t="str">
        <f t="shared" si="0"/>
        <v>Current Year </v>
      </c>
      <c r="E44" s="105" t="str">
        <f t="shared" si="0"/>
        <v>Proposed Budget </v>
      </c>
      <c r="G44" s="466" t="str">
        <f>summ!E17</f>
        <v>  </v>
      </c>
      <c r="H44" s="462" t="str">
        <f>CONCATENATE("",E1-1," Fund Mill Rate")</f>
        <v>2012 Fund Mill Rate</v>
      </c>
      <c r="I44" s="463"/>
      <c r="J44" s="464"/>
    </row>
    <row r="45" spans="2:10" ht="15.75">
      <c r="B45" s="313"/>
      <c r="C45" s="296" t="str">
        <f t="shared" si="0"/>
        <v>Actual for 2011</v>
      </c>
      <c r="D45" s="296" t="str">
        <f t="shared" si="0"/>
        <v>Estimate for 2012</v>
      </c>
      <c r="E45" s="158" t="str">
        <f t="shared" si="0"/>
        <v>Year for 2013</v>
      </c>
      <c r="G45" s="467">
        <f>summ!H25</f>
        <v>53.446</v>
      </c>
      <c r="H45" s="462" t="str">
        <f>CONCATENATE("Total ",E1," Mill Rate")</f>
        <v>Total 2013 Mill Rate</v>
      </c>
      <c r="I45" s="463"/>
      <c r="J45" s="464"/>
    </row>
    <row r="46" spans="2:10" ht="15.75">
      <c r="B46" s="111" t="s">
        <v>318</v>
      </c>
      <c r="C46" s="309"/>
      <c r="D46" s="295">
        <f>C74</f>
        <v>0</v>
      </c>
      <c r="E46" s="172">
        <f>D74</f>
        <v>0</v>
      </c>
      <c r="G46" s="466">
        <f>summ!E25</f>
        <v>53.446</v>
      </c>
      <c r="H46" s="468" t="str">
        <f>CONCATENATE("Total ",E1-1," Mill Rate")</f>
        <v>Total 2012 Mill Rate</v>
      </c>
      <c r="I46" s="469"/>
      <c r="J46" s="76"/>
    </row>
    <row r="47" spans="2:5" ht="15.75">
      <c r="B47" s="122" t="s">
        <v>320</v>
      </c>
      <c r="C47" s="111"/>
      <c r="D47" s="295"/>
      <c r="E47" s="172"/>
    </row>
    <row r="48" spans="2:5" ht="15.75">
      <c r="B48" s="111" t="s">
        <v>201</v>
      </c>
      <c r="C48" s="309"/>
      <c r="D48" s="295">
        <f>IF(inputPrYr!H16&gt;0,inputPrYr!G19,inputPrYr!E19)</f>
        <v>0</v>
      </c>
      <c r="E48" s="229" t="s">
        <v>189</v>
      </c>
    </row>
    <row r="49" spans="2:5" ht="15.75">
      <c r="B49" s="111" t="s">
        <v>202</v>
      </c>
      <c r="C49" s="309"/>
      <c r="D49" s="203"/>
      <c r="E49" s="30"/>
    </row>
    <row r="50" spans="2:5" ht="15.75">
      <c r="B50" s="111" t="s">
        <v>203</v>
      </c>
      <c r="C50" s="309"/>
      <c r="D50" s="203"/>
      <c r="E50" s="172" t="str">
        <f>mvalloc!D9</f>
        <v>  </v>
      </c>
    </row>
    <row r="51" spans="2:5" ht="15.75">
      <c r="B51" s="111" t="s">
        <v>204</v>
      </c>
      <c r="C51" s="309"/>
      <c r="D51" s="203"/>
      <c r="E51" s="172" t="str">
        <f>mvalloc!E9</f>
        <v> </v>
      </c>
    </row>
    <row r="52" spans="2:5" ht="15.75">
      <c r="B52" s="218" t="s">
        <v>295</v>
      </c>
      <c r="C52" s="309"/>
      <c r="D52" s="203"/>
      <c r="E52" s="172" t="str">
        <f>mvalloc!F9</f>
        <v> </v>
      </c>
    </row>
    <row r="53" spans="2:5" ht="15.75">
      <c r="B53" s="30"/>
      <c r="C53" s="309"/>
      <c r="D53" s="203"/>
      <c r="E53" s="30"/>
    </row>
    <row r="54" spans="2:5" ht="15.75">
      <c r="B54" s="203"/>
      <c r="C54" s="309"/>
      <c r="D54" s="203"/>
      <c r="E54" s="30"/>
    </row>
    <row r="55" spans="2:5" ht="15.75">
      <c r="B55" s="209"/>
      <c r="C55" s="309"/>
      <c r="D55" s="203"/>
      <c r="E55" s="30"/>
    </row>
    <row r="56" spans="2:5" ht="15.75">
      <c r="B56" s="209"/>
      <c r="C56" s="309"/>
      <c r="D56" s="203"/>
      <c r="E56" s="30"/>
    </row>
    <row r="57" spans="2:5" ht="15.75">
      <c r="B57" s="235" t="s">
        <v>206</v>
      </c>
      <c r="C57" s="309"/>
      <c r="D57" s="203"/>
      <c r="E57" s="30"/>
    </row>
    <row r="58" spans="2:5" ht="15.75">
      <c r="B58" s="111" t="s">
        <v>84</v>
      </c>
      <c r="C58" s="309"/>
      <c r="D58" s="203"/>
      <c r="E58" s="30"/>
    </row>
    <row r="59" spans="2:5" ht="15.75">
      <c r="B59" s="111" t="s">
        <v>35</v>
      </c>
      <c r="C59" s="297">
        <f>IF(C60*0.1&lt;C58,"Exceed 10% Rule","")</f>
      </c>
      <c r="D59" s="314">
        <f>IF(D60*0.1&lt;D58,"Exceed 10% Rule","")</f>
      </c>
      <c r="E59" s="230">
        <f>IF(E61*0.01+E80&lt;E58,"Exceed 10% Rule","")</f>
      </c>
    </row>
    <row r="60" spans="2:5" ht="15.75">
      <c r="B60" s="211" t="s">
        <v>207</v>
      </c>
      <c r="C60" s="310">
        <f>SUM(C48:C58)</f>
        <v>0</v>
      </c>
      <c r="D60" s="310">
        <f>SUM(D48:D58)</f>
        <v>0</v>
      </c>
      <c r="E60" s="212">
        <f>SUM(E48:E58)</f>
        <v>0</v>
      </c>
    </row>
    <row r="61" spans="2:5" ht="15.75">
      <c r="B61" s="211" t="s">
        <v>208</v>
      </c>
      <c r="C61" s="310">
        <f>C46+C60</f>
        <v>0</v>
      </c>
      <c r="D61" s="310">
        <f>D46+D60</f>
        <v>0</v>
      </c>
      <c r="E61" s="212">
        <f>E46+E60</f>
        <v>0</v>
      </c>
    </row>
    <row r="62" spans="2:5" ht="15.75">
      <c r="B62" s="111" t="s">
        <v>210</v>
      </c>
      <c r="C62" s="111"/>
      <c r="D62" s="295"/>
      <c r="E62" s="172"/>
    </row>
    <row r="63" spans="2:5" ht="15.75">
      <c r="B63" s="209"/>
      <c r="C63" s="309"/>
      <c r="D63" s="203"/>
      <c r="E63" s="30"/>
    </row>
    <row r="64" spans="2:10" ht="15.75">
      <c r="B64" s="209"/>
      <c r="C64" s="309"/>
      <c r="D64" s="203"/>
      <c r="E64" s="30"/>
      <c r="G64" s="569" t="str">
        <f>CONCATENATE("Desired Carryover Into ",E1+1,"")</f>
        <v>Desired Carryover Into 2014</v>
      </c>
      <c r="H64" s="572"/>
      <c r="I64" s="572"/>
      <c r="J64" s="573"/>
    </row>
    <row r="65" spans="2:10" ht="15.75">
      <c r="B65" s="209"/>
      <c r="C65" s="309"/>
      <c r="D65" s="203"/>
      <c r="E65" s="30"/>
      <c r="G65" s="436"/>
      <c r="H65" s="432"/>
      <c r="I65" s="434"/>
      <c r="J65" s="437"/>
    </row>
    <row r="66" spans="2:10" ht="15.75">
      <c r="B66" s="209"/>
      <c r="C66" s="309"/>
      <c r="D66" s="203"/>
      <c r="E66" s="30"/>
      <c r="G66" s="435" t="s">
        <v>17</v>
      </c>
      <c r="H66" s="434"/>
      <c r="I66" s="434"/>
      <c r="J66" s="433">
        <v>0</v>
      </c>
    </row>
    <row r="67" spans="2:10" ht="15.75">
      <c r="B67" s="209"/>
      <c r="C67" s="309"/>
      <c r="D67" s="203"/>
      <c r="E67" s="30"/>
      <c r="G67" s="436" t="s">
        <v>18</v>
      </c>
      <c r="H67" s="432"/>
      <c r="I67" s="432"/>
      <c r="J67" s="431">
        <f>IF(J66=0,"",ROUND((J66+E80-G79)/inputOth!E7*1000,3)-G84)</f>
      </c>
    </row>
    <row r="68" spans="2:10" ht="15.75">
      <c r="B68" s="209"/>
      <c r="C68" s="309"/>
      <c r="D68" s="203"/>
      <c r="E68" s="30"/>
      <c r="G68" s="441" t="str">
        <f>CONCATENATE("",E1," Tot Exp/Non-Appr Must Be:")</f>
        <v>2013 Tot Exp/Non-Appr Must Be:</v>
      </c>
      <c r="H68" s="439"/>
      <c r="I68" s="440"/>
      <c r="J68" s="438">
        <f>IF(J66&gt;0,IF(E77&lt;E61,IF(J66=G79,E77,((J66-G79)*(1-D79))+E61),E77+(J66-G79)),0)</f>
        <v>0</v>
      </c>
    </row>
    <row r="69" spans="2:10" ht="15.75">
      <c r="B69" s="209"/>
      <c r="C69" s="309"/>
      <c r="D69" s="203"/>
      <c r="E69" s="30"/>
      <c r="G69" s="443" t="s">
        <v>46</v>
      </c>
      <c r="H69" s="444"/>
      <c r="I69" s="444"/>
      <c r="J69" s="442">
        <f>IF(J66&gt;0,J68-E77,0)</f>
        <v>0</v>
      </c>
    </row>
    <row r="70" spans="2:5" ht="15.75">
      <c r="B70" s="218" t="s">
        <v>85</v>
      </c>
      <c r="C70" s="309"/>
      <c r="D70" s="203"/>
      <c r="E70" s="172">
        <f>nhood!E8</f>
      </c>
    </row>
    <row r="71" spans="2:10" ht="15.75">
      <c r="B71" s="218" t="s">
        <v>84</v>
      </c>
      <c r="C71" s="309"/>
      <c r="D71" s="203"/>
      <c r="E71" s="30"/>
      <c r="G71" s="569" t="str">
        <f>CONCATENATE("Projected Carryover Into ",E1+1,"")</f>
        <v>Projected Carryover Into 2014</v>
      </c>
      <c r="H71" s="570"/>
      <c r="I71" s="570"/>
      <c r="J71" s="556"/>
    </row>
    <row r="72" spans="2:10" ht="15.75">
      <c r="B72" s="218" t="s">
        <v>12</v>
      </c>
      <c r="C72" s="297">
        <f>IF(C73*0.1&lt;C71,"Exceed 10% Rule","")</f>
      </c>
      <c r="D72" s="314">
        <f>IF(D73*0.1&lt;D71,"Exceed 10% Rule","")</f>
      </c>
      <c r="E72" s="230">
        <f>IF(E73*0.1&lt;E71,"Exceed 10% Rule","")</f>
      </c>
      <c r="G72" s="445"/>
      <c r="H72" s="432"/>
      <c r="I72" s="432"/>
      <c r="J72" s="492"/>
    </row>
    <row r="73" spans="2:10" ht="15.75">
      <c r="B73" s="211" t="s">
        <v>213</v>
      </c>
      <c r="C73" s="310">
        <f>SUM(C63:C71)</f>
        <v>0</v>
      </c>
      <c r="D73" s="310">
        <f>SUM(D63:D71)</f>
        <v>0</v>
      </c>
      <c r="E73" s="212">
        <f>SUM(E63:E71)</f>
        <v>0</v>
      </c>
      <c r="G73" s="447">
        <f>D74</f>
        <v>0</v>
      </c>
      <c r="H73" s="448" t="str">
        <f>CONCATENATE("",E1-1," Ending Cash Balance (est.)")</f>
        <v>2012 Ending Cash Balance (est.)</v>
      </c>
      <c r="I73" s="449"/>
      <c r="J73" s="492"/>
    </row>
    <row r="74" spans="2:10" ht="15.75">
      <c r="B74" s="111" t="s">
        <v>319</v>
      </c>
      <c r="C74" s="311">
        <f>C61-C73</f>
        <v>0</v>
      </c>
      <c r="D74" s="311">
        <f>D61-D73</f>
        <v>0</v>
      </c>
      <c r="E74" s="229" t="s">
        <v>189</v>
      </c>
      <c r="G74" s="447">
        <f>E60</f>
        <v>0</v>
      </c>
      <c r="H74" s="434" t="str">
        <f>CONCATENATE("",E1," Non-AV Receipts (est.)")</f>
        <v>2013 Non-AV Receipts (est.)</v>
      </c>
      <c r="I74" s="449"/>
      <c r="J74" s="492"/>
    </row>
    <row r="75" spans="2:11" ht="15.75">
      <c r="B75" s="99" t="str">
        <f>CONCATENATE("",E1-2,"/",E1-1," Budget Authority Amount:")</f>
        <v>2011/2012 Budget Authority Amount:</v>
      </c>
      <c r="C75" s="162">
        <f>inputOth!B63</f>
        <v>0</v>
      </c>
      <c r="D75" s="162">
        <f>inputPrYr!D19</f>
        <v>0</v>
      </c>
      <c r="E75" s="229" t="s">
        <v>189</v>
      </c>
      <c r="F75" s="221"/>
      <c r="G75" s="450">
        <f>IF(E79&gt;0,E78,E80)</f>
        <v>0</v>
      </c>
      <c r="H75" s="434" t="str">
        <f>CONCATENATE("",E1," Ad Valorem Tax (est.)")</f>
        <v>2013 Ad Valorem Tax (est.)</v>
      </c>
      <c r="I75" s="449"/>
      <c r="J75" s="492"/>
      <c r="K75" s="429">
        <f>IF(G75=E80,"","Note: Does not include Delinquent Taxes")</f>
      </c>
    </row>
    <row r="76" spans="2:10" ht="15.75">
      <c r="B76" s="99"/>
      <c r="C76" s="562" t="s">
        <v>9</v>
      </c>
      <c r="D76" s="563"/>
      <c r="E76" s="30"/>
      <c r="F76" s="495">
        <f>IF(E73/0.95-E73&lt;E76,"Exceeds 5%","")</f>
      </c>
      <c r="G76" s="452">
        <f>SUM(G73:G75)</f>
        <v>0</v>
      </c>
      <c r="H76" s="434" t="str">
        <f>CONCATENATE("Total ",E1," Resources Available")</f>
        <v>Total 2013 Resources Available</v>
      </c>
      <c r="I76" s="446"/>
      <c r="J76" s="492"/>
    </row>
    <row r="77" spans="2:10" ht="15.75">
      <c r="B77" s="316" t="str">
        <f>CONCATENATE(C93,"     ",D93)</f>
        <v>     </v>
      </c>
      <c r="C77" s="564" t="s">
        <v>10</v>
      </c>
      <c r="D77" s="565"/>
      <c r="E77" s="172">
        <f>E73+E76</f>
        <v>0</v>
      </c>
      <c r="G77" s="455"/>
      <c r="H77" s="453"/>
      <c r="I77" s="432"/>
      <c r="J77" s="492"/>
    </row>
    <row r="78" spans="2:10" ht="15.75">
      <c r="B78" s="316" t="str">
        <f>CONCATENATE(C94,"     ",D94)</f>
        <v>     </v>
      </c>
      <c r="C78" s="222"/>
      <c r="D78" s="127" t="s">
        <v>214</v>
      </c>
      <c r="E78" s="37">
        <f>IF(E77-E61&gt;0,E77-E61,0)</f>
        <v>0</v>
      </c>
      <c r="G78" s="454">
        <f>ROUND(C73*0.05+C73,0)</f>
        <v>0</v>
      </c>
      <c r="H78" s="453" t="str">
        <f>CONCATENATE("Less ",E1-2," Expenditures + 5%")</f>
        <v>Less 2011 Expenditures + 5%</v>
      </c>
      <c r="I78" s="446"/>
      <c r="J78" s="492"/>
    </row>
    <row r="79" spans="2:10" ht="15.75">
      <c r="B79" s="127"/>
      <c r="C79" s="302" t="s">
        <v>11</v>
      </c>
      <c r="D79" s="428">
        <f>inputOth!E47</f>
        <v>0.05</v>
      </c>
      <c r="E79" s="172">
        <f>ROUND(IF(D79&gt;0,(E78*D79),0),0)</f>
        <v>0</v>
      </c>
      <c r="G79" s="456">
        <f>G76-G78</f>
        <v>0</v>
      </c>
      <c r="H79" s="457" t="str">
        <f>CONCATENATE("Projected ",E1+1," carryover (est.)")</f>
        <v>Projected 2014 carryover (est.)</v>
      </c>
      <c r="I79" s="451"/>
      <c r="J79" s="409"/>
    </row>
    <row r="80" spans="2:6" ht="16.5" thickBot="1">
      <c r="B80" s="4"/>
      <c r="C80" s="574" t="str">
        <f>CONCATENATE("Amount of  ",E1-1," Ad Valorem Tax")</f>
        <v>Amount of  2012 Ad Valorem Tax</v>
      </c>
      <c r="D80" s="575"/>
      <c r="E80" s="233">
        <f>E78+E79</f>
        <v>0</v>
      </c>
      <c r="F80" s="412" t="e">
        <f>IF(#REF!="","",IF(#REF!="Qualify","Qualifies for State Library Grant","See 'Library Grant' tab"))</f>
        <v>#REF!</v>
      </c>
    </row>
    <row r="81" spans="2:10" ht="16.5" thickTop="1">
      <c r="B81" s="4"/>
      <c r="C81" s="574"/>
      <c r="D81" s="574"/>
      <c r="E81" s="4"/>
      <c r="G81" s="557" t="s">
        <v>51</v>
      </c>
      <c r="H81" s="558"/>
      <c r="I81" s="558"/>
      <c r="J81" s="559"/>
    </row>
    <row r="82" spans="2:10" ht="15.75">
      <c r="B82" s="4"/>
      <c r="C82" s="303"/>
      <c r="D82" s="127"/>
      <c r="E82" s="127"/>
      <c r="G82" s="461"/>
      <c r="H82" s="462"/>
      <c r="I82" s="463"/>
      <c r="J82" s="464"/>
    </row>
    <row r="83" spans="2:10" ht="15.75">
      <c r="B83" s="99" t="s">
        <v>216</v>
      </c>
      <c r="C83" s="513">
        <v>8</v>
      </c>
      <c r="D83" s="58"/>
      <c r="E83" s="4"/>
      <c r="G83" s="465" t="e">
        <f>summ!#REF!</f>
        <v>#REF!</v>
      </c>
      <c r="H83" s="462" t="str">
        <f>CONCATENATE("",E1," Fund Mill Rate")</f>
        <v>2013 Fund Mill Rate</v>
      </c>
      <c r="I83" s="463"/>
      <c r="J83" s="464"/>
    </row>
    <row r="84" spans="2:10" ht="15.75">
      <c r="B84" s="301"/>
      <c r="G84" s="466" t="e">
        <f>summ!#REF!</f>
        <v>#REF!</v>
      </c>
      <c r="H84" s="462" t="str">
        <f>CONCATENATE("",E1-1," Fund Mill Rate")</f>
        <v>2012 Fund Mill Rate</v>
      </c>
      <c r="I84" s="463"/>
      <c r="J84" s="464"/>
    </row>
    <row r="85" spans="3:10" ht="15.75">
      <c r="C85" s="63"/>
      <c r="G85" s="467">
        <f>summ!H25</f>
        <v>53.446</v>
      </c>
      <c r="H85" s="462" t="str">
        <f>CONCATENATE("Total ",E1," Mill Rate")</f>
        <v>Total 2013 Mill Rate</v>
      </c>
      <c r="I85" s="463"/>
      <c r="J85" s="464"/>
    </row>
    <row r="86" spans="2:10" ht="15.75">
      <c r="B86" s="63"/>
      <c r="G86" s="466">
        <f>summ!E25</f>
        <v>53.446</v>
      </c>
      <c r="H86" s="468" t="str">
        <f>CONCATENATE("Total ",E1-1," Mill Rate")</f>
        <v>Total 2012 Mill Rate</v>
      </c>
      <c r="I86" s="469"/>
      <c r="J86" s="76"/>
    </row>
    <row r="90" spans="3:4" ht="15.75" hidden="1">
      <c r="C90" s="5">
        <f>IF(C33&gt;C35,"See Tab A","")</f>
      </c>
      <c r="D90" s="5">
        <f>IF(D33&gt;D35,"See Tab C","")</f>
      </c>
    </row>
    <row r="91" spans="3:4" ht="15.75" hidden="1">
      <c r="C91" s="5">
        <f>IF(C34&lt;0,"See Tab B","")</f>
      </c>
      <c r="D91" s="5">
        <f>IF(D34&lt;0,"See Tab D","")</f>
      </c>
    </row>
    <row r="92" ht="15.75" hidden="1"/>
    <row r="93" spans="3:4" ht="15.75" hidden="1">
      <c r="C93" s="5">
        <f>IF(C73&gt;C75,"See Tab A","")</f>
      </c>
      <c r="D93" s="5">
        <f>IF(D73&gt;D75,"See Tab C","")</f>
      </c>
    </row>
    <row r="94" spans="3:4" ht="15.75" hidden="1">
      <c r="C94" s="5">
        <f>IF(C74&lt;0,"See Tab B","")</f>
      </c>
      <c r="D94" s="5">
        <f>IF(D74&lt;0,"See Tab D","")</f>
      </c>
    </row>
  </sheetData>
  <sheetProtection/>
  <mergeCells count="14">
    <mergeCell ref="G81:J81"/>
    <mergeCell ref="C37:D37"/>
    <mergeCell ref="C40:D40"/>
    <mergeCell ref="C41:D41"/>
    <mergeCell ref="C81:D81"/>
    <mergeCell ref="C80:D80"/>
    <mergeCell ref="C76:D76"/>
    <mergeCell ref="C77:D77"/>
    <mergeCell ref="G31:J31"/>
    <mergeCell ref="G41:J41"/>
    <mergeCell ref="G71:J71"/>
    <mergeCell ref="G24:J24"/>
    <mergeCell ref="G64:J64"/>
    <mergeCell ref="C36:D36"/>
  </mergeCells>
  <conditionalFormatting sqref="E71">
    <cfRule type="cellIs" priority="20" dxfId="85" operator="greaterThan" stopIfTrue="1">
      <formula>$E$73*0.1</formula>
    </cfRule>
  </conditionalFormatting>
  <conditionalFormatting sqref="E76">
    <cfRule type="cellIs" priority="19" dxfId="85" operator="greaterThan" stopIfTrue="1">
      <formula>$E$73/0.95-$E$73</formula>
    </cfRule>
  </conditionalFormatting>
  <conditionalFormatting sqref="E31">
    <cfRule type="cellIs" priority="18" dxfId="85" operator="greaterThan" stopIfTrue="1">
      <formula>$E$33*0.1</formula>
    </cfRule>
  </conditionalFormatting>
  <conditionalFormatting sqref="E36">
    <cfRule type="cellIs" priority="17" dxfId="85" operator="greaterThan" stopIfTrue="1">
      <formula>$E$33/0.95-$E$33</formula>
    </cfRule>
  </conditionalFormatting>
  <conditionalFormatting sqref="C73">
    <cfRule type="cellIs" priority="16" dxfId="2" operator="greaterThan" stopIfTrue="1">
      <formula>$C$75</formula>
    </cfRule>
  </conditionalFormatting>
  <conditionalFormatting sqref="C74 C34">
    <cfRule type="cellIs" priority="15" dxfId="2" operator="lessThan" stopIfTrue="1">
      <formula>0</formula>
    </cfRule>
  </conditionalFormatting>
  <conditionalFormatting sqref="D73">
    <cfRule type="cellIs" priority="14" dxfId="2" operator="greaterThan" stopIfTrue="1">
      <formula>$D$75</formula>
    </cfRule>
  </conditionalFormatting>
  <conditionalFormatting sqref="C33">
    <cfRule type="cellIs" priority="13" dxfId="2" operator="greaterThan" stopIfTrue="1">
      <formula>$C$35</formula>
    </cfRule>
  </conditionalFormatting>
  <conditionalFormatting sqref="D33">
    <cfRule type="cellIs" priority="12" dxfId="2" operator="greaterThan" stopIfTrue="1">
      <formula>$D$35</formula>
    </cfRule>
  </conditionalFormatting>
  <conditionalFormatting sqref="C31">
    <cfRule type="cellIs" priority="11" dxfId="2" operator="greaterThan" stopIfTrue="1">
      <formula>$C$33*0.1</formula>
    </cfRule>
  </conditionalFormatting>
  <conditionalFormatting sqref="D31">
    <cfRule type="cellIs" priority="10" dxfId="2" operator="greaterThan" stopIfTrue="1">
      <formula>$D$33*0.1</formula>
    </cfRule>
  </conditionalFormatting>
  <conditionalFormatting sqref="C71">
    <cfRule type="cellIs" priority="9" dxfId="2" operator="greaterThan" stopIfTrue="1">
      <formula>$C$73*0.1</formula>
    </cfRule>
  </conditionalFormatting>
  <conditionalFormatting sqref="D71">
    <cfRule type="cellIs" priority="8" dxfId="2" operator="greaterThan" stopIfTrue="1">
      <formula>$D$73*0.1</formula>
    </cfRule>
  </conditionalFormatting>
  <conditionalFormatting sqref="D18">
    <cfRule type="cellIs" priority="7" dxfId="2" operator="greaterThan" stopIfTrue="1">
      <formula>$D$20*0.1</formula>
    </cfRule>
  </conditionalFormatting>
  <conditionalFormatting sqref="C18">
    <cfRule type="cellIs" priority="6" dxfId="2" operator="greaterThan" stopIfTrue="1">
      <formula>$C$20*0.1</formula>
    </cfRule>
  </conditionalFormatting>
  <conditionalFormatting sqref="E18">
    <cfRule type="cellIs" priority="5" dxfId="85" operator="greaterThan" stopIfTrue="1">
      <formula>$E$20*0.1+E40</formula>
    </cfRule>
  </conditionalFormatting>
  <conditionalFormatting sqref="C58">
    <cfRule type="cellIs" priority="4" dxfId="85" operator="greaterThan" stopIfTrue="1">
      <formula>$C$60*0.1</formula>
    </cfRule>
  </conditionalFormatting>
  <conditionalFormatting sqref="D58">
    <cfRule type="cellIs" priority="3" dxfId="85" operator="greaterThan" stopIfTrue="1">
      <formula>$D$60*0.1</formula>
    </cfRule>
  </conditionalFormatting>
  <conditionalFormatting sqref="E58">
    <cfRule type="cellIs" priority="2" dxfId="85" operator="greaterThan" stopIfTrue="1">
      <formula>$E$60*0.1+E80</formula>
    </cfRule>
  </conditionalFormatting>
  <conditionalFormatting sqref="D74 D34">
    <cfRule type="cellIs" priority="1" dxfId="0" operator="lessThan" stopIfTrue="1">
      <formula>0</formula>
    </cfRule>
  </conditionalFormatting>
  <printOptions/>
  <pageMargins left="0.75" right="0.75" top="1" bottom="1" header="0.5" footer="0.5"/>
  <pageSetup blackAndWhite="1" horizontalDpi="600" verticalDpi="600" orientation="portrait" scale="49"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0">
      <selection activeCell="E21" sqref="E21"/>
    </sheetView>
  </sheetViews>
  <sheetFormatPr defaultColWidth="8.796875" defaultRowHeight="15"/>
  <cols>
    <col min="1" max="1" width="2.3984375" style="5" customWidth="1"/>
    <col min="2" max="2" width="31.09765625" style="5" customWidth="1"/>
    <col min="3" max="4" width="15.796875" style="5" customWidth="1"/>
    <col min="5" max="5" width="16.19921875" style="5" customWidth="1"/>
    <col min="6" max="16384" width="8.8984375" style="5" customWidth="1"/>
  </cols>
  <sheetData>
    <row r="1" spans="2:5" ht="15.75">
      <c r="B1" s="131" t="str">
        <f>(inputPrYr!D2)</f>
        <v>City of LaHarpe</v>
      </c>
      <c r="C1" s="4"/>
      <c r="D1" s="4"/>
      <c r="E1" s="191">
        <f>inputPrYr!C5</f>
        <v>2013</v>
      </c>
    </row>
    <row r="2" spans="2:5" ht="15.75">
      <c r="B2" s="4"/>
      <c r="C2" s="4"/>
      <c r="D2" s="4"/>
      <c r="E2" s="127"/>
    </row>
    <row r="3" spans="2:5" ht="15.75">
      <c r="B3" s="21" t="s">
        <v>264</v>
      </c>
      <c r="C3" s="231"/>
      <c r="D3" s="231"/>
      <c r="E3" s="231"/>
    </row>
    <row r="4" spans="2:5" ht="15.75">
      <c r="B4" s="9" t="s">
        <v>200</v>
      </c>
      <c r="C4" s="458" t="s">
        <v>41</v>
      </c>
      <c r="D4" s="459" t="s">
        <v>42</v>
      </c>
      <c r="E4" s="105" t="s">
        <v>43</v>
      </c>
    </row>
    <row r="5" spans="2:5" ht="15.75">
      <c r="B5" s="313" t="str">
        <f>(inputPrYr!B34)</f>
        <v>Special Highway</v>
      </c>
      <c r="C5" s="296" t="str">
        <f>CONCATENATE("Actual for ",E1-2,"")</f>
        <v>Actual for 2011</v>
      </c>
      <c r="D5" s="296" t="str">
        <f>CONCATENATE("Estimate for ",E1-1,"")</f>
        <v>Estimate for 2012</v>
      </c>
      <c r="E5" s="201" t="str">
        <f>CONCATENATE("Year for ",E1,"")</f>
        <v>Year for 2013</v>
      </c>
    </row>
    <row r="6" spans="2:5" ht="15.75">
      <c r="B6" s="202" t="s">
        <v>318</v>
      </c>
      <c r="C6" s="30">
        <v>49251</v>
      </c>
      <c r="D6" s="172">
        <f>C29</f>
        <v>31402</v>
      </c>
      <c r="E6" s="172">
        <f>D29</f>
        <v>24332</v>
      </c>
    </row>
    <row r="7" spans="2:5" ht="15.75">
      <c r="B7" s="205" t="s">
        <v>320</v>
      </c>
      <c r="C7" s="48"/>
      <c r="D7" s="48"/>
      <c r="E7" s="48"/>
    </row>
    <row r="8" spans="2:5" ht="15.75">
      <c r="B8" s="218" t="s">
        <v>298</v>
      </c>
      <c r="C8" s="30">
        <v>16164</v>
      </c>
      <c r="D8" s="172">
        <f>inputOth!E53</f>
        <v>14930</v>
      </c>
      <c r="E8" s="172">
        <f>inputOth!E51</f>
        <v>15040</v>
      </c>
    </row>
    <row r="9" spans="2:5" ht="15.75">
      <c r="B9" s="218" t="s">
        <v>79</v>
      </c>
      <c r="C9" s="30"/>
      <c r="D9" s="172">
        <f>inputOth!E54</f>
        <v>0</v>
      </c>
      <c r="E9" s="172">
        <f>inputOth!E52</f>
        <v>0</v>
      </c>
    </row>
    <row r="10" spans="2:5" ht="15.75">
      <c r="B10" s="217" t="s">
        <v>152</v>
      </c>
      <c r="C10" s="30">
        <v>274</v>
      </c>
      <c r="D10" s="30">
        <v>58</v>
      </c>
      <c r="E10" s="30">
        <v>0</v>
      </c>
    </row>
    <row r="11" spans="2:5" ht="15.75">
      <c r="B11" s="217"/>
      <c r="C11" s="30"/>
      <c r="D11" s="30"/>
      <c r="E11" s="30"/>
    </row>
    <row r="12" spans="2:5" ht="15.75">
      <c r="B12" s="209" t="s">
        <v>206</v>
      </c>
      <c r="C12" s="30">
        <v>0</v>
      </c>
      <c r="D12" s="30">
        <v>0</v>
      </c>
      <c r="E12" s="30">
        <v>0</v>
      </c>
    </row>
    <row r="13" spans="2:5" ht="15.75">
      <c r="B13" s="119" t="s">
        <v>84</v>
      </c>
      <c r="C13" s="30">
        <v>0</v>
      </c>
      <c r="D13" s="30">
        <v>0</v>
      </c>
      <c r="E13" s="30">
        <v>0</v>
      </c>
    </row>
    <row r="14" spans="2:5" ht="15.75">
      <c r="B14" s="202" t="s">
        <v>35</v>
      </c>
      <c r="C14" s="314">
        <f>IF(C15*0.1&lt;C13,"Exceed 10% Rule","")</f>
      </c>
      <c r="D14" s="230">
        <f>IF(D15*0.1&lt;D13,"Exceed 10% Rule","")</f>
      </c>
      <c r="E14" s="230">
        <f>IF(E15*0.1&lt;E13,"Exceed 10% Rule","")</f>
      </c>
    </row>
    <row r="15" spans="2:5" ht="15.75">
      <c r="B15" s="211" t="s">
        <v>207</v>
      </c>
      <c r="C15" s="232">
        <f>SUM(C8:C13)</f>
        <v>16438</v>
      </c>
      <c r="D15" s="232">
        <f>SUM(D8:D13)</f>
        <v>14988</v>
      </c>
      <c r="E15" s="232">
        <f>SUM(E8:E13)</f>
        <v>15040</v>
      </c>
    </row>
    <row r="16" spans="2:5" ht="15.75">
      <c r="B16" s="211" t="s">
        <v>208</v>
      </c>
      <c r="C16" s="232">
        <f>C6+C15</f>
        <v>65689</v>
      </c>
      <c r="D16" s="232">
        <f>D6+D15</f>
        <v>46390</v>
      </c>
      <c r="E16" s="232">
        <f>E6+E15</f>
        <v>39372</v>
      </c>
    </row>
    <row r="17" spans="2:5" ht="15.75">
      <c r="B17" s="111" t="s">
        <v>210</v>
      </c>
      <c r="C17" s="172"/>
      <c r="D17" s="172"/>
      <c r="E17" s="172"/>
    </row>
    <row r="18" spans="2:5" ht="15.75">
      <c r="B18" s="512" t="s">
        <v>153</v>
      </c>
      <c r="C18" s="30"/>
      <c r="D18" s="30"/>
      <c r="E18" s="30"/>
    </row>
    <row r="19" spans="2:5" ht="15.75">
      <c r="B19" s="512" t="s">
        <v>139</v>
      </c>
      <c r="C19" s="30">
        <v>33463</v>
      </c>
      <c r="D19" s="30">
        <f>988+20000</f>
        <v>20988</v>
      </c>
      <c r="E19" s="30">
        <v>15000</v>
      </c>
    </row>
    <row r="20" spans="2:5" ht="15.75">
      <c r="B20" s="217" t="s">
        <v>211</v>
      </c>
      <c r="C20" s="30">
        <v>824</v>
      </c>
      <c r="D20" s="30">
        <v>1070</v>
      </c>
      <c r="E20" s="30">
        <v>24372</v>
      </c>
    </row>
    <row r="21" spans="2:5" ht="15.75">
      <c r="B21" s="217" t="s">
        <v>212</v>
      </c>
      <c r="C21" s="30"/>
      <c r="D21" s="30"/>
      <c r="E21" s="30"/>
    </row>
    <row r="22" spans="2:5" ht="15.75">
      <c r="B22" s="217"/>
      <c r="C22" s="30"/>
      <c r="D22" s="30"/>
      <c r="E22" s="30"/>
    </row>
    <row r="23" spans="2:5" ht="15.75">
      <c r="B23" s="217"/>
      <c r="C23" s="30"/>
      <c r="D23" s="30"/>
      <c r="E23" s="30"/>
    </row>
    <row r="24" spans="2:5" ht="15.75">
      <c r="B24" s="217"/>
      <c r="C24" s="30"/>
      <c r="D24" s="30"/>
      <c r="E24" s="30"/>
    </row>
    <row r="25" spans="2:5" ht="15.75">
      <c r="B25" s="217"/>
      <c r="C25" s="30"/>
      <c r="D25" s="30"/>
      <c r="E25" s="30"/>
    </row>
    <row r="26" spans="2:5" ht="15.75">
      <c r="B26" s="218" t="s">
        <v>84</v>
      </c>
      <c r="C26" s="30"/>
      <c r="D26" s="30"/>
      <c r="E26" s="30"/>
    </row>
    <row r="27" spans="2:5" ht="15.75">
      <c r="B27" s="218" t="s">
        <v>36</v>
      </c>
      <c r="C27" s="314">
        <f>IF(C28*0.1&lt;C26,"Exceed 10% Rule","")</f>
      </c>
      <c r="D27" s="230">
        <f>IF(D28*0.1&lt;D26,"Exceed 10% Rule","")</f>
      </c>
      <c r="E27" s="230">
        <f>IF(E28*0.1&lt;E26,"Exceed 10% Rule","")</f>
      </c>
    </row>
    <row r="28" spans="2:5" ht="15.75">
      <c r="B28" s="211" t="s">
        <v>213</v>
      </c>
      <c r="C28" s="232">
        <f>SUM(C18:C26)</f>
        <v>34287</v>
      </c>
      <c r="D28" s="232">
        <f>SUM(D18:D26)</f>
        <v>22058</v>
      </c>
      <c r="E28" s="232">
        <f>SUM(E18:E26)</f>
        <v>39372</v>
      </c>
    </row>
    <row r="29" spans="2:5" ht="15.75">
      <c r="B29" s="111" t="s">
        <v>319</v>
      </c>
      <c r="C29" s="172">
        <f>C16-C28</f>
        <v>31402</v>
      </c>
      <c r="D29" s="172">
        <f>D16-D28</f>
        <v>24332</v>
      </c>
      <c r="E29" s="172">
        <f>E16-E28</f>
        <v>0</v>
      </c>
    </row>
    <row r="30" spans="2:5" ht="15.75">
      <c r="B30" s="99" t="str">
        <f>CONCATENATE("",$E$1-2,"/",$E$1-1," Budget Authority Amount:")</f>
        <v>2011/2012 Budget Authority Amount:</v>
      </c>
      <c r="C30" s="162">
        <f>inputOth!B74</f>
        <v>53092</v>
      </c>
      <c r="D30" s="162">
        <f>inputPrYr!D34</f>
        <v>84066</v>
      </c>
      <c r="E30" s="346">
        <f>IF(E29&lt;0,"See Tab E","")</f>
      </c>
    </row>
    <row r="31" spans="2:5" ht="15.75">
      <c r="B31" s="99"/>
      <c r="C31" s="222">
        <f>IF(C28&gt;C30,"See Tab A","")</f>
      </c>
      <c r="D31" s="222">
        <f>IF(D28&gt;D30,"See Tab C","")</f>
      </c>
      <c r="E31" s="31"/>
    </row>
    <row r="32" spans="2:5" ht="15.75">
      <c r="B32" s="99"/>
      <c r="C32" s="222">
        <f>IF(C29&lt;0,"See Tab B","")</f>
      </c>
      <c r="D32" s="222">
        <f>IF(D29&lt;0,"See Tab D","")</f>
      </c>
      <c r="E32" s="31"/>
    </row>
    <row r="33" spans="2:5" ht="15.75">
      <c r="B33" s="4"/>
      <c r="C33" s="31"/>
      <c r="D33" s="31"/>
      <c r="E33" s="31"/>
    </row>
    <row r="34" spans="2:5" ht="15.75">
      <c r="B34" s="9" t="s">
        <v>200</v>
      </c>
      <c r="C34" s="234"/>
      <c r="D34" s="234"/>
      <c r="E34" s="234"/>
    </row>
    <row r="35" spans="2:5" ht="15.75">
      <c r="B35" s="4"/>
      <c r="C35" s="225" t="str">
        <f aca="true" t="shared" si="0" ref="C35:E36">C4</f>
        <v>Prior Year </v>
      </c>
      <c r="D35" s="105" t="str">
        <f t="shared" si="0"/>
        <v>Current Year</v>
      </c>
      <c r="E35" s="105" t="str">
        <f t="shared" si="0"/>
        <v>Proposed Budget</v>
      </c>
    </row>
    <row r="36" spans="2:5" ht="15.75">
      <c r="B36" s="312" t="str">
        <f>(inputPrYr!B35)</f>
        <v>Water Utility</v>
      </c>
      <c r="C36" s="201" t="str">
        <f t="shared" si="0"/>
        <v>Actual for 2011</v>
      </c>
      <c r="D36" s="201" t="str">
        <f t="shared" si="0"/>
        <v>Estimate for 2012</v>
      </c>
      <c r="E36" s="201" t="str">
        <f t="shared" si="0"/>
        <v>Year for 2013</v>
      </c>
    </row>
    <row r="37" spans="2:5" ht="15.75">
      <c r="B37" s="202" t="s">
        <v>318</v>
      </c>
      <c r="C37" s="30">
        <v>97</v>
      </c>
      <c r="D37" s="172">
        <f>C60</f>
        <v>1868</v>
      </c>
      <c r="E37" s="172">
        <f>D60</f>
        <v>3090</v>
      </c>
    </row>
    <row r="38" spans="2:5" ht="15.75">
      <c r="B38" s="202" t="s">
        <v>320</v>
      </c>
      <c r="C38" s="48"/>
      <c r="D38" s="48"/>
      <c r="E38" s="48"/>
    </row>
    <row r="39" spans="2:5" ht="15.75">
      <c r="B39" s="512" t="s">
        <v>154</v>
      </c>
      <c r="C39" s="30">
        <v>104032</v>
      </c>
      <c r="D39" s="30">
        <v>116769</v>
      </c>
      <c r="E39" s="30">
        <v>126769</v>
      </c>
    </row>
    <row r="40" spans="2:5" ht="15.75">
      <c r="B40" s="512" t="s">
        <v>155</v>
      </c>
      <c r="C40" s="30">
        <v>800</v>
      </c>
      <c r="D40" s="30">
        <v>1126</v>
      </c>
      <c r="E40" s="30">
        <v>1000</v>
      </c>
    </row>
    <row r="41" spans="2:5" ht="15.75">
      <c r="B41" s="512" t="s">
        <v>156</v>
      </c>
      <c r="C41" s="30">
        <v>1606</v>
      </c>
      <c r="D41" s="30">
        <v>2974</v>
      </c>
      <c r="E41" s="30">
        <v>1000</v>
      </c>
    </row>
    <row r="42" spans="2:5" ht="15.75">
      <c r="B42" s="217" t="s">
        <v>161</v>
      </c>
      <c r="C42" s="30">
        <v>99</v>
      </c>
      <c r="D42" s="30">
        <v>2990</v>
      </c>
      <c r="E42" s="30">
        <v>2990</v>
      </c>
    </row>
    <row r="43" spans="2:5" ht="15.75">
      <c r="B43" s="209" t="s">
        <v>206</v>
      </c>
      <c r="C43" s="30">
        <v>0</v>
      </c>
      <c r="D43" s="30">
        <v>0</v>
      </c>
      <c r="E43" s="30">
        <v>0</v>
      </c>
    </row>
    <row r="44" spans="2:5" ht="15.75">
      <c r="B44" s="119" t="s">
        <v>84</v>
      </c>
      <c r="C44" s="30">
        <v>1444</v>
      </c>
      <c r="D44" s="30">
        <v>509</v>
      </c>
      <c r="E44" s="30">
        <v>509</v>
      </c>
    </row>
    <row r="45" spans="2:5" ht="15.75">
      <c r="B45" s="202" t="s">
        <v>35</v>
      </c>
      <c r="C45" s="314">
        <f>IF(C46*0.1&lt;C44,"Exceed 10% Rule","")</f>
      </c>
      <c r="D45" s="230">
        <f>IF(D46*0.1&lt;D44,"Exceed 10% Rule","")</f>
      </c>
      <c r="E45" s="230">
        <f>IF(E46*0.1&lt;E44,"Exceed 10% Rule","")</f>
      </c>
    </row>
    <row r="46" spans="2:5" ht="15.75">
      <c r="B46" s="211" t="s">
        <v>207</v>
      </c>
      <c r="C46" s="232">
        <f>SUM(C39:C44)</f>
        <v>107981</v>
      </c>
      <c r="D46" s="232">
        <f>SUM(D39:D44)</f>
        <v>124368</v>
      </c>
      <c r="E46" s="232">
        <f>SUM(E39:E44)</f>
        <v>132268</v>
      </c>
    </row>
    <row r="47" spans="2:5" ht="15.75">
      <c r="B47" s="211" t="s">
        <v>208</v>
      </c>
      <c r="C47" s="232">
        <f>C37+C46</f>
        <v>108078</v>
      </c>
      <c r="D47" s="232">
        <f>D37+D46</f>
        <v>126236</v>
      </c>
      <c r="E47" s="232">
        <f>E37+E46</f>
        <v>135358</v>
      </c>
    </row>
    <row r="48" spans="2:5" ht="15.75">
      <c r="B48" s="111" t="s">
        <v>210</v>
      </c>
      <c r="C48" s="172"/>
      <c r="D48" s="172"/>
      <c r="E48" s="172"/>
    </row>
    <row r="49" spans="2:5" ht="15.75">
      <c r="B49" s="512" t="s">
        <v>157</v>
      </c>
      <c r="C49" s="30"/>
      <c r="D49" s="30"/>
      <c r="E49" s="30"/>
    </row>
    <row r="50" spans="2:5" ht="15.75">
      <c r="B50" s="512" t="s">
        <v>211</v>
      </c>
      <c r="C50" s="30">
        <v>2315</v>
      </c>
      <c r="D50" s="30">
        <v>3000</v>
      </c>
      <c r="E50" s="30">
        <v>3000</v>
      </c>
    </row>
    <row r="51" spans="2:5" ht="15.75">
      <c r="B51" s="512" t="s">
        <v>158</v>
      </c>
      <c r="C51" s="30">
        <v>58800</v>
      </c>
      <c r="D51" s="30">
        <v>63500</v>
      </c>
      <c r="E51" s="30">
        <v>65000</v>
      </c>
    </row>
    <row r="52" spans="2:5" ht="15.75">
      <c r="B52" s="512" t="s">
        <v>212</v>
      </c>
      <c r="C52" s="30">
        <v>0</v>
      </c>
      <c r="D52" s="30">
        <v>0</v>
      </c>
      <c r="E52" s="30">
        <v>6831</v>
      </c>
    </row>
    <row r="53" spans="2:5" ht="15.75">
      <c r="B53" s="512" t="s">
        <v>159</v>
      </c>
      <c r="C53" s="30"/>
      <c r="D53" s="30"/>
      <c r="E53" s="30"/>
    </row>
    <row r="54" spans="2:5" ht="15.75">
      <c r="B54" s="512" t="s">
        <v>135</v>
      </c>
      <c r="C54" s="30">
        <v>28663</v>
      </c>
      <c r="D54" s="30">
        <v>33835</v>
      </c>
      <c r="E54" s="30">
        <v>35527</v>
      </c>
    </row>
    <row r="55" spans="2:5" ht="15.75">
      <c r="B55" s="512" t="s">
        <v>160</v>
      </c>
      <c r="C55" s="30">
        <v>7634</v>
      </c>
      <c r="D55" s="30">
        <v>9735</v>
      </c>
      <c r="E55" s="30">
        <v>10000</v>
      </c>
    </row>
    <row r="56" spans="2:5" ht="15.75">
      <c r="B56" s="512" t="s">
        <v>211</v>
      </c>
      <c r="C56" s="30">
        <v>8798</v>
      </c>
      <c r="D56" s="30">
        <v>13076</v>
      </c>
      <c r="E56" s="30">
        <v>15000</v>
      </c>
    </row>
    <row r="57" spans="2:5" ht="15.75">
      <c r="B57" s="218" t="s">
        <v>84</v>
      </c>
      <c r="C57" s="30"/>
      <c r="D57" s="30"/>
      <c r="E57" s="30"/>
    </row>
    <row r="58" spans="2:5" ht="15.75">
      <c r="B58" s="218" t="s">
        <v>36</v>
      </c>
      <c r="C58" s="314">
        <f>IF(C59*0.1&lt;C57,"Exceed 10% Rule","")</f>
      </c>
      <c r="D58" s="230">
        <f>IF(D59*0.1&lt;D57,"Exceed 10% Rule","")</f>
      </c>
      <c r="E58" s="230">
        <f>IF(E59*0.1&lt;E57,"Exceed 10% Rule","")</f>
      </c>
    </row>
    <row r="59" spans="2:5" ht="15.75">
      <c r="B59" s="211" t="s">
        <v>213</v>
      </c>
      <c r="C59" s="232">
        <f>SUM(C49:C57)</f>
        <v>106210</v>
      </c>
      <c r="D59" s="232">
        <f>SUM(D49:D57)</f>
        <v>123146</v>
      </c>
      <c r="E59" s="232">
        <f>SUM(E49:E57)</f>
        <v>135358</v>
      </c>
    </row>
    <row r="60" spans="2:5" ht="15.75">
      <c r="B60" s="111" t="s">
        <v>319</v>
      </c>
      <c r="C60" s="172">
        <f>C47-C59</f>
        <v>1868</v>
      </c>
      <c r="D60" s="172">
        <f>D47-D59</f>
        <v>3090</v>
      </c>
      <c r="E60" s="172">
        <f>E47-E59</f>
        <v>0</v>
      </c>
    </row>
    <row r="61" spans="2:5" ht="15.75">
      <c r="B61" s="99" t="str">
        <f>CONCATENATE("",$E$1-2,"/",$E$1-1," Budget Authority Amount:")</f>
        <v>2011/2012 Budget Authority Amount:</v>
      </c>
      <c r="C61" s="162">
        <f>inputOth!B75</f>
        <v>111988</v>
      </c>
      <c r="D61" s="162">
        <f>inputPrYr!D35</f>
        <v>123158</v>
      </c>
      <c r="E61" s="346">
        <f>IF(E60&lt;0,"See Tab E","")</f>
      </c>
    </row>
    <row r="62" spans="2:5" ht="15.75">
      <c r="B62" s="99"/>
      <c r="C62" s="222">
        <f>IF(C59&gt;C61,"See Tab A","")</f>
      </c>
      <c r="D62" s="222">
        <f>IF(D59&gt;D61,"See Tab C","")</f>
      </c>
      <c r="E62" s="4"/>
    </row>
    <row r="63" spans="2:5" ht="15.75">
      <c r="B63" s="99"/>
      <c r="C63" s="222">
        <f>IF(C60&lt;0,"See Tab B","")</f>
      </c>
      <c r="D63" s="222">
        <f>IF(D60&lt;0,"See Tab D","")</f>
      </c>
      <c r="E63" s="4"/>
    </row>
    <row r="64" spans="2:5" ht="15.75">
      <c r="B64" s="4"/>
      <c r="C64" s="4"/>
      <c r="D64" s="4"/>
      <c r="E64" s="4"/>
    </row>
    <row r="65" spans="2:5" ht="15.75">
      <c r="B65" s="99" t="s">
        <v>216</v>
      </c>
      <c r="C65" s="514">
        <v>9</v>
      </c>
      <c r="D65" s="4"/>
      <c r="E65" s="4"/>
    </row>
  </sheetData>
  <sheetProtection/>
  <conditionalFormatting sqref="C44">
    <cfRule type="cellIs" priority="3" dxfId="85" operator="greaterThan" stopIfTrue="1">
      <formula>$C$46*0.1</formula>
    </cfRule>
  </conditionalFormatting>
  <conditionalFormatting sqref="D44">
    <cfRule type="cellIs" priority="4" dxfId="85" operator="greaterThan" stopIfTrue="1">
      <formula>$D$46*0.1</formula>
    </cfRule>
  </conditionalFormatting>
  <conditionalFormatting sqref="E44">
    <cfRule type="cellIs" priority="5" dxfId="85" operator="greaterThan" stopIfTrue="1">
      <formula>$E$46*0.1</formula>
    </cfRule>
  </conditionalFormatting>
  <conditionalFormatting sqref="C57">
    <cfRule type="cellIs" priority="6" dxfId="85" operator="greaterThan" stopIfTrue="1">
      <formula>$C$59*0.1</formula>
    </cfRule>
  </conditionalFormatting>
  <conditionalFormatting sqref="D57">
    <cfRule type="cellIs" priority="7" dxfId="85" operator="greaterThan" stopIfTrue="1">
      <formula>$D$59*0.1</formula>
    </cfRule>
  </conditionalFormatting>
  <conditionalFormatting sqref="E57">
    <cfRule type="cellIs" priority="8" dxfId="85" operator="greaterThan" stopIfTrue="1">
      <formula>$E$59*0.1</formula>
    </cfRule>
  </conditionalFormatting>
  <conditionalFormatting sqref="C13">
    <cfRule type="cellIs" priority="9" dxfId="85" operator="greaterThan" stopIfTrue="1">
      <formula>$C$15*0.1</formula>
    </cfRule>
  </conditionalFormatting>
  <conditionalFormatting sqref="D13">
    <cfRule type="cellIs" priority="10" dxfId="85" operator="greaterThan" stopIfTrue="1">
      <formula>$D$15*0.1</formula>
    </cfRule>
  </conditionalFormatting>
  <conditionalFormatting sqref="E13">
    <cfRule type="cellIs" priority="11" dxfId="85" operator="greaterThan" stopIfTrue="1">
      <formula>$E$15*0.1</formula>
    </cfRule>
  </conditionalFormatting>
  <conditionalFormatting sqref="C26">
    <cfRule type="cellIs" priority="12" dxfId="85" operator="greaterThan" stopIfTrue="1">
      <formula>$C$28*0.1</formula>
    </cfRule>
  </conditionalFormatting>
  <conditionalFormatting sqref="D26">
    <cfRule type="cellIs" priority="13" dxfId="85" operator="greaterThan" stopIfTrue="1">
      <formula>$D$28*0.1</formula>
    </cfRule>
  </conditionalFormatting>
  <conditionalFormatting sqref="E26">
    <cfRule type="cellIs" priority="14" dxfId="85" operator="greaterThan" stopIfTrue="1">
      <formula>$E$28*0.1</formula>
    </cfRule>
  </conditionalFormatting>
  <conditionalFormatting sqref="E60 C60 E29 C29">
    <cfRule type="cellIs" priority="15" dxfId="2" operator="lessThan" stopIfTrue="1">
      <formula>0</formula>
    </cfRule>
  </conditionalFormatting>
  <conditionalFormatting sqref="D59">
    <cfRule type="cellIs" priority="16" dxfId="2" operator="greaterThan" stopIfTrue="1">
      <formula>$D$61</formula>
    </cfRule>
  </conditionalFormatting>
  <conditionalFormatting sqref="C59">
    <cfRule type="cellIs" priority="17" dxfId="2" operator="greaterThan" stopIfTrue="1">
      <formula>$C$61</formula>
    </cfRule>
  </conditionalFormatting>
  <conditionalFormatting sqref="D28">
    <cfRule type="cellIs" priority="18" dxfId="2" operator="greaterThan" stopIfTrue="1">
      <formula>$D$30</formula>
    </cfRule>
  </conditionalFormatting>
  <conditionalFormatting sqref="C28">
    <cfRule type="cellIs" priority="19" dxfId="2"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6"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67"/>
  <sheetViews>
    <sheetView zoomScalePageLayoutView="0" workbookViewId="0" topLeftCell="A37">
      <selection activeCell="E26" sqref="E26"/>
    </sheetView>
  </sheetViews>
  <sheetFormatPr defaultColWidth="8.796875" defaultRowHeight="15"/>
  <cols>
    <col min="1" max="1" width="2.3984375" style="5" customWidth="1"/>
    <col min="2" max="2" width="31.09765625" style="5" customWidth="1"/>
    <col min="3" max="4" width="15.796875" style="5" customWidth="1"/>
    <col min="5" max="5" width="16.19921875" style="5" customWidth="1"/>
    <col min="6" max="16384" width="8.8984375" style="5" customWidth="1"/>
  </cols>
  <sheetData>
    <row r="1" spans="2:5" ht="15.75">
      <c r="B1" s="131" t="str">
        <f>(inputPrYr!D2)</f>
        <v>City of LaHarpe</v>
      </c>
      <c r="C1" s="4"/>
      <c r="D1" s="4"/>
      <c r="E1" s="191">
        <f>inputPrYr!C5</f>
        <v>2013</v>
      </c>
    </row>
    <row r="2" spans="2:5" ht="15.75">
      <c r="B2" s="4"/>
      <c r="C2" s="4"/>
      <c r="D2" s="4"/>
      <c r="E2" s="127"/>
    </row>
    <row r="3" spans="2:5" ht="15.75">
      <c r="B3" s="21" t="s">
        <v>264</v>
      </c>
      <c r="C3" s="231"/>
      <c r="D3" s="231"/>
      <c r="E3" s="231"/>
    </row>
    <row r="4" spans="2:5" ht="15.75">
      <c r="B4" s="9" t="s">
        <v>200</v>
      </c>
      <c r="C4" s="458" t="s">
        <v>41</v>
      </c>
      <c r="D4" s="459" t="s">
        <v>42</v>
      </c>
      <c r="E4" s="105" t="s">
        <v>43</v>
      </c>
    </row>
    <row r="5" spans="2:5" ht="15.75">
      <c r="B5" s="313" t="str">
        <f>(inputPrYr!B36)</f>
        <v>Electric Utility</v>
      </c>
      <c r="C5" s="296" t="str">
        <f>CONCATENATE("Actual for ",E1-2,"")</f>
        <v>Actual for 2011</v>
      </c>
      <c r="D5" s="296" t="str">
        <f>CONCATENATE("Estimate for ",E1-1,"")</f>
        <v>Estimate for 2012</v>
      </c>
      <c r="E5" s="201" t="str">
        <f>CONCATENATE("Year for ",E1,"")</f>
        <v>Year for 2013</v>
      </c>
    </row>
    <row r="6" spans="2:5" ht="15.75">
      <c r="B6" s="202" t="s">
        <v>318</v>
      </c>
      <c r="C6" s="30">
        <v>29049</v>
      </c>
      <c r="D6" s="172">
        <f>C31</f>
        <v>52690</v>
      </c>
      <c r="E6" s="172">
        <f>D31</f>
        <v>66725</v>
      </c>
    </row>
    <row r="7" spans="2:5" ht="15.75">
      <c r="B7" s="205" t="s">
        <v>320</v>
      </c>
      <c r="C7" s="48"/>
      <c r="D7" s="48"/>
      <c r="E7" s="48"/>
    </row>
    <row r="8" spans="2:5" ht="15.75">
      <c r="B8" s="512" t="s">
        <v>162</v>
      </c>
      <c r="C8" s="30">
        <v>314463</v>
      </c>
      <c r="D8" s="30">
        <f>285583+5000</f>
        <v>290583</v>
      </c>
      <c r="E8" s="30">
        <v>420583</v>
      </c>
    </row>
    <row r="9" spans="2:5" ht="15.75">
      <c r="B9" s="512" t="s">
        <v>163</v>
      </c>
      <c r="C9" s="30">
        <v>17056</v>
      </c>
      <c r="D9" s="30">
        <v>17040</v>
      </c>
      <c r="E9" s="30">
        <v>20000</v>
      </c>
    </row>
    <row r="10" spans="2:5" ht="15.75">
      <c r="B10" s="512" t="s">
        <v>164</v>
      </c>
      <c r="C10" s="30">
        <v>1825</v>
      </c>
      <c r="D10" s="30">
        <v>2692</v>
      </c>
      <c r="E10" s="30">
        <v>3000</v>
      </c>
    </row>
    <row r="11" spans="2:5" ht="15.75">
      <c r="B11" s="512" t="s">
        <v>161</v>
      </c>
      <c r="C11" s="30">
        <v>5641</v>
      </c>
      <c r="D11" s="30">
        <v>0</v>
      </c>
      <c r="E11" s="30">
        <v>0</v>
      </c>
    </row>
    <row r="12" spans="2:5" ht="15.75">
      <c r="B12" s="209" t="s">
        <v>206</v>
      </c>
      <c r="C12" s="30">
        <v>0</v>
      </c>
      <c r="D12" s="30">
        <v>0</v>
      </c>
      <c r="E12" s="30">
        <v>0</v>
      </c>
    </row>
    <row r="13" spans="2:5" ht="15.75">
      <c r="B13" s="119" t="s">
        <v>84</v>
      </c>
      <c r="C13" s="30">
        <v>1441</v>
      </c>
      <c r="D13" s="204">
        <v>182</v>
      </c>
      <c r="E13" s="204">
        <v>1000</v>
      </c>
    </row>
    <row r="14" spans="2:5" ht="15.75">
      <c r="B14" s="202" t="s">
        <v>35</v>
      </c>
      <c r="C14" s="314">
        <f>IF(C15*0.1&lt;C13,"Exceed 10% Rule","")</f>
      </c>
      <c r="D14" s="230">
        <f>IF(D15*0.1&lt;D13,"Exceed 10% Rule","")</f>
      </c>
      <c r="E14" s="230">
        <f>IF(E15*0.1&lt;E13,"Exceed 10% Rule","")</f>
      </c>
    </row>
    <row r="15" spans="2:5" ht="15.75">
      <c r="B15" s="211" t="s">
        <v>207</v>
      </c>
      <c r="C15" s="232">
        <f>SUM(C8:C13)</f>
        <v>340426</v>
      </c>
      <c r="D15" s="232">
        <f>SUM(D8:D13)</f>
        <v>310497</v>
      </c>
      <c r="E15" s="232">
        <f>SUM(E8:E13)</f>
        <v>444583</v>
      </c>
    </row>
    <row r="16" spans="2:5" ht="15.75">
      <c r="B16" s="211" t="s">
        <v>208</v>
      </c>
      <c r="C16" s="232">
        <f>C6+C15</f>
        <v>369475</v>
      </c>
      <c r="D16" s="232">
        <f>D6+D15</f>
        <v>363187</v>
      </c>
      <c r="E16" s="232">
        <f>E6+E15</f>
        <v>511308</v>
      </c>
    </row>
    <row r="17" spans="2:5" ht="15.75">
      <c r="B17" s="111" t="s">
        <v>210</v>
      </c>
      <c r="C17" s="172"/>
      <c r="D17" s="172"/>
      <c r="E17" s="172"/>
    </row>
    <row r="18" spans="2:5" ht="15.75">
      <c r="B18" s="512" t="s">
        <v>165</v>
      </c>
      <c r="C18" s="30"/>
      <c r="D18" s="30"/>
      <c r="E18" s="30"/>
    </row>
    <row r="19" spans="2:5" ht="15.75">
      <c r="B19" s="512" t="s">
        <v>211</v>
      </c>
      <c r="C19" s="30">
        <v>0</v>
      </c>
      <c r="D19" s="30">
        <v>0</v>
      </c>
      <c r="E19" s="30">
        <v>5000</v>
      </c>
    </row>
    <row r="20" spans="2:5" ht="15.75">
      <c r="B20" s="512" t="s">
        <v>139</v>
      </c>
      <c r="C20" s="30">
        <v>262428</v>
      </c>
      <c r="D20" s="30">
        <v>251161</v>
      </c>
      <c r="E20" s="30">
        <v>381161</v>
      </c>
    </row>
    <row r="21" spans="2:5" ht="15.75">
      <c r="B21" s="512" t="s">
        <v>166</v>
      </c>
      <c r="C21" s="30"/>
      <c r="D21" s="30"/>
      <c r="E21" s="30"/>
    </row>
    <row r="22" spans="2:5" ht="15.75">
      <c r="B22" s="512" t="s">
        <v>135</v>
      </c>
      <c r="C22" s="30">
        <v>28836</v>
      </c>
      <c r="D22" s="30">
        <v>30316</v>
      </c>
      <c r="E22" s="30">
        <v>31831</v>
      </c>
    </row>
    <row r="23" spans="2:5" ht="15.75">
      <c r="B23" s="512" t="s">
        <v>139</v>
      </c>
      <c r="C23" s="30">
        <v>126</v>
      </c>
      <c r="D23" s="30">
        <v>150</v>
      </c>
      <c r="E23" s="30">
        <v>5000</v>
      </c>
    </row>
    <row r="24" spans="2:5" ht="15.75">
      <c r="B24" s="512" t="s">
        <v>211</v>
      </c>
      <c r="C24" s="30">
        <v>7793</v>
      </c>
      <c r="D24" s="30">
        <v>10150</v>
      </c>
      <c r="E24" s="30">
        <v>20000</v>
      </c>
    </row>
    <row r="25" spans="2:5" ht="15.75">
      <c r="B25" s="512" t="s">
        <v>212</v>
      </c>
      <c r="C25" s="30">
        <v>17602</v>
      </c>
      <c r="D25" s="30">
        <v>1685</v>
      </c>
      <c r="E25" s="30">
        <v>65316</v>
      </c>
    </row>
    <row r="26" spans="2:5" ht="15.75">
      <c r="B26" s="217" t="s">
        <v>379</v>
      </c>
      <c r="C26" s="30"/>
      <c r="D26" s="30"/>
      <c r="E26" s="30"/>
    </row>
    <row r="27" spans="2:5" ht="15.75">
      <c r="B27" s="217" t="s">
        <v>380</v>
      </c>
      <c r="C27" s="30">
        <v>0</v>
      </c>
      <c r="D27" s="30">
        <v>3000</v>
      </c>
      <c r="E27" s="30">
        <v>3000</v>
      </c>
    </row>
    <row r="28" spans="2:5" ht="15.75">
      <c r="B28" s="218" t="s">
        <v>84</v>
      </c>
      <c r="C28" s="30">
        <v>0</v>
      </c>
      <c r="D28" s="204">
        <v>0</v>
      </c>
      <c r="E28" s="204">
        <v>0</v>
      </c>
    </row>
    <row r="29" spans="2:5" ht="15.75">
      <c r="B29" s="218" t="s">
        <v>36</v>
      </c>
      <c r="C29" s="314">
        <f>IF(C30*0.1&lt;C28,"Exceed 10% Rule","")</f>
      </c>
      <c r="D29" s="230">
        <f>IF(D30*0.1&lt;D28,"Exceed 10% Rule","")</f>
      </c>
      <c r="E29" s="230">
        <f>IF(E30*0.1&lt;E28,"Exceed 10% Rule","")</f>
      </c>
    </row>
    <row r="30" spans="2:5" ht="15.75">
      <c r="B30" s="211" t="s">
        <v>213</v>
      </c>
      <c r="C30" s="232">
        <f>SUM(C18:C28)</f>
        <v>316785</v>
      </c>
      <c r="D30" s="232">
        <f>SUM(D18:D28)</f>
        <v>296462</v>
      </c>
      <c r="E30" s="232">
        <f>SUM(E18:E28)</f>
        <v>511308</v>
      </c>
    </row>
    <row r="31" spans="2:5" ht="15.75">
      <c r="B31" s="111" t="s">
        <v>319</v>
      </c>
      <c r="C31" s="172">
        <f>C16-C30</f>
        <v>52690</v>
      </c>
      <c r="D31" s="172">
        <f>D16-D30</f>
        <v>66725</v>
      </c>
      <c r="E31" s="172">
        <f>E16-E30</f>
        <v>0</v>
      </c>
    </row>
    <row r="32" spans="2:5" ht="15.75">
      <c r="B32" s="99" t="str">
        <f>CONCATENATE("",$E$1-2,"/",$E$1-1," Budget Authority Amount:")</f>
        <v>2011/2012 Budget Authority Amount:</v>
      </c>
      <c r="C32" s="162">
        <f>inputOth!B76</f>
        <v>465714</v>
      </c>
      <c r="D32" s="162">
        <f>inputPrYr!D36</f>
        <v>540050</v>
      </c>
      <c r="E32" s="346">
        <f>IF(E31&lt;0,"See Tab E","")</f>
      </c>
    </row>
    <row r="33" spans="2:5" ht="15.75">
      <c r="B33" s="99"/>
      <c r="C33" s="222">
        <f>IF(C30&gt;C32,"See Tab A","")</f>
      </c>
      <c r="D33" s="222">
        <f>IF(D30&gt;D32,"See Tab C","")</f>
      </c>
      <c r="E33" s="31"/>
    </row>
    <row r="34" spans="2:5" ht="15.75">
      <c r="B34" s="99"/>
      <c r="C34" s="222">
        <f>IF(C31&lt;0,"See Tab B","")</f>
      </c>
      <c r="D34" s="222">
        <f>IF(D31&lt;0,"See Tab D","")</f>
      </c>
      <c r="E34" s="31"/>
    </row>
    <row r="35" spans="2:5" ht="15.75">
      <c r="B35" s="4"/>
      <c r="C35" s="31"/>
      <c r="D35" s="31"/>
      <c r="E35" s="31"/>
    </row>
    <row r="36" spans="2:5" ht="15.75">
      <c r="B36" s="9" t="s">
        <v>200</v>
      </c>
      <c r="C36" s="234"/>
      <c r="D36" s="234"/>
      <c r="E36" s="234"/>
    </row>
    <row r="37" spans="2:5" ht="15.75">
      <c r="B37" s="4"/>
      <c r="C37" s="225" t="str">
        <f aca="true" t="shared" si="0" ref="C37:E38">C4</f>
        <v>Prior Year </v>
      </c>
      <c r="D37" s="105" t="str">
        <f t="shared" si="0"/>
        <v>Current Year</v>
      </c>
      <c r="E37" s="105" t="str">
        <f t="shared" si="0"/>
        <v>Proposed Budget</v>
      </c>
    </row>
    <row r="38" spans="2:5" ht="15.75">
      <c r="B38" s="312" t="str">
        <f>(inputPrYr!B37)</f>
        <v>Sewer Utility</v>
      </c>
      <c r="C38" s="201" t="str">
        <f t="shared" si="0"/>
        <v>Actual for 2011</v>
      </c>
      <c r="D38" s="201" t="str">
        <f t="shared" si="0"/>
        <v>Estimate for 2012</v>
      </c>
      <c r="E38" s="201" t="str">
        <f t="shared" si="0"/>
        <v>Year for 2013</v>
      </c>
    </row>
    <row r="39" spans="2:5" ht="15.75">
      <c r="B39" s="202" t="s">
        <v>318</v>
      </c>
      <c r="C39" s="30">
        <v>7224</v>
      </c>
      <c r="D39" s="172">
        <f>C62</f>
        <v>12558</v>
      </c>
      <c r="E39" s="172">
        <f>D62</f>
        <v>21002</v>
      </c>
    </row>
    <row r="40" spans="2:5" ht="15.75">
      <c r="B40" s="202" t="s">
        <v>320</v>
      </c>
      <c r="C40" s="48"/>
      <c r="D40" s="48"/>
      <c r="E40" s="48"/>
    </row>
    <row r="41" spans="2:5" ht="15.75">
      <c r="B41" s="512" t="s">
        <v>162</v>
      </c>
      <c r="C41" s="30">
        <v>73142</v>
      </c>
      <c r="D41" s="30">
        <v>77528</v>
      </c>
      <c r="E41" s="30">
        <v>80000</v>
      </c>
    </row>
    <row r="42" spans="2:5" ht="15.75">
      <c r="B42" s="512" t="s">
        <v>167</v>
      </c>
      <c r="C42" s="30">
        <v>9951</v>
      </c>
      <c r="D42" s="30">
        <v>10985</v>
      </c>
      <c r="E42" s="30">
        <v>10985</v>
      </c>
    </row>
    <row r="43" spans="2:5" ht="15.75">
      <c r="B43" s="512" t="s">
        <v>168</v>
      </c>
      <c r="C43" s="30">
        <v>162</v>
      </c>
      <c r="D43" s="30">
        <v>128</v>
      </c>
      <c r="E43" s="30">
        <v>128</v>
      </c>
    </row>
    <row r="44" spans="2:5" ht="15.75">
      <c r="B44" s="217"/>
      <c r="C44" s="30"/>
      <c r="D44" s="30"/>
      <c r="E44" s="30"/>
    </row>
    <row r="45" spans="2:5" ht="15.75">
      <c r="B45" s="209" t="s">
        <v>206</v>
      </c>
      <c r="C45" s="30">
        <v>0</v>
      </c>
      <c r="D45" s="30">
        <v>0</v>
      </c>
      <c r="E45" s="30">
        <v>0</v>
      </c>
    </row>
    <row r="46" spans="2:5" ht="15.75">
      <c r="B46" s="119" t="s">
        <v>84</v>
      </c>
      <c r="C46" s="30">
        <v>0</v>
      </c>
      <c r="D46" s="30">
        <v>0</v>
      </c>
      <c r="E46" s="30">
        <v>0</v>
      </c>
    </row>
    <row r="47" spans="2:5" ht="15.75">
      <c r="B47" s="202" t="s">
        <v>35</v>
      </c>
      <c r="C47" s="314">
        <f>IF(C48*0.1&lt;C46,"Exceed 10% Rule","")</f>
      </c>
      <c r="D47" s="230">
        <f>IF(D48*0.1&lt;D46,"Exceed 10% Rule","")</f>
      </c>
      <c r="E47" s="230">
        <f>IF(E48*0.1&lt;E46,"Exceed 10% Rule","")</f>
      </c>
    </row>
    <row r="48" spans="2:5" ht="15.75">
      <c r="B48" s="211" t="s">
        <v>207</v>
      </c>
      <c r="C48" s="232">
        <f>SUM(C41:C46)</f>
        <v>83255</v>
      </c>
      <c r="D48" s="232">
        <f>SUM(D41:D46)</f>
        <v>88641</v>
      </c>
      <c r="E48" s="232">
        <f>SUM(E41:E46)</f>
        <v>91113</v>
      </c>
    </row>
    <row r="49" spans="2:5" ht="15.75">
      <c r="B49" s="211" t="s">
        <v>208</v>
      </c>
      <c r="C49" s="232">
        <f>C39+C48</f>
        <v>90479</v>
      </c>
      <c r="D49" s="232">
        <f>D39+D48</f>
        <v>101199</v>
      </c>
      <c r="E49" s="232">
        <f>E39+E48</f>
        <v>112115</v>
      </c>
    </row>
    <row r="50" spans="2:5" ht="15.75">
      <c r="B50" s="111" t="s">
        <v>210</v>
      </c>
      <c r="C50" s="172"/>
      <c r="D50" s="172"/>
      <c r="E50" s="172"/>
    </row>
    <row r="51" spans="2:5" ht="15.75">
      <c r="B51" s="512" t="s">
        <v>169</v>
      </c>
      <c r="C51" s="30">
        <v>0</v>
      </c>
      <c r="D51" s="30">
        <v>0</v>
      </c>
      <c r="E51" s="30">
        <v>100</v>
      </c>
    </row>
    <row r="52" spans="2:5" ht="15.75">
      <c r="B52" s="512" t="s">
        <v>139</v>
      </c>
      <c r="C52" s="30">
        <v>0</v>
      </c>
      <c r="D52" s="30">
        <v>0</v>
      </c>
      <c r="E52" s="30">
        <v>1500</v>
      </c>
    </row>
    <row r="53" spans="2:5" ht="15.75">
      <c r="B53" s="512" t="s">
        <v>170</v>
      </c>
      <c r="C53" s="30">
        <v>30710</v>
      </c>
      <c r="D53" s="30">
        <v>28366</v>
      </c>
      <c r="E53" s="30">
        <v>29785</v>
      </c>
    </row>
    <row r="54" spans="2:5" ht="15.75">
      <c r="B54" s="512" t="s">
        <v>139</v>
      </c>
      <c r="C54" s="30">
        <v>7367</v>
      </c>
      <c r="D54" s="30">
        <v>8932</v>
      </c>
      <c r="E54" s="30">
        <v>9000</v>
      </c>
    </row>
    <row r="55" spans="2:5" ht="15.75">
      <c r="B55" s="512" t="s">
        <v>211</v>
      </c>
      <c r="C55" s="30">
        <v>7161</v>
      </c>
      <c r="D55" s="30">
        <v>10217</v>
      </c>
      <c r="E55" s="30">
        <v>12000</v>
      </c>
    </row>
    <row r="56" spans="2:5" ht="15.75">
      <c r="B56" s="217" t="s">
        <v>212</v>
      </c>
      <c r="C56" s="30">
        <v>0</v>
      </c>
      <c r="D56" s="30">
        <v>0</v>
      </c>
      <c r="E56" s="30">
        <v>27048</v>
      </c>
    </row>
    <row r="57" spans="2:5" ht="15.75">
      <c r="B57" s="217" t="s">
        <v>379</v>
      </c>
      <c r="C57" s="30"/>
      <c r="D57" s="30"/>
      <c r="E57" s="30"/>
    </row>
    <row r="58" spans="2:5" ht="15.75">
      <c r="B58" s="217" t="s">
        <v>381</v>
      </c>
      <c r="C58" s="30">
        <v>32683</v>
      </c>
      <c r="D58" s="30">
        <v>32682</v>
      </c>
      <c r="E58" s="30">
        <v>32682</v>
      </c>
    </row>
    <row r="59" spans="2:5" ht="15.75">
      <c r="B59" s="218" t="s">
        <v>84</v>
      </c>
      <c r="C59" s="30"/>
      <c r="D59" s="204"/>
      <c r="E59" s="204"/>
    </row>
    <row r="60" spans="2:5" ht="15.75">
      <c r="B60" s="218" t="s">
        <v>36</v>
      </c>
      <c r="C60" s="314">
        <f>IF(C61*0.1&lt;C59,"Exceed 10% Rule","")</f>
      </c>
      <c r="D60" s="230">
        <f>IF(D61*0.1&lt;D59,"Exceed 10% Rule","")</f>
      </c>
      <c r="E60" s="230">
        <f>IF(E61*0.1&lt;E59,"Exceed 10% Rule","")</f>
      </c>
    </row>
    <row r="61" spans="2:5" ht="15.75">
      <c r="B61" s="211" t="s">
        <v>213</v>
      </c>
      <c r="C61" s="232">
        <f>SUM(C51:C59)</f>
        <v>77921</v>
      </c>
      <c r="D61" s="232">
        <f>SUM(D51:D59)</f>
        <v>80197</v>
      </c>
      <c r="E61" s="232">
        <f>SUM(E51:E59)</f>
        <v>112115</v>
      </c>
    </row>
    <row r="62" spans="2:5" ht="15.75">
      <c r="B62" s="111" t="s">
        <v>319</v>
      </c>
      <c r="C62" s="172">
        <f>C49-C61</f>
        <v>12558</v>
      </c>
      <c r="D62" s="172">
        <f>D49-D61</f>
        <v>21002</v>
      </c>
      <c r="E62" s="172">
        <f>E49-E61</f>
        <v>0</v>
      </c>
    </row>
    <row r="63" spans="2:5" ht="15.75">
      <c r="B63" s="99" t="str">
        <f>CONCATENATE("",$E$1-2,"/",$E$1-1," Budget Authority Amount:")</f>
        <v>2011/2012 Budget Authority Amount:</v>
      </c>
      <c r="C63" s="162">
        <f>inputOth!B77</f>
        <v>122526</v>
      </c>
      <c r="D63" s="162">
        <f>inputPrYr!D37</f>
        <v>91965</v>
      </c>
      <c r="E63" s="346">
        <f>IF(E62&lt;0,"See Tab E","")</f>
      </c>
    </row>
    <row r="64" spans="2:5" ht="15.75">
      <c r="B64" s="99"/>
      <c r="C64" s="222">
        <f>IF(C61&gt;C63,"See Tab A","")</f>
      </c>
      <c r="D64" s="222">
        <f>IF(D61&gt;D63,"See Tab C","")</f>
      </c>
      <c r="E64" s="4"/>
    </row>
    <row r="65" spans="2:5" ht="15.75">
      <c r="B65" s="99"/>
      <c r="C65" s="222">
        <f>IF(C62&lt;0,"See Tab B","")</f>
      </c>
      <c r="D65" s="222">
        <f>IF(D62&lt;0,"See Tab D","")</f>
      </c>
      <c r="E65" s="4"/>
    </row>
    <row r="66" spans="2:5" ht="15.75">
      <c r="B66" s="4"/>
      <c r="C66" s="4"/>
      <c r="D66" s="4"/>
      <c r="E66" s="4"/>
    </row>
    <row r="67" spans="2:5" ht="15.75">
      <c r="B67" s="99" t="s">
        <v>216</v>
      </c>
      <c r="C67" s="514">
        <v>10</v>
      </c>
      <c r="D67" s="4"/>
      <c r="E67" s="4"/>
    </row>
  </sheetData>
  <sheetProtection/>
  <conditionalFormatting sqref="C13">
    <cfRule type="cellIs" priority="3" dxfId="85" operator="greaterThan" stopIfTrue="1">
      <formula>$C$15*0.1</formula>
    </cfRule>
  </conditionalFormatting>
  <conditionalFormatting sqref="D13">
    <cfRule type="cellIs" priority="4" dxfId="85" operator="greaterThan" stopIfTrue="1">
      <formula>$D$15*0.1</formula>
    </cfRule>
  </conditionalFormatting>
  <conditionalFormatting sqref="E13">
    <cfRule type="cellIs" priority="5" dxfId="85" operator="greaterThan" stopIfTrue="1">
      <formula>$E$15*0.1</formula>
    </cfRule>
  </conditionalFormatting>
  <conditionalFormatting sqref="C28">
    <cfRule type="cellIs" priority="6" dxfId="85" operator="greaterThan" stopIfTrue="1">
      <formula>$C$30*0.1</formula>
    </cfRule>
  </conditionalFormatting>
  <conditionalFormatting sqref="D28">
    <cfRule type="cellIs" priority="7" dxfId="85" operator="greaterThan" stopIfTrue="1">
      <formula>$D$30*0.1</formula>
    </cfRule>
  </conditionalFormatting>
  <conditionalFormatting sqref="E28">
    <cfRule type="cellIs" priority="8" dxfId="85" operator="greaterThan" stopIfTrue="1">
      <formula>$E$30*0.1</formula>
    </cfRule>
  </conditionalFormatting>
  <conditionalFormatting sqref="C46">
    <cfRule type="cellIs" priority="9" dxfId="85" operator="greaterThan" stopIfTrue="1">
      <formula>$C$48*0.1</formula>
    </cfRule>
  </conditionalFormatting>
  <conditionalFormatting sqref="D46">
    <cfRule type="cellIs" priority="10" dxfId="85" operator="greaterThan" stopIfTrue="1">
      <formula>$D$48*0.1</formula>
    </cfRule>
  </conditionalFormatting>
  <conditionalFormatting sqref="E46">
    <cfRule type="cellIs" priority="11" dxfId="85" operator="greaterThan" stopIfTrue="1">
      <formula>$E$48*0.1</formula>
    </cfRule>
  </conditionalFormatting>
  <conditionalFormatting sqref="C59">
    <cfRule type="cellIs" priority="12" dxfId="85" operator="greaterThan" stopIfTrue="1">
      <formula>$C$61*0.1</formula>
    </cfRule>
  </conditionalFormatting>
  <conditionalFormatting sqref="D59">
    <cfRule type="cellIs" priority="13" dxfId="85" operator="greaterThan" stopIfTrue="1">
      <formula>$D$61*0.1</formula>
    </cfRule>
  </conditionalFormatting>
  <conditionalFormatting sqref="E59">
    <cfRule type="cellIs" priority="14" dxfId="85" operator="greaterThan" stopIfTrue="1">
      <formula>$E$61*0.1</formula>
    </cfRule>
  </conditionalFormatting>
  <conditionalFormatting sqref="C62:E62 C31:E31">
    <cfRule type="cellIs" priority="15" dxfId="2" operator="lessThan" stopIfTrue="1">
      <formula>0</formula>
    </cfRule>
  </conditionalFormatting>
  <conditionalFormatting sqref="D61">
    <cfRule type="cellIs" priority="16" dxfId="2" operator="greaterThan" stopIfTrue="1">
      <formula>$D$63</formula>
    </cfRule>
  </conditionalFormatting>
  <conditionalFormatting sqref="C61">
    <cfRule type="cellIs" priority="17" dxfId="2" operator="greaterThan" stopIfTrue="1">
      <formula>$C$63</formula>
    </cfRule>
  </conditionalFormatting>
  <conditionalFormatting sqref="D30">
    <cfRule type="cellIs" priority="18" dxfId="2" operator="greaterThan" stopIfTrue="1">
      <formula>$D$32</formula>
    </cfRule>
  </conditionalFormatting>
  <conditionalFormatting sqref="C30">
    <cfRule type="cellIs" priority="19" dxfId="2" operator="greaterThan" stopIfTrue="1">
      <formula>$C$32</formula>
    </cfRule>
  </conditionalFormatting>
  <printOptions/>
  <pageMargins left="0.5" right="0.5" top="1" bottom="0.5" header="0.5" footer="0.5"/>
  <pageSetup blackAndWhite="1" fitToHeight="1" fitToWidth="1" horizontalDpi="120" verticalDpi="120" orientation="portrait" scale="73"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3">
      <selection activeCell="E52" sqref="E52"/>
    </sheetView>
  </sheetViews>
  <sheetFormatPr defaultColWidth="8.796875" defaultRowHeight="15"/>
  <cols>
    <col min="1" max="1" width="2.3984375" style="5" customWidth="1"/>
    <col min="2" max="2" width="31.09765625" style="5" customWidth="1"/>
    <col min="3" max="4" width="15.796875" style="5" customWidth="1"/>
    <col min="5" max="5" width="16.296875" style="5" customWidth="1"/>
    <col min="6" max="16384" width="8.8984375" style="5" customWidth="1"/>
  </cols>
  <sheetData>
    <row r="1" spans="2:5" ht="15.75">
      <c r="B1" s="131" t="str">
        <f>(inputPrYr!D2)</f>
        <v>City of LaHarpe</v>
      </c>
      <c r="C1" s="4"/>
      <c r="D1" s="4"/>
      <c r="E1" s="191">
        <f>inputPrYr!C5</f>
        <v>2013</v>
      </c>
    </row>
    <row r="2" spans="2:5" ht="15.75">
      <c r="B2" s="4"/>
      <c r="C2" s="4"/>
      <c r="D2" s="4"/>
      <c r="E2" s="127"/>
    </row>
    <row r="3" spans="2:5" ht="15.75">
      <c r="B3" s="21" t="s">
        <v>264</v>
      </c>
      <c r="C3" s="231"/>
      <c r="D3" s="231"/>
      <c r="E3" s="231"/>
    </row>
    <row r="4" spans="2:5" ht="15.75">
      <c r="B4" s="9" t="s">
        <v>200</v>
      </c>
      <c r="C4" s="458" t="s">
        <v>41</v>
      </c>
      <c r="D4" s="459" t="s">
        <v>42</v>
      </c>
      <c r="E4" s="105" t="s">
        <v>43</v>
      </c>
    </row>
    <row r="5" spans="2:5" ht="15.75">
      <c r="B5" s="313" t="str">
        <f>(inputPrYr!B38)</f>
        <v>Trash Utility</v>
      </c>
      <c r="C5" s="296" t="str">
        <f>CONCATENATE("Actual for ",E1-2,"")</f>
        <v>Actual for 2011</v>
      </c>
      <c r="D5" s="296" t="str">
        <f>CONCATENATE("Estimate for ",E1-1,"")</f>
        <v>Estimate for 2012</v>
      </c>
      <c r="E5" s="201" t="str">
        <f>CONCATENATE("Year for ",E1,"")</f>
        <v>Year for 2013</v>
      </c>
    </row>
    <row r="6" spans="2:5" ht="15.75">
      <c r="B6" s="202" t="s">
        <v>318</v>
      </c>
      <c r="C6" s="30">
        <v>3450</v>
      </c>
      <c r="D6" s="172">
        <f>C29</f>
        <v>4445</v>
      </c>
      <c r="E6" s="172">
        <f>D29</f>
        <v>5315</v>
      </c>
    </row>
    <row r="7" spans="2:5" ht="15.75">
      <c r="B7" s="205" t="s">
        <v>320</v>
      </c>
      <c r="C7" s="48"/>
      <c r="D7" s="48"/>
      <c r="E7" s="48"/>
    </row>
    <row r="8" spans="2:5" ht="15.75">
      <c r="B8" s="512" t="s">
        <v>171</v>
      </c>
      <c r="C8" s="30">
        <v>16072</v>
      </c>
      <c r="D8" s="30">
        <v>16828</v>
      </c>
      <c r="E8" s="30">
        <v>17000</v>
      </c>
    </row>
    <row r="9" spans="2:5" ht="15.75">
      <c r="B9" s="217"/>
      <c r="C9" s="30"/>
      <c r="D9" s="30"/>
      <c r="E9" s="30"/>
    </row>
    <row r="10" spans="2:5" ht="15.75">
      <c r="B10" s="217"/>
      <c r="C10" s="30"/>
      <c r="D10" s="30"/>
      <c r="E10" s="30"/>
    </row>
    <row r="11" spans="2:5" ht="15.75">
      <c r="B11" s="217"/>
      <c r="C11" s="30"/>
      <c r="D11" s="30"/>
      <c r="E11" s="30"/>
    </row>
    <row r="12" spans="2:5" ht="15.75">
      <c r="B12" s="209" t="s">
        <v>206</v>
      </c>
      <c r="C12" s="30">
        <v>0</v>
      </c>
      <c r="D12" s="30">
        <v>0</v>
      </c>
      <c r="E12" s="30">
        <v>0</v>
      </c>
    </row>
    <row r="13" spans="2:5" ht="15.75">
      <c r="B13" s="119" t="s">
        <v>84</v>
      </c>
      <c r="C13" s="30">
        <v>0</v>
      </c>
      <c r="D13" s="204">
        <v>0</v>
      </c>
      <c r="E13" s="204">
        <v>0</v>
      </c>
    </row>
    <row r="14" spans="2:5" ht="15.75">
      <c r="B14" s="202" t="s">
        <v>35</v>
      </c>
      <c r="C14" s="314">
        <f>IF(C15*0.1&lt;C13,"Exceed 10% Rule","")</f>
      </c>
      <c r="D14" s="230">
        <f>IF(D15*0.1&lt;D13,"Exceed 10% Rule","")</f>
      </c>
      <c r="E14" s="230">
        <f>IF(E15*0.1&lt;E13,"Exceed 10% Rule","")</f>
      </c>
    </row>
    <row r="15" spans="2:5" ht="15.75">
      <c r="B15" s="211" t="s">
        <v>207</v>
      </c>
      <c r="C15" s="232">
        <f>SUM(C8:C13)</f>
        <v>16072</v>
      </c>
      <c r="D15" s="232">
        <f>SUM(D8:D13)</f>
        <v>16828</v>
      </c>
      <c r="E15" s="232">
        <f>SUM(E8:E13)</f>
        <v>17000</v>
      </c>
    </row>
    <row r="16" spans="2:5" ht="15.75">
      <c r="B16" s="211" t="s">
        <v>208</v>
      </c>
      <c r="C16" s="232">
        <f>C6+C15</f>
        <v>19522</v>
      </c>
      <c r="D16" s="232">
        <f>D6+D15</f>
        <v>21273</v>
      </c>
      <c r="E16" s="232">
        <f>E6+E15</f>
        <v>22315</v>
      </c>
    </row>
    <row r="17" spans="2:5" ht="15.75">
      <c r="B17" s="111" t="s">
        <v>210</v>
      </c>
      <c r="C17" s="172"/>
      <c r="D17" s="172"/>
      <c r="E17" s="172"/>
    </row>
    <row r="18" spans="2:5" ht="15.75">
      <c r="B18" s="512" t="s">
        <v>172</v>
      </c>
      <c r="C18" s="30"/>
      <c r="D18" s="30"/>
      <c r="E18" s="30"/>
    </row>
    <row r="19" spans="2:5" ht="15.75">
      <c r="B19" s="512" t="s">
        <v>173</v>
      </c>
      <c r="C19" s="30">
        <v>309</v>
      </c>
      <c r="D19" s="30">
        <v>336</v>
      </c>
      <c r="E19" s="30">
        <v>350</v>
      </c>
    </row>
    <row r="20" spans="2:5" ht="15.75">
      <c r="B20" s="512" t="s">
        <v>174</v>
      </c>
      <c r="C20" s="30">
        <v>14768</v>
      </c>
      <c r="D20" s="30">
        <v>15622</v>
      </c>
      <c r="E20" s="30">
        <v>16000</v>
      </c>
    </row>
    <row r="21" spans="2:5" ht="15.75">
      <c r="B21" s="217" t="s">
        <v>175</v>
      </c>
      <c r="C21" s="30">
        <v>0</v>
      </c>
      <c r="D21" s="30">
        <v>0</v>
      </c>
      <c r="E21" s="30">
        <v>5965</v>
      </c>
    </row>
    <row r="22" spans="2:5" ht="15.75">
      <c r="B22" s="217"/>
      <c r="C22" s="30"/>
      <c r="D22" s="30"/>
      <c r="E22" s="30"/>
    </row>
    <row r="23" spans="2:5" ht="15.75">
      <c r="B23" s="217"/>
      <c r="C23" s="30"/>
      <c r="D23" s="30"/>
      <c r="E23" s="30"/>
    </row>
    <row r="24" spans="2:5" ht="15.75">
      <c r="B24" s="217"/>
      <c r="C24" s="30"/>
      <c r="D24" s="30"/>
      <c r="E24" s="30"/>
    </row>
    <row r="25" spans="2:5" ht="15.75">
      <c r="B25" s="217"/>
      <c r="C25" s="30"/>
      <c r="D25" s="30"/>
      <c r="E25" s="30"/>
    </row>
    <row r="26" spans="2:5" ht="15.75">
      <c r="B26" s="218" t="s">
        <v>84</v>
      </c>
      <c r="C26" s="30">
        <v>0</v>
      </c>
      <c r="D26" s="204">
        <v>0</v>
      </c>
      <c r="E26" s="204">
        <v>0</v>
      </c>
    </row>
    <row r="27" spans="2:5" ht="15.75">
      <c r="B27" s="218" t="s">
        <v>36</v>
      </c>
      <c r="C27" s="314">
        <f>IF(C28*0.1&lt;C26,"Exceed 10% Rule","")</f>
      </c>
      <c r="D27" s="230">
        <f>IF(D28*0.1&lt;D26,"Exceed 10% Rule","")</f>
      </c>
      <c r="E27" s="230">
        <f>IF(E28*0.1&lt;E26,"Exceed 10% Rule","")</f>
      </c>
    </row>
    <row r="28" spans="2:5" ht="15.75">
      <c r="B28" s="211" t="s">
        <v>213</v>
      </c>
      <c r="C28" s="232">
        <f>SUM(C18:C26)</f>
        <v>15077</v>
      </c>
      <c r="D28" s="232">
        <f>SUM(D18:D26)</f>
        <v>15958</v>
      </c>
      <c r="E28" s="232">
        <f>SUM(E18:E26)</f>
        <v>22315</v>
      </c>
    </row>
    <row r="29" spans="2:5" ht="15.75">
      <c r="B29" s="111" t="s">
        <v>319</v>
      </c>
      <c r="C29" s="172">
        <f>C16-C28</f>
        <v>4445</v>
      </c>
      <c r="D29" s="172">
        <f>D16-D28</f>
        <v>5315</v>
      </c>
      <c r="E29" s="172">
        <f>E16-E28</f>
        <v>0</v>
      </c>
    </row>
    <row r="30" spans="2:5" ht="15.75">
      <c r="B30" s="99" t="str">
        <f>CONCATENATE("",E1-2,"/",E1-1," Budget Authority Amount:")</f>
        <v>2011/2012 Budget Authority Amount:</v>
      </c>
      <c r="C30" s="162">
        <f>inputOth!B78</f>
        <v>20169</v>
      </c>
      <c r="D30" s="162">
        <f>inputPrYr!D38</f>
        <v>21088</v>
      </c>
      <c r="E30" s="346">
        <f>IF(E29&lt;0,"See Tab E","")</f>
      </c>
    </row>
    <row r="31" spans="2:5" ht="15.75">
      <c r="B31" s="99"/>
      <c r="C31" s="222">
        <f>IF(C28&gt;C30,"See Tab A","")</f>
      </c>
      <c r="D31" s="222">
        <f>IF(D28&gt;D30,"See Tab C","")</f>
      </c>
      <c r="E31" s="31"/>
    </row>
    <row r="32" spans="2:5" ht="15.75">
      <c r="B32" s="99"/>
      <c r="C32" s="222">
        <f>IF(C29&lt;0,"See Tab B","")</f>
      </c>
      <c r="D32" s="222">
        <f>IF(D29&lt;0,"See Tab D","")</f>
      </c>
      <c r="E32" s="31"/>
    </row>
    <row r="33" spans="2:5" ht="15.75">
      <c r="B33" s="4"/>
      <c r="C33" s="31"/>
      <c r="D33" s="31"/>
      <c r="E33" s="31"/>
    </row>
    <row r="34" spans="2:5" ht="15.75">
      <c r="B34" s="9" t="s">
        <v>200</v>
      </c>
      <c r="C34" s="234"/>
      <c r="D34" s="234"/>
      <c r="E34" s="234"/>
    </row>
    <row r="35" spans="2:5" ht="15.75">
      <c r="B35" s="4"/>
      <c r="C35" s="225" t="str">
        <f aca="true" t="shared" si="0" ref="C35:E36">C4</f>
        <v>Prior Year </v>
      </c>
      <c r="D35" s="105" t="str">
        <f t="shared" si="0"/>
        <v>Current Year</v>
      </c>
      <c r="E35" s="105" t="str">
        <f t="shared" si="0"/>
        <v>Proposed Budget</v>
      </c>
    </row>
    <row r="36" spans="2:5" ht="15.75">
      <c r="B36" s="312" t="str">
        <f>inputPrYr!B39</f>
        <v>Equipment Reserve</v>
      </c>
      <c r="C36" s="201" t="str">
        <f t="shared" si="0"/>
        <v>Actual for 2011</v>
      </c>
      <c r="D36" s="201" t="str">
        <f t="shared" si="0"/>
        <v>Estimate for 2012</v>
      </c>
      <c r="E36" s="201" t="str">
        <f t="shared" si="0"/>
        <v>Year for 2013</v>
      </c>
    </row>
    <row r="37" spans="2:5" ht="15.75">
      <c r="B37" s="202" t="s">
        <v>318</v>
      </c>
      <c r="C37" s="30">
        <v>5684</v>
      </c>
      <c r="D37" s="172">
        <f>C60</f>
        <v>5184</v>
      </c>
      <c r="E37" s="172">
        <f>D60</f>
        <v>18184</v>
      </c>
    </row>
    <row r="38" spans="2:5" ht="15.75">
      <c r="B38" s="202" t="s">
        <v>320</v>
      </c>
      <c r="C38" s="48"/>
      <c r="D38" s="48"/>
      <c r="E38" s="48"/>
    </row>
    <row r="39" spans="2:5" ht="15.75">
      <c r="B39" s="217" t="s">
        <v>382</v>
      </c>
      <c r="C39" s="30"/>
      <c r="D39" s="30"/>
      <c r="E39" s="30"/>
    </row>
    <row r="40" spans="2:5" ht="15.75">
      <c r="B40" s="217" t="s">
        <v>384</v>
      </c>
      <c r="C40" s="30">
        <v>5000</v>
      </c>
      <c r="D40" s="30">
        <v>10000</v>
      </c>
      <c r="E40" s="30">
        <v>10000</v>
      </c>
    </row>
    <row r="41" spans="2:5" ht="15.75">
      <c r="B41" s="217" t="s">
        <v>399</v>
      </c>
      <c r="C41" s="30">
        <v>0</v>
      </c>
      <c r="D41" s="30">
        <v>3000</v>
      </c>
      <c r="E41" s="30">
        <v>3000</v>
      </c>
    </row>
    <row r="42" spans="2:5" ht="15.75">
      <c r="B42" s="217"/>
      <c r="C42" s="30"/>
      <c r="D42" s="30"/>
      <c r="E42" s="30"/>
    </row>
    <row r="43" spans="2:5" ht="15.75">
      <c r="B43" s="209" t="s">
        <v>206</v>
      </c>
      <c r="C43" s="30">
        <v>0</v>
      </c>
      <c r="D43" s="30">
        <v>0</v>
      </c>
      <c r="E43" s="30">
        <v>0</v>
      </c>
    </row>
    <row r="44" spans="2:5" ht="15.75">
      <c r="B44" s="119" t="s">
        <v>84</v>
      </c>
      <c r="C44" s="30">
        <v>0</v>
      </c>
      <c r="D44" s="204">
        <v>0</v>
      </c>
      <c r="E44" s="204">
        <v>0</v>
      </c>
    </row>
    <row r="45" spans="2:5" ht="15.75">
      <c r="B45" s="202" t="s">
        <v>35</v>
      </c>
      <c r="C45" s="314">
        <f>IF(C46*0.1&lt;C44,"Exceed 10% Rule","")</f>
      </c>
      <c r="D45" s="230">
        <f>IF(D46*0.1&lt;D44,"Exceed 10% Rule","")</f>
      </c>
      <c r="E45" s="230">
        <f>IF(E46*0.1&lt;E44,"Exceed 10% Rule","")</f>
      </c>
    </row>
    <row r="46" spans="2:5" ht="15.75">
      <c r="B46" s="211" t="s">
        <v>207</v>
      </c>
      <c r="C46" s="232">
        <f>SUM(C39:C44)</f>
        <v>5000</v>
      </c>
      <c r="D46" s="232">
        <f>SUM(D39:D44)</f>
        <v>13000</v>
      </c>
      <c r="E46" s="232">
        <f>SUM(E39:E44)</f>
        <v>13000</v>
      </c>
    </row>
    <row r="47" spans="2:5" ht="15.75">
      <c r="B47" s="211" t="s">
        <v>208</v>
      </c>
      <c r="C47" s="232">
        <f>C37+C46</f>
        <v>10684</v>
      </c>
      <c r="D47" s="232">
        <f>D37+D46</f>
        <v>18184</v>
      </c>
      <c r="E47" s="232">
        <f>E37+E46</f>
        <v>31184</v>
      </c>
    </row>
    <row r="48" spans="2:5" ht="15.75">
      <c r="B48" s="111" t="s">
        <v>210</v>
      </c>
      <c r="C48" s="172"/>
      <c r="D48" s="172"/>
      <c r="E48" s="172"/>
    </row>
    <row r="49" spans="2:5" ht="15.75">
      <c r="B49" s="217" t="s">
        <v>398</v>
      </c>
      <c r="C49" s="30">
        <v>5500</v>
      </c>
      <c r="D49" s="30">
        <v>0</v>
      </c>
      <c r="E49" s="30">
        <v>0</v>
      </c>
    </row>
    <row r="50" spans="2:5" ht="15.75">
      <c r="B50" s="217" t="s">
        <v>400</v>
      </c>
      <c r="C50" s="30">
        <v>0</v>
      </c>
      <c r="D50" s="30">
        <v>0</v>
      </c>
      <c r="E50" s="30">
        <v>25000</v>
      </c>
    </row>
    <row r="51" spans="2:5" ht="15.75">
      <c r="B51" s="217" t="s">
        <v>401</v>
      </c>
      <c r="C51" s="30">
        <v>0</v>
      </c>
      <c r="D51" s="30">
        <v>0</v>
      </c>
      <c r="E51" s="30">
        <v>6184</v>
      </c>
    </row>
    <row r="52" spans="2:5" ht="15.75">
      <c r="B52" s="217"/>
      <c r="C52" s="30"/>
      <c r="D52" s="30"/>
      <c r="E52" s="30"/>
    </row>
    <row r="53" spans="2:5" ht="15.75">
      <c r="B53" s="217"/>
      <c r="C53" s="30"/>
      <c r="D53" s="30"/>
      <c r="E53" s="30"/>
    </row>
    <row r="54" spans="2:5" ht="15.75">
      <c r="B54" s="217"/>
      <c r="C54" s="30"/>
      <c r="D54" s="30"/>
      <c r="E54" s="30"/>
    </row>
    <row r="55" spans="2:5" ht="15.75">
      <c r="B55" s="217"/>
      <c r="C55" s="30"/>
      <c r="D55" s="30"/>
      <c r="E55" s="30"/>
    </row>
    <row r="56" spans="2:5" ht="15.75">
      <c r="B56" s="217"/>
      <c r="C56" s="30"/>
      <c r="D56" s="30"/>
      <c r="E56" s="30"/>
    </row>
    <row r="57" spans="2:5" ht="15.75">
      <c r="B57" s="218" t="s">
        <v>84</v>
      </c>
      <c r="C57" s="30"/>
      <c r="D57" s="204"/>
      <c r="E57" s="204"/>
    </row>
    <row r="58" spans="2:5" ht="15.75">
      <c r="B58" s="218" t="s">
        <v>36</v>
      </c>
      <c r="C58" s="314">
        <f>IF(C59*0.1&lt;C57,"Exceed 10% Rule","")</f>
      </c>
      <c r="D58" s="230">
        <f>IF(D59*0.1&lt;D57,"Exceed 10% Rule","")</f>
      </c>
      <c r="E58" s="230">
        <f>IF(E59*0.1&lt;E57,"Exceed 10% Rule","")</f>
      </c>
    </row>
    <row r="59" spans="2:5" ht="15.75">
      <c r="B59" s="211" t="s">
        <v>213</v>
      </c>
      <c r="C59" s="232">
        <f>SUM(C49:C57)</f>
        <v>5500</v>
      </c>
      <c r="D59" s="232">
        <f>SUM(D49:D57)</f>
        <v>0</v>
      </c>
      <c r="E59" s="232">
        <f>SUM(E49:E57)</f>
        <v>31184</v>
      </c>
    </row>
    <row r="60" spans="2:5" ht="15.75">
      <c r="B60" s="111" t="s">
        <v>319</v>
      </c>
      <c r="C60" s="172">
        <f>C47-C59</f>
        <v>5184</v>
      </c>
      <c r="D60" s="172">
        <f>D47-D59</f>
        <v>18184</v>
      </c>
      <c r="E60" s="172">
        <f>E47-E59</f>
        <v>0</v>
      </c>
    </row>
    <row r="61" spans="2:5" ht="15.75">
      <c r="B61" s="99" t="str">
        <f>CONCATENATE("",E1-2,"/",E1-1," Budget Authority Amount:")</f>
        <v>2011/2012 Budget Authority Amount:</v>
      </c>
      <c r="C61" s="162">
        <f>inputOth!B79</f>
        <v>5500</v>
      </c>
      <c r="D61" s="162">
        <f>inputPrYr!D39</f>
        <v>18184</v>
      </c>
      <c r="E61" s="346">
        <f>IF(E60&lt;0,"See Tab E","")</f>
      </c>
    </row>
    <row r="62" spans="2:5" ht="15.75">
      <c r="B62" s="99"/>
      <c r="C62" s="222">
        <f>IF(C59&gt;C61,"See Tab A","")</f>
      </c>
      <c r="D62" s="222">
        <f>IF(D59&gt;D61,"See Tab C","")</f>
      </c>
      <c r="E62" s="38"/>
    </row>
    <row r="63" spans="2:5" ht="15.75">
      <c r="B63" s="99"/>
      <c r="C63" s="222">
        <f>IF(C60&lt;0,"See Tab B","")</f>
      </c>
      <c r="D63" s="222">
        <f>IF(D60&lt;0,"See Tab D","")</f>
      </c>
      <c r="E63" s="38"/>
    </row>
    <row r="64" spans="2:5" ht="15.75">
      <c r="B64" s="4"/>
      <c r="C64" s="4"/>
      <c r="D64" s="4"/>
      <c r="E64" s="4"/>
    </row>
    <row r="65" spans="2:5" ht="15.75">
      <c r="B65" s="99" t="s">
        <v>216</v>
      </c>
      <c r="C65" s="514">
        <v>11</v>
      </c>
      <c r="D65" s="4"/>
      <c r="E65" s="4"/>
    </row>
  </sheetData>
  <sheetProtection/>
  <conditionalFormatting sqref="C13">
    <cfRule type="cellIs" priority="3" dxfId="85" operator="greaterThan" stopIfTrue="1">
      <formula>$C$15*0.1</formula>
    </cfRule>
  </conditionalFormatting>
  <conditionalFormatting sqref="D13">
    <cfRule type="cellIs" priority="4" dxfId="85" operator="greaterThan" stopIfTrue="1">
      <formula>$D$15*0.1</formula>
    </cfRule>
  </conditionalFormatting>
  <conditionalFormatting sqref="E13">
    <cfRule type="cellIs" priority="5" dxfId="85" operator="greaterThan" stopIfTrue="1">
      <formula>$E$15*0.1</formula>
    </cfRule>
  </conditionalFormatting>
  <conditionalFormatting sqref="C26">
    <cfRule type="cellIs" priority="6" dxfId="85" operator="greaterThan" stopIfTrue="1">
      <formula>$C$28*0.1</formula>
    </cfRule>
  </conditionalFormatting>
  <conditionalFormatting sqref="D26">
    <cfRule type="cellIs" priority="7" dxfId="85" operator="greaterThan" stopIfTrue="1">
      <formula>$D$28*0.1</formula>
    </cfRule>
  </conditionalFormatting>
  <conditionalFormatting sqref="E26">
    <cfRule type="cellIs" priority="8" dxfId="85" operator="greaterThan" stopIfTrue="1">
      <formula>$E$28*0.1</formula>
    </cfRule>
  </conditionalFormatting>
  <conditionalFormatting sqref="C44">
    <cfRule type="cellIs" priority="9" dxfId="85" operator="greaterThan" stopIfTrue="1">
      <formula>$C$46*0.1</formula>
    </cfRule>
  </conditionalFormatting>
  <conditionalFormatting sqref="D44">
    <cfRule type="cellIs" priority="10" dxfId="85" operator="greaterThan" stopIfTrue="1">
      <formula>$D$46*0.1</formula>
    </cfRule>
  </conditionalFormatting>
  <conditionalFormatting sqref="E44">
    <cfRule type="cellIs" priority="11" dxfId="85" operator="greaterThan" stopIfTrue="1">
      <formula>$E$46*0.1</formula>
    </cfRule>
  </conditionalFormatting>
  <conditionalFormatting sqref="C57">
    <cfRule type="cellIs" priority="12" dxfId="85" operator="greaterThan" stopIfTrue="1">
      <formula>$C$59*0.1</formula>
    </cfRule>
  </conditionalFormatting>
  <conditionalFormatting sqref="D57">
    <cfRule type="cellIs" priority="13" dxfId="85" operator="greaterThan" stopIfTrue="1">
      <formula>$D$59*0.1</formula>
    </cfRule>
  </conditionalFormatting>
  <conditionalFormatting sqref="E57">
    <cfRule type="cellIs" priority="14" dxfId="85" operator="greaterThan" stopIfTrue="1">
      <formula>$E$59*0.1</formula>
    </cfRule>
  </conditionalFormatting>
  <conditionalFormatting sqref="E60 C60 E29 C29">
    <cfRule type="cellIs" priority="15" dxfId="2" operator="lessThan" stopIfTrue="1">
      <formula>0</formula>
    </cfRule>
  </conditionalFormatting>
  <conditionalFormatting sqref="D59">
    <cfRule type="cellIs" priority="16" dxfId="2" operator="greaterThan" stopIfTrue="1">
      <formula>$D$61</formula>
    </cfRule>
  </conditionalFormatting>
  <conditionalFormatting sqref="C59">
    <cfRule type="cellIs" priority="17" dxfId="2" operator="greaterThan" stopIfTrue="1">
      <formula>$C$61</formula>
    </cfRule>
  </conditionalFormatting>
  <conditionalFormatting sqref="D28">
    <cfRule type="cellIs" priority="18" dxfId="2" operator="greaterThan" stopIfTrue="1">
      <formula>$D$30</formula>
    </cfRule>
  </conditionalFormatting>
  <conditionalFormatting sqref="C28">
    <cfRule type="cellIs" priority="19" dxfId="2"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6"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0">
      <selection activeCell="F26" sqref="F26"/>
    </sheetView>
  </sheetViews>
  <sheetFormatPr defaultColWidth="8.796875" defaultRowHeight="15"/>
  <cols>
    <col min="1" max="1" width="11.59765625" style="1" customWidth="1"/>
    <col min="2" max="2" width="7.3984375" style="1" customWidth="1"/>
    <col min="3" max="3" width="11.59765625" style="1" customWidth="1"/>
    <col min="4" max="4" width="7.3984375" style="1" customWidth="1"/>
    <col min="5" max="5" width="11.59765625" style="1" customWidth="1"/>
    <col min="6" max="6" width="7.3984375" style="1" customWidth="1"/>
    <col min="7" max="7" width="11.59765625" style="1" customWidth="1"/>
    <col min="8" max="8" width="7.3984375" style="1" customWidth="1"/>
    <col min="9" max="9" width="11.59765625" style="1" customWidth="1"/>
    <col min="10" max="16384" width="8.8984375" style="1" customWidth="1"/>
  </cols>
  <sheetData>
    <row r="1" spans="1:11" ht="15.75">
      <c r="A1" s="66">
        <f>inputPrYr!$C$2</f>
        <v>0</v>
      </c>
      <c r="B1" s="236"/>
      <c r="C1" s="66"/>
      <c r="D1" s="66"/>
      <c r="E1" s="66"/>
      <c r="F1" s="237" t="s">
        <v>348</v>
      </c>
      <c r="G1" s="66"/>
      <c r="H1" s="66"/>
      <c r="I1" s="66"/>
      <c r="J1" s="66"/>
      <c r="K1" s="66">
        <f>inputPrYr!$C$5</f>
        <v>2013</v>
      </c>
    </row>
    <row r="2" spans="1:11" ht="15.75">
      <c r="A2" s="66"/>
      <c r="B2" s="66"/>
      <c r="C2" s="66"/>
      <c r="D2" s="66"/>
      <c r="E2" s="66"/>
      <c r="F2" s="238" t="str">
        <f>CONCATENATE("(Only the actual budget year for ",K1-2," is to be shown)")</f>
        <v>(Only the actual budget year for 2011 is to be shown)</v>
      </c>
      <c r="G2" s="66"/>
      <c r="H2" s="66"/>
      <c r="I2" s="66"/>
      <c r="J2" s="66"/>
      <c r="K2" s="66"/>
    </row>
    <row r="3" spans="1:11" ht="15.75">
      <c r="A3" s="66" t="s">
        <v>373</v>
      </c>
      <c r="B3" s="66"/>
      <c r="C3" s="66"/>
      <c r="D3" s="66"/>
      <c r="E3" s="66"/>
      <c r="F3" s="236"/>
      <c r="G3" s="66"/>
      <c r="H3" s="66"/>
      <c r="I3" s="66"/>
      <c r="J3" s="66"/>
      <c r="K3" s="66"/>
    </row>
    <row r="4" spans="1:11" ht="15.75">
      <c r="A4" s="66" t="s">
        <v>350</v>
      </c>
      <c r="B4" s="66"/>
      <c r="C4" s="66" t="s">
        <v>351</v>
      </c>
      <c r="D4" s="66"/>
      <c r="E4" s="66" t="s">
        <v>352</v>
      </c>
      <c r="F4" s="236"/>
      <c r="G4" s="66" t="s">
        <v>353</v>
      </c>
      <c r="H4" s="66"/>
      <c r="I4" s="66" t="s">
        <v>354</v>
      </c>
      <c r="J4" s="66"/>
      <c r="K4" s="66"/>
    </row>
    <row r="5" spans="1:11" ht="15.75">
      <c r="A5" s="576" t="str">
        <f>inputPrYr!$B51</f>
        <v>Sales Tax</v>
      </c>
      <c r="B5" s="577"/>
      <c r="C5" s="576" t="str">
        <f>inputPrYr!B52</f>
        <v>Security Deposits</v>
      </c>
      <c r="D5" s="577"/>
      <c r="E5" s="576">
        <f>inputPrYr!B53</f>
        <v>0</v>
      </c>
      <c r="F5" s="577"/>
      <c r="G5" s="576">
        <f>inputPrYr!B54</f>
        <v>0</v>
      </c>
      <c r="H5" s="577"/>
      <c r="I5" s="576">
        <f>inputPrYr!$B55</f>
        <v>0</v>
      </c>
      <c r="J5" s="577"/>
      <c r="K5" s="87"/>
    </row>
    <row r="6" spans="1:11" ht="15.75">
      <c r="A6" s="240" t="s">
        <v>345</v>
      </c>
      <c r="B6" s="241"/>
      <c r="C6" s="242" t="s">
        <v>345</v>
      </c>
      <c r="D6" s="243"/>
      <c r="E6" s="242" t="s">
        <v>345</v>
      </c>
      <c r="F6" s="244"/>
      <c r="G6" s="242" t="s">
        <v>345</v>
      </c>
      <c r="H6" s="239"/>
      <c r="I6" s="242" t="s">
        <v>345</v>
      </c>
      <c r="J6" s="66"/>
      <c r="K6" s="245" t="s">
        <v>94</v>
      </c>
    </row>
    <row r="7" spans="1:11" ht="15.75">
      <c r="A7" s="246" t="s">
        <v>86</v>
      </c>
      <c r="B7" s="247">
        <v>7769</v>
      </c>
      <c r="C7" s="248" t="s">
        <v>86</v>
      </c>
      <c r="D7" s="247">
        <v>8277</v>
      </c>
      <c r="E7" s="248" t="s">
        <v>86</v>
      </c>
      <c r="F7" s="247"/>
      <c r="G7" s="248" t="s">
        <v>86</v>
      </c>
      <c r="H7" s="247"/>
      <c r="I7" s="248" t="s">
        <v>86</v>
      </c>
      <c r="J7" s="247"/>
      <c r="K7" s="249">
        <f>SUM(B7+D7+F7+H7+J7)</f>
        <v>16046</v>
      </c>
    </row>
    <row r="8" spans="1:11" ht="15.75">
      <c r="A8" s="250" t="s">
        <v>320</v>
      </c>
      <c r="B8" s="251"/>
      <c r="C8" s="250" t="s">
        <v>320</v>
      </c>
      <c r="D8" s="252"/>
      <c r="E8" s="250" t="s">
        <v>320</v>
      </c>
      <c r="F8" s="236"/>
      <c r="G8" s="250" t="s">
        <v>320</v>
      </c>
      <c r="H8" s="66"/>
      <c r="I8" s="250" t="s">
        <v>320</v>
      </c>
      <c r="J8" s="66"/>
      <c r="K8" s="236"/>
    </row>
    <row r="9" spans="1:11" ht="15.75">
      <c r="A9" s="253"/>
      <c r="B9" s="247"/>
      <c r="C9" s="253"/>
      <c r="D9" s="247"/>
      <c r="E9" s="253"/>
      <c r="F9" s="247"/>
      <c r="G9" s="253"/>
      <c r="H9" s="247"/>
      <c r="I9" s="253"/>
      <c r="J9" s="247"/>
      <c r="K9" s="236"/>
    </row>
    <row r="10" spans="1:11" ht="15.75">
      <c r="A10" s="253" t="s">
        <v>385</v>
      </c>
      <c r="B10" s="247">
        <v>6318</v>
      </c>
      <c r="C10" s="253" t="s">
        <v>387</v>
      </c>
      <c r="D10" s="247">
        <v>5200</v>
      </c>
      <c r="E10" s="253"/>
      <c r="F10" s="247"/>
      <c r="G10" s="253"/>
      <c r="H10" s="247"/>
      <c r="I10" s="253"/>
      <c r="J10" s="247"/>
      <c r="K10" s="236"/>
    </row>
    <row r="11" spans="1:11" ht="15.75">
      <c r="A11" s="253"/>
      <c r="B11" s="247"/>
      <c r="C11" s="254"/>
      <c r="D11" s="255"/>
      <c r="E11" s="254"/>
      <c r="F11" s="255"/>
      <c r="G11" s="254"/>
      <c r="H11" s="255"/>
      <c r="I11" s="256"/>
      <c r="J11" s="247"/>
      <c r="K11" s="236"/>
    </row>
    <row r="12" spans="1:11" ht="15.75">
      <c r="A12" s="253"/>
      <c r="B12" s="257"/>
      <c r="C12" s="253"/>
      <c r="D12" s="258"/>
      <c r="E12" s="259"/>
      <c r="F12" s="258"/>
      <c r="G12" s="259"/>
      <c r="H12" s="258"/>
      <c r="I12" s="259"/>
      <c r="J12" s="247"/>
      <c r="K12" s="236"/>
    </row>
    <row r="13" spans="1:11" ht="15.75">
      <c r="A13" s="260"/>
      <c r="B13" s="261"/>
      <c r="C13" s="262"/>
      <c r="D13" s="261"/>
      <c r="E13" s="262"/>
      <c r="F13" s="261"/>
      <c r="G13" s="262"/>
      <c r="H13" s="261"/>
      <c r="I13" s="256"/>
      <c r="J13" s="247"/>
      <c r="K13" s="236"/>
    </row>
    <row r="14" spans="1:11" ht="15.75">
      <c r="A14" s="253"/>
      <c r="B14" s="247"/>
      <c r="C14" s="259"/>
      <c r="D14" s="258"/>
      <c r="E14" s="259"/>
      <c r="F14" s="258"/>
      <c r="G14" s="259"/>
      <c r="H14" s="258"/>
      <c r="I14" s="259"/>
      <c r="J14" s="247"/>
      <c r="K14" s="236"/>
    </row>
    <row r="15" spans="1:11" ht="15.75">
      <c r="A15" s="253"/>
      <c r="B15" s="247"/>
      <c r="C15" s="259"/>
      <c r="D15" s="258"/>
      <c r="E15" s="259"/>
      <c r="F15" s="258"/>
      <c r="G15" s="259"/>
      <c r="H15" s="258"/>
      <c r="I15" s="259"/>
      <c r="J15" s="247"/>
      <c r="K15" s="236"/>
    </row>
    <row r="16" spans="1:11" ht="15.75">
      <c r="A16" s="253"/>
      <c r="B16" s="261"/>
      <c r="C16" s="253"/>
      <c r="D16" s="261"/>
      <c r="E16" s="253"/>
      <c r="F16" s="247"/>
      <c r="G16" s="259"/>
      <c r="H16" s="261"/>
      <c r="I16" s="253"/>
      <c r="J16" s="258"/>
      <c r="K16" s="236"/>
    </row>
    <row r="17" spans="1:11" ht="15.75">
      <c r="A17" s="250" t="s">
        <v>207</v>
      </c>
      <c r="B17" s="249">
        <f>SUM(B9:B16)</f>
        <v>6318</v>
      </c>
      <c r="C17" s="250" t="s">
        <v>207</v>
      </c>
      <c r="D17" s="263">
        <f>SUM(D9:D16)</f>
        <v>5200</v>
      </c>
      <c r="E17" s="250" t="s">
        <v>207</v>
      </c>
      <c r="F17" s="264">
        <f>SUM(F9:F16)</f>
        <v>0</v>
      </c>
      <c r="G17" s="250" t="s">
        <v>207</v>
      </c>
      <c r="H17" s="263">
        <f>SUM(H9:H16)</f>
        <v>0</v>
      </c>
      <c r="I17" s="250" t="s">
        <v>207</v>
      </c>
      <c r="J17" s="263">
        <f>SUM(J9:J16)</f>
        <v>0</v>
      </c>
      <c r="K17" s="249">
        <f>SUM(B17+D17+F17+H17+J17)</f>
        <v>11518</v>
      </c>
    </row>
    <row r="18" spans="1:11" ht="15.75">
      <c r="A18" s="250" t="s">
        <v>208</v>
      </c>
      <c r="B18" s="249">
        <f>SUM(B7+B17)</f>
        <v>14087</v>
      </c>
      <c r="C18" s="250" t="s">
        <v>208</v>
      </c>
      <c r="D18" s="249">
        <f>SUM(D7+D17)</f>
        <v>13477</v>
      </c>
      <c r="E18" s="250" t="s">
        <v>208</v>
      </c>
      <c r="F18" s="249">
        <f>SUM(F7+F17)</f>
        <v>0</v>
      </c>
      <c r="G18" s="250" t="s">
        <v>208</v>
      </c>
      <c r="H18" s="249">
        <f>SUM(H7+H17)</f>
        <v>0</v>
      </c>
      <c r="I18" s="250" t="s">
        <v>208</v>
      </c>
      <c r="J18" s="249">
        <f>SUM(J7+J17)</f>
        <v>0</v>
      </c>
      <c r="K18" s="249">
        <f>SUM(B18+D18+F18+H18+J18)</f>
        <v>27564</v>
      </c>
    </row>
    <row r="19" spans="1:11" ht="15.75">
      <c r="A19" s="250" t="s">
        <v>210</v>
      </c>
      <c r="B19" s="251"/>
      <c r="C19" s="250" t="s">
        <v>210</v>
      </c>
      <c r="D19" s="252"/>
      <c r="E19" s="250" t="s">
        <v>210</v>
      </c>
      <c r="F19" s="236"/>
      <c r="G19" s="250" t="s">
        <v>210</v>
      </c>
      <c r="H19" s="66"/>
      <c r="I19" s="250" t="s">
        <v>210</v>
      </c>
      <c r="J19" s="66"/>
      <c r="K19" s="236"/>
    </row>
    <row r="20" spans="1:11" ht="15.75">
      <c r="A20" s="259" t="s">
        <v>386</v>
      </c>
      <c r="B20" s="247">
        <v>5258</v>
      </c>
      <c r="C20" s="259" t="s">
        <v>388</v>
      </c>
      <c r="D20" s="247">
        <v>6078</v>
      </c>
      <c r="E20" s="259"/>
      <c r="F20" s="247"/>
      <c r="G20" s="259"/>
      <c r="H20" s="247"/>
      <c r="I20" s="259"/>
      <c r="J20" s="247"/>
      <c r="K20" s="236"/>
    </row>
    <row r="21" spans="1:11" ht="15.75">
      <c r="A21" s="253"/>
      <c r="B21" s="247"/>
      <c r="C21" s="259"/>
      <c r="D21" s="258"/>
      <c r="E21" s="259"/>
      <c r="F21" s="258"/>
      <c r="G21" s="259"/>
      <c r="H21" s="258"/>
      <c r="I21" s="259"/>
      <c r="J21" s="265"/>
      <c r="K21" s="236"/>
    </row>
    <row r="22" spans="1:11" ht="15.75">
      <c r="A22" s="253"/>
      <c r="B22" s="266"/>
      <c r="C22" s="262"/>
      <c r="D22" s="261"/>
      <c r="E22" s="262"/>
      <c r="F22" s="261"/>
      <c r="G22" s="262"/>
      <c r="H22" s="261"/>
      <c r="I22" s="256"/>
      <c r="J22" s="247"/>
      <c r="K22" s="236"/>
    </row>
    <row r="23" spans="1:11" ht="15.75">
      <c r="A23" s="253"/>
      <c r="B23" s="247"/>
      <c r="C23" s="259"/>
      <c r="D23" s="258"/>
      <c r="E23" s="259"/>
      <c r="F23" s="258"/>
      <c r="G23" s="259"/>
      <c r="H23" s="258"/>
      <c r="I23" s="259"/>
      <c r="J23" s="247"/>
      <c r="K23" s="236"/>
    </row>
    <row r="24" spans="1:11" ht="15.75">
      <c r="A24" s="253"/>
      <c r="B24" s="266"/>
      <c r="C24" s="262"/>
      <c r="D24" s="261"/>
      <c r="E24" s="262"/>
      <c r="F24" s="261"/>
      <c r="G24" s="262"/>
      <c r="H24" s="261"/>
      <c r="I24" s="256"/>
      <c r="J24" s="247"/>
      <c r="K24" s="236"/>
    </row>
    <row r="25" spans="1:11" ht="15.75">
      <c r="A25" s="253"/>
      <c r="B25" s="247"/>
      <c r="C25" s="259"/>
      <c r="D25" s="258"/>
      <c r="E25" s="259"/>
      <c r="F25" s="258"/>
      <c r="G25" s="259"/>
      <c r="H25" s="258"/>
      <c r="I25" s="259"/>
      <c r="J25" s="247"/>
      <c r="K25" s="236"/>
    </row>
    <row r="26" spans="1:11" ht="15.75">
      <c r="A26" s="253"/>
      <c r="B26" s="247"/>
      <c r="C26" s="259"/>
      <c r="D26" s="258"/>
      <c r="E26" s="259"/>
      <c r="F26" s="258"/>
      <c r="G26" s="259"/>
      <c r="H26" s="258"/>
      <c r="I26" s="259"/>
      <c r="J26" s="247"/>
      <c r="K26" s="236"/>
    </row>
    <row r="27" spans="1:11" ht="15.75">
      <c r="A27" s="253"/>
      <c r="B27" s="265"/>
      <c r="C27" s="253"/>
      <c r="D27" s="257"/>
      <c r="E27" s="253"/>
      <c r="F27" s="258"/>
      <c r="G27" s="259"/>
      <c r="H27" s="258"/>
      <c r="I27" s="259"/>
      <c r="J27" s="247"/>
      <c r="K27" s="236"/>
    </row>
    <row r="28" spans="1:11" ht="15.75">
      <c r="A28" s="250" t="s">
        <v>213</v>
      </c>
      <c r="B28" s="249">
        <f>SUM(B20:B27)</f>
        <v>5258</v>
      </c>
      <c r="C28" s="250" t="s">
        <v>213</v>
      </c>
      <c r="D28" s="249">
        <f>SUM(D20:D27)</f>
        <v>6078</v>
      </c>
      <c r="E28" s="250" t="s">
        <v>213</v>
      </c>
      <c r="F28" s="323">
        <f>SUM(F20:F27)</f>
        <v>0</v>
      </c>
      <c r="G28" s="250" t="s">
        <v>213</v>
      </c>
      <c r="H28" s="323">
        <f>SUM(H20:H27)</f>
        <v>0</v>
      </c>
      <c r="I28" s="250" t="s">
        <v>213</v>
      </c>
      <c r="J28" s="249">
        <f>SUM(J20:J27)</f>
        <v>0</v>
      </c>
      <c r="K28" s="249">
        <f>SUM(B28+D28+F28+H28+J28)</f>
        <v>11336</v>
      </c>
    </row>
    <row r="29" spans="1:12" ht="15.75">
      <c r="A29" s="250" t="s">
        <v>344</v>
      </c>
      <c r="B29" s="249">
        <f>SUM(B18-B28)</f>
        <v>8829</v>
      </c>
      <c r="C29" s="250" t="s">
        <v>344</v>
      </c>
      <c r="D29" s="249">
        <f>SUM(D18-D28)</f>
        <v>7399</v>
      </c>
      <c r="E29" s="250" t="s">
        <v>344</v>
      </c>
      <c r="F29" s="249">
        <f>SUM(F18-F28)</f>
        <v>0</v>
      </c>
      <c r="G29" s="250" t="s">
        <v>344</v>
      </c>
      <c r="H29" s="249">
        <f>SUM(H18-H28)</f>
        <v>0</v>
      </c>
      <c r="I29" s="250" t="s">
        <v>344</v>
      </c>
      <c r="J29" s="249">
        <f>SUM(J18-J28)</f>
        <v>0</v>
      </c>
      <c r="K29" s="267">
        <f>SUM(B29+D29+F29+H29+J29)</f>
        <v>16228</v>
      </c>
      <c r="L29" s="268" t="s">
        <v>74</v>
      </c>
    </row>
    <row r="30" spans="1:12" ht="15.75">
      <c r="A30" s="250"/>
      <c r="B30" s="289">
        <f>IF(B29&lt;0,"See Tab B","")</f>
      </c>
      <c r="C30" s="250"/>
      <c r="D30" s="289">
        <f>IF(D29&lt;0,"See Tab B","")</f>
      </c>
      <c r="E30" s="250"/>
      <c r="F30" s="289">
        <f>IF(F29&lt;0,"See Tab B","")</f>
      </c>
      <c r="G30" s="66"/>
      <c r="H30" s="289">
        <f>IF(H29&lt;0,"See Tab B","")</f>
      </c>
      <c r="I30" s="66"/>
      <c r="J30" s="289">
        <f>IF(J29&lt;0,"See Tab B","")</f>
      </c>
      <c r="K30" s="267">
        <f>SUM(K7+K17-K28)</f>
        <v>16228</v>
      </c>
      <c r="L30" s="268" t="s">
        <v>74</v>
      </c>
    </row>
    <row r="31" spans="1:11" ht="15.75">
      <c r="A31" s="66"/>
      <c r="B31" s="269"/>
      <c r="C31" s="66"/>
      <c r="D31" s="236"/>
      <c r="E31" s="66"/>
      <c r="F31" s="66"/>
      <c r="G31" s="2" t="s">
        <v>75</v>
      </c>
      <c r="H31" s="2"/>
      <c r="I31" s="2"/>
      <c r="J31" s="2"/>
      <c r="K31" s="66"/>
    </row>
    <row r="32" spans="1:11" ht="15.75">
      <c r="A32" s="66"/>
      <c r="B32" s="269"/>
      <c r="C32" s="66"/>
      <c r="D32" s="66"/>
      <c r="E32" s="66"/>
      <c r="F32" s="66"/>
      <c r="G32" s="66"/>
      <c r="H32" s="66"/>
      <c r="I32" s="66"/>
      <c r="J32" s="66"/>
      <c r="K32" s="66"/>
    </row>
    <row r="33" spans="1:11" ht="15.75">
      <c r="A33" s="66"/>
      <c r="B33" s="269"/>
      <c r="C33" s="66"/>
      <c r="D33" s="66"/>
      <c r="E33" s="223" t="s">
        <v>216</v>
      </c>
      <c r="F33" s="514">
        <v>12</v>
      </c>
      <c r="G33" s="66"/>
      <c r="H33" s="66"/>
      <c r="I33" s="66"/>
      <c r="J33" s="66"/>
      <c r="K33" s="66"/>
    </row>
    <row r="34" ht="15.75">
      <c r="B34" s="270"/>
    </row>
    <row r="35" ht="15.75">
      <c r="B35" s="270"/>
    </row>
    <row r="36" ht="15.75">
      <c r="B36" s="270"/>
    </row>
    <row r="37" ht="15.75">
      <c r="B37" s="270"/>
    </row>
    <row r="38" ht="15.75">
      <c r="B38" s="270"/>
    </row>
    <row r="39" ht="15.75">
      <c r="B39" s="270"/>
    </row>
    <row r="40" ht="15.75">
      <c r="B40" s="270"/>
    </row>
    <row r="41" ht="15.75">
      <c r="B41" s="270"/>
    </row>
  </sheetData>
  <sheetProtection/>
  <mergeCells count="5">
    <mergeCell ref="I5:J5"/>
    <mergeCell ref="A5:B5"/>
    <mergeCell ref="C5:D5"/>
    <mergeCell ref="E5:F5"/>
    <mergeCell ref="G5:H5"/>
  </mergeCells>
  <printOptions/>
  <pageMargins left="0" right="0" top="1" bottom="1" header="0.5" footer="0.5"/>
  <pageSetup blackAndWhite="1" fitToHeight="1" fitToWidth="1" horizontalDpi="600" verticalDpi="600" orientation="landscape" scale="93"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M43"/>
  <sheetViews>
    <sheetView zoomScale="75" zoomScaleNormal="75" zoomScalePageLayoutView="0" workbookViewId="0" topLeftCell="A19">
      <selection activeCell="D25" sqref="D25"/>
    </sheetView>
  </sheetViews>
  <sheetFormatPr defaultColWidth="8.796875" defaultRowHeight="15"/>
  <cols>
    <col min="1" max="1" width="20.796875" style="1" customWidth="1"/>
    <col min="2" max="2" width="15.796875" style="1" customWidth="1"/>
    <col min="3" max="3" width="10.796875" style="1" customWidth="1"/>
    <col min="4" max="4" width="15.796875" style="1" customWidth="1"/>
    <col min="5" max="5" width="10.796875" style="1" customWidth="1"/>
    <col min="6" max="6" width="15.796875" style="1" customWidth="1"/>
    <col min="7" max="7" width="12.796875" style="1" customWidth="1"/>
    <col min="8" max="8" width="10.796875" style="1" customWidth="1"/>
    <col min="9" max="9" width="8.8984375" style="1" customWidth="1"/>
    <col min="10" max="10" width="12.3984375" style="1" customWidth="1"/>
    <col min="11" max="11" width="12.296875" style="1" customWidth="1"/>
    <col min="12" max="12" width="10.59765625" style="1" customWidth="1"/>
    <col min="13" max="13" width="12.09765625" style="1" customWidth="1"/>
    <col min="14" max="16384" width="8.8984375" style="1" customWidth="1"/>
  </cols>
  <sheetData>
    <row r="1" spans="1:8" ht="15.75">
      <c r="A1" s="66"/>
      <c r="B1" s="66"/>
      <c r="C1" s="66"/>
      <c r="D1" s="66"/>
      <c r="E1" s="66"/>
      <c r="F1" s="66"/>
      <c r="G1" s="66"/>
      <c r="H1" s="66">
        <f>inputPrYr!$C$5</f>
        <v>2013</v>
      </c>
    </row>
    <row r="2" spans="1:9" ht="15.75">
      <c r="A2" s="543" t="s">
        <v>260</v>
      </c>
      <c r="B2" s="543"/>
      <c r="C2" s="543"/>
      <c r="D2" s="543"/>
      <c r="E2" s="543"/>
      <c r="F2" s="543"/>
      <c r="G2" s="543"/>
      <c r="H2" s="543"/>
      <c r="I2" s="271"/>
    </row>
    <row r="3" spans="1:8" ht="15.75">
      <c r="A3" s="4"/>
      <c r="B3" s="4"/>
      <c r="C3" s="4"/>
      <c r="D3" s="4"/>
      <c r="E3" s="4"/>
      <c r="F3" s="4"/>
      <c r="G3" s="4"/>
      <c r="H3" s="4"/>
    </row>
    <row r="4" spans="1:8" ht="15.75">
      <c r="A4" s="535" t="s">
        <v>218</v>
      </c>
      <c r="B4" s="535"/>
      <c r="C4" s="535"/>
      <c r="D4" s="535"/>
      <c r="E4" s="535"/>
      <c r="F4" s="535"/>
      <c r="G4" s="535"/>
      <c r="H4" s="535"/>
    </row>
    <row r="5" spans="1:8" ht="15.75">
      <c r="A5" s="533" t="str">
        <f>inputPrYr!D2</f>
        <v>City of LaHarpe</v>
      </c>
      <c r="B5" s="533"/>
      <c r="C5" s="533"/>
      <c r="D5" s="533"/>
      <c r="E5" s="533"/>
      <c r="F5" s="533"/>
      <c r="G5" s="533"/>
      <c r="H5" s="533"/>
    </row>
    <row r="6" spans="1:8" ht="15.75">
      <c r="A6" s="578" t="str">
        <f>CONCATENATE("will meet on ",inputBudSum!B7," at ",inputBudSum!B9," at ",inputBudSum!B11," for the purpose of")</f>
        <v>will meet on August 15, 2012 at 5:30 PM at LaHarpe City Hall for the purpose of</v>
      </c>
      <c r="B6" s="578"/>
      <c r="C6" s="578"/>
      <c r="D6" s="578"/>
      <c r="E6" s="578"/>
      <c r="F6" s="578"/>
      <c r="G6" s="578"/>
      <c r="H6" s="578"/>
    </row>
    <row r="7" spans="1:8" ht="15.75">
      <c r="A7" s="535" t="s">
        <v>0</v>
      </c>
      <c r="B7" s="535"/>
      <c r="C7" s="535"/>
      <c r="D7" s="535"/>
      <c r="E7" s="535"/>
      <c r="F7" s="535"/>
      <c r="G7" s="535"/>
      <c r="H7" s="535"/>
    </row>
    <row r="8" spans="1:8" ht="15.75">
      <c r="A8" s="535" t="str">
        <f>CONCATENATE("Detailed budget information is available at ",inputBudSum!B14," and will be available at this hearing.")</f>
        <v>Detailed budget information is available at LaHarpe City Hall and will be available at this hearing.</v>
      </c>
      <c r="B8" s="535"/>
      <c r="C8" s="535"/>
      <c r="D8" s="535"/>
      <c r="E8" s="535"/>
      <c r="F8" s="535"/>
      <c r="G8" s="535"/>
      <c r="H8" s="535"/>
    </row>
    <row r="9" spans="1:8" ht="15.75">
      <c r="A9" s="12" t="s">
        <v>261</v>
      </c>
      <c r="B9" s="13"/>
      <c r="C9" s="13"/>
      <c r="D9" s="13"/>
      <c r="E9" s="13"/>
      <c r="F9" s="13"/>
      <c r="G9" s="13"/>
      <c r="H9" s="13"/>
    </row>
    <row r="10" spans="1:8" ht="15.75">
      <c r="A10" s="14" t="str">
        <f>CONCATENATE("Proposed Budget ",H1," Expenditures and Amount of  ",H1-1," Ad Valorem Tax establish the maximum limits of the ",H1," budget.")</f>
        <v>Proposed Budget 2013 Expenditures and Amount of  2012 Ad Valorem Tax establish the maximum limits of the 2013 budget.</v>
      </c>
      <c r="B10" s="13"/>
      <c r="C10" s="13"/>
      <c r="D10" s="13"/>
      <c r="E10" s="13"/>
      <c r="F10" s="13"/>
      <c r="G10" s="13"/>
      <c r="H10" s="13"/>
    </row>
    <row r="11" spans="1:8" ht="15.75">
      <c r="A11" s="14" t="s">
        <v>324</v>
      </c>
      <c r="B11" s="13"/>
      <c r="C11" s="13"/>
      <c r="D11" s="13"/>
      <c r="E11" s="13"/>
      <c r="F11" s="13"/>
      <c r="G11" s="13"/>
      <c r="H11" s="13"/>
    </row>
    <row r="12" spans="1:8" ht="15.75">
      <c r="A12" s="4"/>
      <c r="B12" s="231"/>
      <c r="C12" s="231"/>
      <c r="D12" s="231"/>
      <c r="E12" s="231"/>
      <c r="F12" s="231"/>
      <c r="G12" s="231"/>
      <c r="H12" s="231"/>
    </row>
    <row r="13" spans="1:8" ht="15.75">
      <c r="A13" s="4"/>
      <c r="B13" s="272" t="str">
        <f>CONCATENATE("Prior Year Actual for ",H1-2,"")</f>
        <v>Prior Year Actual for 2011</v>
      </c>
      <c r="C13" s="102"/>
      <c r="D13" s="272" t="str">
        <f>CONCATENATE("Current Year Estimate for ",H1-1,"")</f>
        <v>Current Year Estimate for 2012</v>
      </c>
      <c r="E13" s="102"/>
      <c r="F13" s="100" t="str">
        <f>CONCATENATE("Proposed Budget for ",H1,"")</f>
        <v>Proposed Budget for 2013</v>
      </c>
      <c r="G13" s="101"/>
      <c r="H13" s="102"/>
    </row>
    <row r="14" spans="1:8" ht="21" customHeight="1">
      <c r="A14" s="4"/>
      <c r="B14" s="225"/>
      <c r="C14" s="105" t="s">
        <v>219</v>
      </c>
      <c r="D14" s="105"/>
      <c r="E14" s="105" t="s">
        <v>219</v>
      </c>
      <c r="F14" s="329" t="s">
        <v>81</v>
      </c>
      <c r="G14" s="105" t="str">
        <f>CONCATENATE("Amount of ",H1-1,"")</f>
        <v>Amount of 2012</v>
      </c>
      <c r="H14" s="105" t="s">
        <v>372</v>
      </c>
    </row>
    <row r="15" spans="1:8" ht="15.75">
      <c r="A15" s="27" t="s">
        <v>220</v>
      </c>
      <c r="B15" s="109" t="s">
        <v>221</v>
      </c>
      <c r="C15" s="109" t="s">
        <v>222</v>
      </c>
      <c r="D15" s="109" t="s">
        <v>221</v>
      </c>
      <c r="E15" s="109" t="s">
        <v>222</v>
      </c>
      <c r="F15" s="330" t="s">
        <v>16</v>
      </c>
      <c r="G15" s="110" t="s">
        <v>201</v>
      </c>
      <c r="H15" s="109" t="s">
        <v>222</v>
      </c>
    </row>
    <row r="16" spans="1:8" ht="15.75">
      <c r="A16" s="48" t="str">
        <f>inputPrYr!B17</f>
        <v>General</v>
      </c>
      <c r="B16" s="172">
        <f>IF(general!$C$115&lt;&gt;0,general!$C$115,"  ")</f>
        <v>143031</v>
      </c>
      <c r="C16" s="39">
        <f>IF(inputPrYr!D64&gt;0,inputPrYr!D64,"  ")</f>
        <v>54.15</v>
      </c>
      <c r="D16" s="172">
        <f>IF(general!$D$115&lt;&gt;0,general!$D$115,"  ")</f>
        <v>118799</v>
      </c>
      <c r="E16" s="39">
        <f>IF(inputOth!D21&gt;0,inputOth!D21,"  ")</f>
        <v>53.446</v>
      </c>
      <c r="F16" s="172">
        <f>IF(general!$E$115&lt;&gt;0,general!$E$115,"  ")</f>
        <v>212307</v>
      </c>
      <c r="G16" s="172">
        <f>IF(general!$E$122&lt;&gt;0,general!$E$122,"  ")</f>
        <v>83482</v>
      </c>
      <c r="H16" s="39">
        <f>IF(general!E122&gt;0,ROUND(G16/$F$30*1000,3),"  ")</f>
        <v>53.446</v>
      </c>
    </row>
    <row r="17" spans="1:8" ht="15.75">
      <c r="A17" s="48" t="str">
        <f>IF(inputPrYr!$B18&gt;"  ",(inputPrYr!$B18),"  ")</f>
        <v>Bond &amp; Interest</v>
      </c>
      <c r="B17" s="172">
        <f>IF('Bond &amp; Interest'!C33&lt;&gt;0,'Bond &amp; Interest'!C33,"  ")</f>
        <v>51187</v>
      </c>
      <c r="C17" s="39" t="str">
        <f>IF(inputPrYr!D65&gt;0,inputPrYr!D65,"  ")</f>
        <v>  </v>
      </c>
      <c r="D17" s="172">
        <f>IF('Bond &amp; Interest'!D33&lt;&gt;0,'Bond &amp; Interest'!D33,"  ")</f>
        <v>51186</v>
      </c>
      <c r="E17" s="39" t="str">
        <f>IF(inputOth!D22&gt;0,inputOth!D22,"  ")</f>
        <v>  </v>
      </c>
      <c r="F17" s="172">
        <f>IF('Bond &amp; Interest'!E33&lt;&gt;0,'Bond &amp; Interest'!E33,"  ")</f>
        <v>51186</v>
      </c>
      <c r="G17" s="172" t="str">
        <f>IF('Bond &amp; Interest'!E40&lt;&gt;0,'Bond &amp; Interest'!E40," ")</f>
        <v> </v>
      </c>
      <c r="H17" s="39" t="str">
        <f>IF('Bond &amp; Interest'!E40&gt;0,ROUND(G17/$F$30*1000,3)," ")</f>
        <v> </v>
      </c>
    </row>
    <row r="18" spans="1:8" ht="15.75">
      <c r="A18" s="48" t="str">
        <f>IF(inputPrYr!$B34&gt;"  ",(inputPrYr!$B34),"  ")</f>
        <v>Special Highway</v>
      </c>
      <c r="B18" s="172">
        <f>IF('Sp Hiway &amp; Water'!$C$28&gt;0,'Sp Hiway &amp; Water'!$C$28,"  ")</f>
        <v>34287</v>
      </c>
      <c r="C18" s="28"/>
      <c r="D18" s="172">
        <f>IF('Sp Hiway &amp; Water'!$D$28&gt;0,'Sp Hiway &amp; Water'!$D$28,"  ")</f>
        <v>22058</v>
      </c>
      <c r="E18" s="28"/>
      <c r="F18" s="172">
        <f>IF('Sp Hiway &amp; Water'!$E$28&gt;0,'Sp Hiway &amp; Water'!$E$28,"  ")</f>
        <v>39372</v>
      </c>
      <c r="G18" s="172"/>
      <c r="H18" s="28"/>
    </row>
    <row r="19" spans="1:8" ht="15.75">
      <c r="A19" s="48" t="str">
        <f>IF(inputPrYr!$B35&gt;"  ",(inputPrYr!$B35),"  ")</f>
        <v>Water Utility</v>
      </c>
      <c r="B19" s="172">
        <f>IF('Sp Hiway &amp; Water'!$C$59&gt;0,'Sp Hiway &amp; Water'!$C$59,"  ")</f>
        <v>106210</v>
      </c>
      <c r="C19" s="28"/>
      <c r="D19" s="172">
        <f>IF('Sp Hiway &amp; Water'!$D$59&gt;0,'Sp Hiway &amp; Water'!$D$59,"  ")</f>
        <v>123146</v>
      </c>
      <c r="E19" s="28"/>
      <c r="F19" s="172">
        <f>IF('Sp Hiway &amp; Water'!$E$59&gt;0,'Sp Hiway &amp; Water'!$E$59,"  ")</f>
        <v>135358</v>
      </c>
      <c r="G19" s="172"/>
      <c r="H19" s="28"/>
    </row>
    <row r="20" spans="1:8" ht="15.75">
      <c r="A20" s="48" t="str">
        <f>IF(inputPrYr!$B36&gt;"  ",(inputPrYr!$B36),"  ")</f>
        <v>Electric Utility</v>
      </c>
      <c r="B20" s="172">
        <f>IF('Electric &amp; Sewer'!$C$30&gt;0,'Electric &amp; Sewer'!$C$30,"  ")</f>
        <v>316785</v>
      </c>
      <c r="C20" s="28"/>
      <c r="D20" s="172">
        <f>IF('Electric &amp; Sewer'!$D$30&gt;0,'Electric &amp; Sewer'!$D$30,"  ")</f>
        <v>296462</v>
      </c>
      <c r="E20" s="28"/>
      <c r="F20" s="172">
        <f>IF('Electric &amp; Sewer'!$E$30&gt;0,'Electric &amp; Sewer'!$E$30,"  ")</f>
        <v>511308</v>
      </c>
      <c r="G20" s="172"/>
      <c r="H20" s="28"/>
    </row>
    <row r="21" spans="1:13" ht="15.75">
      <c r="A21" s="48" t="str">
        <f>IF(inputPrYr!$B37&gt;"  ",(inputPrYr!$B37),"  ")</f>
        <v>Sewer Utility</v>
      </c>
      <c r="B21" s="172">
        <f>IF('Electric &amp; Sewer'!$C$61&gt;0,'Electric &amp; Sewer'!$C$61,"  ")</f>
        <v>77921</v>
      </c>
      <c r="C21" s="28"/>
      <c r="D21" s="172">
        <f>IF('Electric &amp; Sewer'!$D$61&gt;0,'Electric &amp; Sewer'!$D$61,"  ")</f>
        <v>80197</v>
      </c>
      <c r="E21" s="28"/>
      <c r="F21" s="172">
        <f>IF('Electric &amp; Sewer'!$E$61&gt;0,'Electric &amp; Sewer'!$E$61,"  ")</f>
        <v>112115</v>
      </c>
      <c r="G21" s="172"/>
      <c r="H21" s="28"/>
      <c r="J21" s="579" t="str">
        <f>CONCATENATE("Estimated Value Of One Mill For ",H1,"")</f>
        <v>Estimated Value Of One Mill For 2013</v>
      </c>
      <c r="K21" s="580"/>
      <c r="L21" s="580"/>
      <c r="M21" s="581"/>
    </row>
    <row r="22" spans="1:13" ht="15.75">
      <c r="A22" s="48" t="str">
        <f>IF(inputPrYr!$B38&gt;"  ",(inputPrYr!$B38),"  ")</f>
        <v>Trash Utility</v>
      </c>
      <c r="B22" s="172">
        <f>IF('Trash &amp; Eq Res'!$C$28&gt;0,'Trash &amp; Eq Res'!$C$28,"  ")</f>
        <v>15077</v>
      </c>
      <c r="C22" s="28"/>
      <c r="D22" s="172">
        <f>IF('Trash &amp; Eq Res'!$D$28&gt;0,'Trash &amp; Eq Res'!$D$28,"  ")</f>
        <v>15958</v>
      </c>
      <c r="E22" s="28"/>
      <c r="F22" s="172">
        <f>IF('Trash &amp; Eq Res'!$E$28&gt;0,'Trash &amp; Eq Res'!$E$28,"  ")</f>
        <v>22315</v>
      </c>
      <c r="G22" s="172"/>
      <c r="H22" s="28"/>
      <c r="J22" s="363"/>
      <c r="K22" s="364"/>
      <c r="L22" s="364"/>
      <c r="M22" s="365"/>
    </row>
    <row r="23" spans="1:13" ht="15.75">
      <c r="A23" s="48" t="str">
        <f>IF(inputPrYr!$B39&gt;"  ",(inputPrYr!$B39),"  ")</f>
        <v>Equipment Reserve</v>
      </c>
      <c r="B23" s="172">
        <f>IF('Trash &amp; Eq Res'!$C$59&gt;0,'Trash &amp; Eq Res'!$C$59,"  ")</f>
        <v>5500</v>
      </c>
      <c r="C23" s="28"/>
      <c r="D23" s="172" t="str">
        <f>IF('Trash &amp; Eq Res'!$D$59&gt;0,'Trash &amp; Eq Res'!$D$59,"  ")</f>
        <v>  </v>
      </c>
      <c r="E23" s="28"/>
      <c r="F23" s="172">
        <f>IF('Trash &amp; Eq Res'!$E$59&gt;0,'Trash &amp; Eq Res'!$E$59,"  ")</f>
        <v>31184</v>
      </c>
      <c r="G23" s="172"/>
      <c r="H23" s="28"/>
      <c r="J23" s="363"/>
      <c r="K23" s="364"/>
      <c r="L23" s="364"/>
      <c r="M23" s="365"/>
    </row>
    <row r="24" spans="1:13" ht="15.75">
      <c r="A24" s="48" t="str">
        <f>IF(inputPrYr!$B51&gt;" ",(NonBudA!$A3),"  ")</f>
        <v>Non-Budgeted Funds-A</v>
      </c>
      <c r="B24" s="172">
        <f>IF(NonBudA!$K$28&gt;0,NonBudA!$K$28,"  ")</f>
        <v>11336</v>
      </c>
      <c r="C24" s="28"/>
      <c r="D24" s="172"/>
      <c r="E24" s="28"/>
      <c r="F24" s="172"/>
      <c r="G24" s="172"/>
      <c r="H24" s="28"/>
      <c r="J24" s="385" t="e">
        <f>IF(M24&lt;0,"Reduced By:","")</f>
        <v>#REF!</v>
      </c>
      <c r="K24" s="386"/>
      <c r="L24" s="386"/>
      <c r="M24" s="387" t="e">
        <f>IF(M29&gt;0,M29*-1,0)</f>
        <v>#REF!</v>
      </c>
    </row>
    <row r="25" spans="1:13" ht="15.75">
      <c r="A25" s="104" t="s">
        <v>34</v>
      </c>
      <c r="B25" s="37">
        <f>SUM(B16:B24)</f>
        <v>761334</v>
      </c>
      <c r="C25" s="324">
        <f>SUM(C16:C17)</f>
        <v>54.15</v>
      </c>
      <c r="D25" s="37">
        <f>SUM(D16:D24)</f>
        <v>707806</v>
      </c>
      <c r="E25" s="324">
        <f>SUM(E16:E17)</f>
        <v>53.446</v>
      </c>
      <c r="F25" s="37">
        <f>SUM(F16:F24)</f>
        <v>1115145</v>
      </c>
      <c r="G25" s="37">
        <f>SUM(G16:G24)</f>
        <v>83482</v>
      </c>
      <c r="H25" s="51">
        <f>SUM(H16:H17)</f>
        <v>53.446</v>
      </c>
      <c r="J25" s="579" t="str">
        <f>CONCATENATE("Impact On Keeping The Same Mill Rate As For ",H1-1,"")</f>
        <v>Impact On Keeping The Same Mill Rate As For 2012</v>
      </c>
      <c r="K25" s="584"/>
      <c r="L25" s="584"/>
      <c r="M25" s="585"/>
    </row>
    <row r="26" spans="1:13" ht="15.75">
      <c r="A26" s="9" t="s">
        <v>223</v>
      </c>
      <c r="B26" s="348">
        <f>transfers!C28</f>
        <v>37683</v>
      </c>
      <c r="C26" s="379"/>
      <c r="D26" s="348">
        <f>transfers!D28</f>
        <v>45682</v>
      </c>
      <c r="E26" s="379"/>
      <c r="F26" s="348">
        <f>transfers!E28</f>
        <v>45682</v>
      </c>
      <c r="G26" s="38"/>
      <c r="H26" s="32"/>
      <c r="I26" s="361"/>
      <c r="J26" s="368"/>
      <c r="K26" s="364"/>
      <c r="L26" s="364"/>
      <c r="M26" s="369"/>
    </row>
    <row r="27" spans="1:13" ht="16.5" thickBot="1">
      <c r="A27" s="9" t="s">
        <v>224</v>
      </c>
      <c r="B27" s="321">
        <f>B25-B26</f>
        <v>723651</v>
      </c>
      <c r="C27" s="4"/>
      <c r="D27" s="321">
        <f>D25-D26</f>
        <v>662124</v>
      </c>
      <c r="E27" s="4"/>
      <c r="F27" s="321">
        <f>F25-F26</f>
        <v>1069463</v>
      </c>
      <c r="G27" s="4"/>
      <c r="H27" s="4"/>
      <c r="J27" s="368" t="str">
        <f>CONCATENATE("",H1," Ad Valorem Tax Revenue:")</f>
        <v>2013 Ad Valorem Tax Revenue:</v>
      </c>
      <c r="K27" s="364"/>
      <c r="L27" s="364"/>
      <c r="M27" s="365">
        <f>G25</f>
        <v>83482</v>
      </c>
    </row>
    <row r="28" spans="1:13" ht="16.5" thickTop="1">
      <c r="A28" s="9" t="s">
        <v>225</v>
      </c>
      <c r="B28" s="348">
        <f>inputPrYr!E79</f>
        <v>81466</v>
      </c>
      <c r="C28" s="131"/>
      <c r="D28" s="348">
        <f>inputPrYr!E31</f>
        <v>82874</v>
      </c>
      <c r="E28" s="131"/>
      <c r="F28" s="273" t="s">
        <v>189</v>
      </c>
      <c r="G28" s="4"/>
      <c r="H28" s="4"/>
      <c r="J28" s="368" t="str">
        <f>CONCATENATE("",H1-1," Ad Valorem Tax Revenue:")</f>
        <v>2012 Ad Valorem Tax Revenue:</v>
      </c>
      <c r="K28" s="364"/>
      <c r="L28" s="364"/>
      <c r="M28" s="374" t="e">
        <f>ROUND(F30*#REF!/1000,0)</f>
        <v>#REF!</v>
      </c>
    </row>
    <row r="29" spans="1:13" ht="15.75">
      <c r="A29" s="9" t="s">
        <v>226</v>
      </c>
      <c r="B29" s="349"/>
      <c r="C29" s="4"/>
      <c r="D29" s="349"/>
      <c r="E29" s="149"/>
      <c r="F29" s="113"/>
      <c r="G29" s="4"/>
      <c r="H29" s="4"/>
      <c r="J29" s="371" t="s">
        <v>30</v>
      </c>
      <c r="K29" s="372"/>
      <c r="L29" s="372"/>
      <c r="M29" s="366" t="e">
        <f>SUM(M27-M28)</f>
        <v>#REF!</v>
      </c>
    </row>
    <row r="30" spans="1:13" ht="15.75">
      <c r="A30" s="9" t="s">
        <v>227</v>
      </c>
      <c r="B30" s="348">
        <f>inputPrYr!E80</f>
        <v>1504439</v>
      </c>
      <c r="C30" s="40"/>
      <c r="D30" s="348">
        <f>inputOth!E36</f>
        <v>1550608</v>
      </c>
      <c r="E30" s="40"/>
      <c r="F30" s="348">
        <f>inputOth!E7</f>
        <v>1561999</v>
      </c>
      <c r="G30" s="4"/>
      <c r="H30" s="4"/>
      <c r="J30" s="367"/>
      <c r="K30" s="367"/>
      <c r="L30" s="367"/>
      <c r="M30" s="373"/>
    </row>
    <row r="31" spans="1:13" ht="15.75">
      <c r="A31" s="9" t="s">
        <v>228</v>
      </c>
      <c r="B31" s="4"/>
      <c r="C31" s="4"/>
      <c r="D31" s="4"/>
      <c r="E31" s="4"/>
      <c r="F31" s="4"/>
      <c r="G31" s="4"/>
      <c r="H31" s="4"/>
      <c r="J31" s="579" t="s">
        <v>31</v>
      </c>
      <c r="K31" s="582"/>
      <c r="L31" s="582"/>
      <c r="M31" s="583"/>
    </row>
    <row r="32" spans="1:13" ht="15.75">
      <c r="A32" s="9" t="s">
        <v>229</v>
      </c>
      <c r="B32" s="274">
        <f>$H$1-3</f>
        <v>2010</v>
      </c>
      <c r="C32" s="4"/>
      <c r="D32" s="274">
        <f>$H$1-2</f>
        <v>2011</v>
      </c>
      <c r="E32" s="4"/>
      <c r="F32" s="274">
        <f>$H$1-1</f>
        <v>2012</v>
      </c>
      <c r="G32" s="4"/>
      <c r="H32" s="4"/>
      <c r="J32" s="368"/>
      <c r="K32" s="364"/>
      <c r="L32" s="364"/>
      <c r="M32" s="369"/>
    </row>
    <row r="33" spans="1:13" ht="15.75">
      <c r="A33" s="9" t="s">
        <v>230</v>
      </c>
      <c r="B33" s="162">
        <f>inputPrYr!D83</f>
        <v>0</v>
      </c>
      <c r="C33" s="4"/>
      <c r="D33" s="162">
        <f>inputPrYr!E83</f>
        <v>0</v>
      </c>
      <c r="E33" s="4"/>
      <c r="F33" s="162">
        <f>debt!G20</f>
        <v>0</v>
      </c>
      <c r="G33" s="4"/>
      <c r="H33" s="4"/>
      <c r="J33" s="368" t="str">
        <f>CONCATENATE("Current ",H1," Estimated Mill Rate:")</f>
        <v>Current 2013 Estimated Mill Rate:</v>
      </c>
      <c r="K33" s="364"/>
      <c r="L33" s="364"/>
      <c r="M33" s="370">
        <f>H25</f>
        <v>53.446</v>
      </c>
    </row>
    <row r="34" spans="1:13" ht="15.75">
      <c r="A34" s="9" t="s">
        <v>231</v>
      </c>
      <c r="B34" s="162">
        <f>inputPrYr!D84</f>
        <v>0</v>
      </c>
      <c r="C34" s="4"/>
      <c r="D34" s="162">
        <f>inputPrYr!E84</f>
        <v>0</v>
      </c>
      <c r="E34" s="4"/>
      <c r="F34" s="162">
        <f>debt!G32</f>
        <v>0</v>
      </c>
      <c r="G34" s="4"/>
      <c r="H34" s="4"/>
      <c r="J34" s="368" t="str">
        <f>CONCATENATE("Desired ",H1," Mill Rate:")</f>
        <v>Desired 2013 Mill Rate:</v>
      </c>
      <c r="K34" s="364"/>
      <c r="L34" s="364"/>
      <c r="M34" s="362">
        <v>0</v>
      </c>
    </row>
    <row r="35" spans="1:13" ht="15.75">
      <c r="A35" s="4" t="s">
        <v>249</v>
      </c>
      <c r="B35" s="162">
        <f>inputPrYr!D85</f>
        <v>437027</v>
      </c>
      <c r="C35" s="4"/>
      <c r="D35" s="162">
        <f>inputPrYr!E85</f>
        <v>399140</v>
      </c>
      <c r="E35" s="4"/>
      <c r="F35" s="162">
        <f>debt!G42</f>
        <v>360065</v>
      </c>
      <c r="G35" s="4"/>
      <c r="H35" s="4"/>
      <c r="J35" s="368" t="s">
        <v>32</v>
      </c>
      <c r="K35" s="364"/>
      <c r="L35" s="364"/>
      <c r="M35" s="374">
        <f>ROUND(F30*M34/1000,0)</f>
        <v>0</v>
      </c>
    </row>
    <row r="36" spans="1:13" ht="15.75">
      <c r="A36" s="9" t="s">
        <v>325</v>
      </c>
      <c r="B36" s="162">
        <f>inputPrYr!D86</f>
        <v>0</v>
      </c>
      <c r="C36" s="4"/>
      <c r="D36" s="162">
        <f>inputPrYr!E86</f>
        <v>0</v>
      </c>
      <c r="E36" s="4"/>
      <c r="F36" s="162">
        <f>lpform!G28</f>
        <v>7687</v>
      </c>
      <c r="G36" s="4"/>
      <c r="H36" s="4"/>
      <c r="J36" s="371" t="str">
        <f>CONCATENATE("",H1," Tax Levy Fund Exp. Changed By:")</f>
        <v>2013 Tax Levy Fund Exp. Changed By:</v>
      </c>
      <c r="K36" s="372"/>
      <c r="L36" s="372"/>
      <c r="M36" s="366">
        <f>IF(M34=0,0,(M35-G25))</f>
        <v>0</v>
      </c>
    </row>
    <row r="37" spans="1:8" ht="16.5" thickBot="1">
      <c r="A37" s="9" t="s">
        <v>232</v>
      </c>
      <c r="B37" s="375">
        <f>SUM(B33:B36)</f>
        <v>437027</v>
      </c>
      <c r="C37" s="4"/>
      <c r="D37" s="375">
        <f>SUM(D33:D36)</f>
        <v>399140</v>
      </c>
      <c r="E37" s="4"/>
      <c r="F37" s="375">
        <f>SUM(F33:F36)</f>
        <v>367752</v>
      </c>
      <c r="G37" s="4"/>
      <c r="H37" s="4"/>
    </row>
    <row r="38" spans="1:8" ht="16.5" thickTop="1">
      <c r="A38" s="9" t="s">
        <v>233</v>
      </c>
      <c r="B38" s="4"/>
      <c r="C38" s="4"/>
      <c r="D38" s="4"/>
      <c r="E38" s="4"/>
      <c r="F38" s="4"/>
      <c r="G38" s="4"/>
      <c r="H38" s="4"/>
    </row>
    <row r="39" spans="1:8" ht="15.75">
      <c r="A39" s="4"/>
      <c r="B39" s="4"/>
      <c r="C39" s="4"/>
      <c r="D39" s="4"/>
      <c r="E39" s="4"/>
      <c r="F39" s="4"/>
      <c r="G39" s="4"/>
      <c r="H39" s="4"/>
    </row>
    <row r="40" spans="1:8" ht="15.75">
      <c r="A40" s="586"/>
      <c r="B40" s="587"/>
      <c r="C40" s="4"/>
      <c r="D40" s="4"/>
      <c r="E40" s="4"/>
      <c r="F40" s="4"/>
      <c r="G40" s="4"/>
      <c r="H40" s="4"/>
    </row>
    <row r="41" spans="1:8" ht="15.75">
      <c r="A41" s="127" t="s">
        <v>371</v>
      </c>
      <c r="B41" s="470" t="str">
        <f>inputBudSum!B5</f>
        <v>City Clerk</v>
      </c>
      <c r="C41" s="328"/>
      <c r="D41" s="4"/>
      <c r="E41" s="4"/>
      <c r="F41" s="4"/>
      <c r="G41" s="4"/>
      <c r="H41" s="4"/>
    </row>
    <row r="42" spans="1:8" ht="15.75">
      <c r="A42" s="4"/>
      <c r="B42" s="4"/>
      <c r="C42" s="4"/>
      <c r="D42" s="4"/>
      <c r="E42" s="4"/>
      <c r="F42" s="4"/>
      <c r="G42" s="4"/>
      <c r="H42" s="4"/>
    </row>
    <row r="43" spans="1:8" ht="15.75">
      <c r="A43" s="4"/>
      <c r="B43" s="4"/>
      <c r="C43" s="99" t="s">
        <v>209</v>
      </c>
      <c r="D43" s="514">
        <v>13</v>
      </c>
      <c r="E43" s="4"/>
      <c r="F43" s="4"/>
      <c r="G43" s="4"/>
      <c r="H43" s="4"/>
    </row>
  </sheetData>
  <sheetProtection/>
  <mergeCells count="10">
    <mergeCell ref="A6:H6"/>
    <mergeCell ref="J21:M21"/>
    <mergeCell ref="J31:M31"/>
    <mergeCell ref="J25:M25"/>
    <mergeCell ref="A40:B40"/>
    <mergeCell ref="A2:H2"/>
    <mergeCell ref="A5:H5"/>
    <mergeCell ref="A7:H7"/>
    <mergeCell ref="A8:H8"/>
    <mergeCell ref="A4:H4"/>
  </mergeCells>
  <printOptions/>
  <pageMargins left="0.5" right="0.5" top="1" bottom="0.5" header="0.5" footer="0.5"/>
  <pageSetup blackAndWhite="1" fitToHeight="1" fitToWidth="1" horizontalDpi="120" verticalDpi="120" orientation="portrait" scale="66"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0">
      <selection activeCell="L10" sqref="L10"/>
    </sheetView>
  </sheetViews>
  <sheetFormatPr defaultColWidth="8.79687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E85"/>
  <sheetViews>
    <sheetView zoomScalePageLayoutView="0" workbookViewId="0" topLeftCell="A67">
      <selection activeCell="B80" sqref="B80"/>
    </sheetView>
  </sheetViews>
  <sheetFormatPr defaultColWidth="8.796875" defaultRowHeight="15"/>
  <cols>
    <col min="1" max="1" width="15.796875" style="63" customWidth="1"/>
    <col min="2" max="2" width="20.796875" style="63" customWidth="1"/>
    <col min="3" max="3" width="9.796875" style="63" customWidth="1"/>
    <col min="4" max="4" width="15.09765625" style="63" customWidth="1"/>
    <col min="5" max="5" width="15.796875" style="63" customWidth="1"/>
    <col min="6" max="16384" width="8.8984375" style="63" customWidth="1"/>
  </cols>
  <sheetData>
    <row r="1" spans="1:5" ht="15.75">
      <c r="A1" s="64" t="str">
        <f>inputPrYr!$D$2</f>
        <v>City of LaHarpe</v>
      </c>
      <c r="B1" s="65"/>
      <c r="C1" s="65"/>
      <c r="D1" s="65"/>
      <c r="E1" s="66">
        <f>inputPrYr!C5</f>
        <v>2013</v>
      </c>
    </row>
    <row r="2" spans="1:5" ht="15">
      <c r="A2" s="65"/>
      <c r="B2" s="65"/>
      <c r="C2" s="65"/>
      <c r="D2" s="65"/>
      <c r="E2" s="65"/>
    </row>
    <row r="3" spans="1:5" ht="15.75">
      <c r="A3" s="517" t="s">
        <v>68</v>
      </c>
      <c r="B3" s="518"/>
      <c r="C3" s="518"/>
      <c r="D3" s="518"/>
      <c r="E3" s="518"/>
    </row>
    <row r="4" spans="1:5" ht="15.75">
      <c r="A4" s="15"/>
      <c r="B4" s="15"/>
      <c r="C4" s="15"/>
      <c r="D4" s="15"/>
      <c r="E4" s="15"/>
    </row>
    <row r="5" spans="1:5" ht="15.75">
      <c r="A5" s="15"/>
      <c r="B5" s="15"/>
      <c r="C5" s="15"/>
      <c r="D5" s="15"/>
      <c r="E5" s="15"/>
    </row>
    <row r="6" spans="1:5" ht="15.75">
      <c r="A6" s="18" t="str">
        <f>CONCATENATE("From the County Clerks ",E1," Budget Information:")</f>
        <v>From the County Clerks 2013 Budget Information:</v>
      </c>
      <c r="B6" s="19"/>
      <c r="C6" s="19"/>
      <c r="D6" s="4"/>
      <c r="E6" s="31"/>
    </row>
    <row r="7" spans="1:5" ht="15.75">
      <c r="A7" s="67" t="str">
        <f>CONCATENATE("Total Assessed Valuation for ",E1-1,"")</f>
        <v>Total Assessed Valuation for 2012</v>
      </c>
      <c r="B7" s="56"/>
      <c r="C7" s="56"/>
      <c r="D7" s="56"/>
      <c r="E7" s="30">
        <v>1561999</v>
      </c>
    </row>
    <row r="8" spans="1:5" ht="15.75">
      <c r="A8" s="67" t="str">
        <f>CONCATENATE("New Improvements for ",E1-1,"")</f>
        <v>New Improvements for 2012</v>
      </c>
      <c r="B8" s="56"/>
      <c r="C8" s="56"/>
      <c r="D8" s="56"/>
      <c r="E8" s="68">
        <v>13990</v>
      </c>
    </row>
    <row r="9" spans="1:5" ht="15.75">
      <c r="A9" s="67" t="str">
        <f>CONCATENATE("Personal Property  excluding oil, gas, and mobile homes - ",E1-1,"")</f>
        <v>Personal Property  excluding oil, gas, and mobile homes - 2012</v>
      </c>
      <c r="B9" s="56"/>
      <c r="C9" s="56"/>
      <c r="D9" s="56"/>
      <c r="E9" s="68">
        <v>23304</v>
      </c>
    </row>
    <row r="10" spans="1:5" ht="15.75">
      <c r="A10" s="69" t="s">
        <v>331</v>
      </c>
      <c r="B10" s="56"/>
      <c r="C10" s="56"/>
      <c r="D10" s="56"/>
      <c r="E10" s="48"/>
    </row>
    <row r="11" spans="1:5" ht="15.75">
      <c r="A11" s="67" t="s">
        <v>311</v>
      </c>
      <c r="B11" s="56"/>
      <c r="C11" s="56"/>
      <c r="D11" s="56"/>
      <c r="E11" s="68"/>
    </row>
    <row r="12" spans="1:5" ht="15.75">
      <c r="A12" s="67" t="s">
        <v>312</v>
      </c>
      <c r="B12" s="56"/>
      <c r="C12" s="56"/>
      <c r="D12" s="56"/>
      <c r="E12" s="68"/>
    </row>
    <row r="13" spans="1:5" ht="15.75">
      <c r="A13" s="67" t="s">
        <v>313</v>
      </c>
      <c r="B13" s="56"/>
      <c r="C13" s="56"/>
      <c r="D13" s="56"/>
      <c r="E13" s="68"/>
    </row>
    <row r="14" spans="1:5" ht="15.75">
      <c r="A14" s="67" t="str">
        <f>CONCATENATE("Property that has changed in use for ",E1-1,"")</f>
        <v>Property that has changed in use for 2012</v>
      </c>
      <c r="B14" s="56"/>
      <c r="C14" s="56"/>
      <c r="D14" s="56"/>
      <c r="E14" s="68">
        <v>10839</v>
      </c>
    </row>
    <row r="15" spans="1:5" ht="15.75">
      <c r="A15" s="67" t="str">
        <f>CONCATENATE("Personal Property excluding oil, gas, and mobile homes - ",E1-2,"")</f>
        <v>Personal Property excluding oil, gas, and mobile homes - 2011</v>
      </c>
      <c r="B15" s="56"/>
      <c r="C15" s="56"/>
      <c r="D15" s="56"/>
      <c r="E15" s="68">
        <v>24749</v>
      </c>
    </row>
    <row r="16" spans="1:5" ht="15.75">
      <c r="A16" s="67" t="str">
        <f>CONCATENATE("Gross earnings (intangible) tax estimate for ",E1,"")</f>
        <v>Gross earnings (intangible) tax estimate for 2013</v>
      </c>
      <c r="B16" s="56"/>
      <c r="C16" s="56"/>
      <c r="D16" s="57"/>
      <c r="E16" s="30"/>
    </row>
    <row r="17" spans="1:5" ht="15.75">
      <c r="A17" s="67" t="s">
        <v>332</v>
      </c>
      <c r="B17" s="56"/>
      <c r="C17" s="56"/>
      <c r="D17" s="56"/>
      <c r="E17" s="29">
        <v>109074</v>
      </c>
    </row>
    <row r="18" spans="1:5" ht="15.75">
      <c r="A18" s="41"/>
      <c r="B18" s="40"/>
      <c r="C18" s="40"/>
      <c r="D18" s="40"/>
      <c r="E18" s="43"/>
    </row>
    <row r="19" spans="1:5" ht="15.75">
      <c r="A19" s="41" t="str">
        <f>CONCATENATE("Actual Tax Rates for the ",E1-1," Budget:")</f>
        <v>Actual Tax Rates for the 2012 Budget:</v>
      </c>
      <c r="B19" s="40"/>
      <c r="C19" s="40"/>
      <c r="D19" s="40"/>
      <c r="E19" s="38"/>
    </row>
    <row r="20" spans="1:5" ht="15.75">
      <c r="A20" s="524" t="s">
        <v>186</v>
      </c>
      <c r="B20" s="525"/>
      <c r="C20" s="70"/>
      <c r="D20" s="71" t="s">
        <v>237</v>
      </c>
      <c r="E20" s="38"/>
    </row>
    <row r="21" spans="1:5" ht="15.75">
      <c r="A21" s="34" t="str">
        <f>inputPrYr!B17</f>
        <v>General</v>
      </c>
      <c r="B21" s="35"/>
      <c r="C21" s="40"/>
      <c r="D21" s="72">
        <v>53.446</v>
      </c>
      <c r="E21" s="43"/>
    </row>
    <row r="22" spans="1:5" ht="15.75">
      <c r="A22" s="67" t="str">
        <f>inputPrYr!B18</f>
        <v>Bond &amp; Interest</v>
      </c>
      <c r="B22" s="56"/>
      <c r="C22" s="40"/>
      <c r="D22" s="73"/>
      <c r="E22" s="43"/>
    </row>
    <row r="23" spans="1:5" ht="15.75">
      <c r="A23" s="67">
        <f>inputPrYr!B19</f>
        <v>0</v>
      </c>
      <c r="B23" s="56"/>
      <c r="C23" s="40"/>
      <c r="D23" s="73"/>
      <c r="E23" s="43"/>
    </row>
    <row r="24" spans="1:5" ht="15.75">
      <c r="A24" s="67">
        <f>inputPrYr!B21</f>
        <v>0</v>
      </c>
      <c r="B24" s="56"/>
      <c r="C24" s="40"/>
      <c r="D24" s="73"/>
      <c r="E24" s="43"/>
    </row>
    <row r="25" spans="1:5" ht="15.75">
      <c r="A25" s="67">
        <f>inputPrYr!B22</f>
        <v>0</v>
      </c>
      <c r="B25" s="56"/>
      <c r="C25" s="40"/>
      <c r="D25" s="73"/>
      <c r="E25" s="43"/>
    </row>
    <row r="26" spans="1:5" ht="15.75">
      <c r="A26" s="67">
        <f>inputPrYr!B23</f>
        <v>0</v>
      </c>
      <c r="B26" s="74"/>
      <c r="C26" s="40"/>
      <c r="D26" s="75"/>
      <c r="E26" s="43"/>
    </row>
    <row r="27" spans="1:5" ht="15.75">
      <c r="A27" s="67">
        <f>inputPrYr!B24</f>
        <v>0</v>
      </c>
      <c r="B27" s="74"/>
      <c r="C27" s="40"/>
      <c r="D27" s="75"/>
      <c r="E27" s="43"/>
    </row>
    <row r="28" spans="1:5" ht="15.75">
      <c r="A28" s="67">
        <f>inputPrYr!B25</f>
        <v>0</v>
      </c>
      <c r="B28" s="74"/>
      <c r="C28" s="40"/>
      <c r="D28" s="75"/>
      <c r="E28" s="43"/>
    </row>
    <row r="29" spans="1:5" ht="15.75">
      <c r="A29" s="67">
        <f>inputPrYr!B26</f>
        <v>0</v>
      </c>
      <c r="B29" s="74"/>
      <c r="C29" s="40"/>
      <c r="D29" s="75"/>
      <c r="E29" s="43"/>
    </row>
    <row r="30" spans="1:5" ht="15.75">
      <c r="A30" s="67">
        <f>inputPrYr!B27</f>
        <v>0</v>
      </c>
      <c r="B30" s="74"/>
      <c r="C30" s="40"/>
      <c r="D30" s="75"/>
      <c r="E30" s="43"/>
    </row>
    <row r="31" spans="1:5" ht="15.75">
      <c r="A31" s="67">
        <f>inputPrYr!B28</f>
        <v>0</v>
      </c>
      <c r="B31" s="74"/>
      <c r="C31" s="40"/>
      <c r="D31" s="75"/>
      <c r="E31" s="43"/>
    </row>
    <row r="32" spans="1:5" ht="15.75">
      <c r="A32" s="67">
        <f>inputPrYr!B29</f>
        <v>0</v>
      </c>
      <c r="B32" s="56"/>
      <c r="C32" s="40"/>
      <c r="D32" s="75"/>
      <c r="E32" s="43"/>
    </row>
    <row r="33" spans="1:5" ht="15.75">
      <c r="A33" s="67">
        <f>inputPrYr!B30</f>
        <v>0</v>
      </c>
      <c r="B33" s="35"/>
      <c r="C33" s="40"/>
      <c r="D33" s="75"/>
      <c r="E33" s="43"/>
    </row>
    <row r="34" spans="1:5" ht="15.75">
      <c r="A34" s="70"/>
      <c r="B34" s="35" t="s">
        <v>94</v>
      </c>
      <c r="C34" s="76"/>
      <c r="D34" s="51">
        <f>SUM(D21:D33)</f>
        <v>53.446</v>
      </c>
      <c r="E34" s="70"/>
    </row>
    <row r="35" spans="1:5" ht="15">
      <c r="A35" s="70"/>
      <c r="B35" s="70"/>
      <c r="C35" s="70"/>
      <c r="D35" s="70"/>
      <c r="E35" s="70"/>
    </row>
    <row r="36" spans="1:5" ht="15.75">
      <c r="A36" s="35" t="str">
        <f>CONCATENATE("Final Assessed Valuation from the November 1, ",E1-2," Abstract")</f>
        <v>Final Assessed Valuation from the November 1, 2011 Abstract</v>
      </c>
      <c r="B36" s="77"/>
      <c r="C36" s="77"/>
      <c r="D36" s="77"/>
      <c r="E36" s="29">
        <v>1550608</v>
      </c>
    </row>
    <row r="37" spans="1:5" ht="15">
      <c r="A37" s="70"/>
      <c r="B37" s="70"/>
      <c r="C37" s="70"/>
      <c r="D37" s="70"/>
      <c r="E37" s="70"/>
    </row>
    <row r="38" spans="1:5" ht="15.75">
      <c r="A38" s="46" t="str">
        <f>CONCATENATE("From the County Treasurer's Budget Information - ",E1," Budget Year Estimates:")</f>
        <v>From the County Treasurer's Budget Information - 2013 Budget Year Estimates:</v>
      </c>
      <c r="B38" s="17"/>
      <c r="C38" s="17"/>
      <c r="D38" s="78"/>
      <c r="E38" s="31"/>
    </row>
    <row r="39" spans="1:5" ht="15.75">
      <c r="A39" s="34" t="s">
        <v>95</v>
      </c>
      <c r="B39" s="35"/>
      <c r="C39" s="35"/>
      <c r="D39" s="79"/>
      <c r="E39" s="30">
        <v>17431</v>
      </c>
    </row>
    <row r="40" spans="1:5" ht="15.75">
      <c r="A40" s="67" t="s">
        <v>96</v>
      </c>
      <c r="B40" s="56"/>
      <c r="C40" s="56"/>
      <c r="D40" s="80"/>
      <c r="E40" s="30">
        <v>143</v>
      </c>
    </row>
    <row r="41" spans="1:5" ht="15.75">
      <c r="A41" s="67" t="s">
        <v>333</v>
      </c>
      <c r="B41" s="56"/>
      <c r="C41" s="56"/>
      <c r="D41" s="80"/>
      <c r="E41" s="30">
        <v>152</v>
      </c>
    </row>
    <row r="42" spans="1:5" ht="15.75">
      <c r="A42" s="67" t="s">
        <v>334</v>
      </c>
      <c r="B42" s="56"/>
      <c r="C42" s="56"/>
      <c r="D42" s="80"/>
      <c r="E42" s="30"/>
    </row>
    <row r="43" spans="1:5" ht="15.75">
      <c r="A43" s="67" t="s">
        <v>335</v>
      </c>
      <c r="B43" s="56"/>
      <c r="C43" s="56"/>
      <c r="D43" s="80"/>
      <c r="E43" s="30"/>
    </row>
    <row r="44" spans="1:5" ht="15.75">
      <c r="A44" s="4" t="s">
        <v>336</v>
      </c>
      <c r="B44" s="4"/>
      <c r="C44" s="4"/>
      <c r="D44" s="4"/>
      <c r="E44" s="4"/>
    </row>
    <row r="45" spans="1:5" ht="15.75">
      <c r="A45" s="6" t="s">
        <v>194</v>
      </c>
      <c r="B45" s="13"/>
      <c r="C45" s="13"/>
      <c r="D45" s="4"/>
      <c r="E45" s="4"/>
    </row>
    <row r="46" spans="1:5" ht="15.75">
      <c r="A46" s="41" t="str">
        <f>CONCATENATE("Actual Delinquency for ",E1-3," Tax - (rate .01213 = 1.213%, key in 1.2)")</f>
        <v>Actual Delinquency for 2010 Tax - (rate .01213 = 1.213%, key in 1.2)</v>
      </c>
      <c r="B46" s="40"/>
      <c r="C46" s="4"/>
      <c r="D46" s="4"/>
      <c r="E46" s="424">
        <v>0.0272</v>
      </c>
    </row>
    <row r="47" spans="1:5" ht="15.75">
      <c r="A47" s="41" t="s">
        <v>47</v>
      </c>
      <c r="B47" s="41"/>
      <c r="C47" s="40"/>
      <c r="D47" s="40"/>
      <c r="E47" s="425">
        <v>0.05</v>
      </c>
    </row>
    <row r="48" spans="1:5" ht="15.75">
      <c r="A48" s="81" t="s">
        <v>374</v>
      </c>
      <c r="B48" s="81"/>
      <c r="C48" s="82"/>
      <c r="D48" s="82"/>
      <c r="E48" s="83"/>
    </row>
    <row r="49" spans="1:5" ht="15.75">
      <c r="A49" s="4"/>
      <c r="B49" s="4"/>
      <c r="C49" s="4"/>
      <c r="D49" s="4"/>
      <c r="E49" s="4"/>
    </row>
    <row r="50" spans="1:5" ht="15.75">
      <c r="A50" s="84" t="s">
        <v>77</v>
      </c>
      <c r="B50" s="85"/>
      <c r="C50" s="86"/>
      <c r="D50" s="86"/>
      <c r="E50" s="86"/>
    </row>
    <row r="51" spans="1:5" ht="15.75">
      <c r="A51" s="87" t="str">
        <f>CONCATENATE("",E1," State Distribution for Kansas Gas Tax")</f>
        <v>2013 State Distribution for Kansas Gas Tax</v>
      </c>
      <c r="B51" s="88"/>
      <c r="C51" s="88"/>
      <c r="D51" s="89"/>
      <c r="E51" s="29">
        <v>15040</v>
      </c>
    </row>
    <row r="52" spans="1:5" ht="15.75">
      <c r="A52" s="90" t="str">
        <f>CONCATENATE("",E1," County Transfers for Gas***")</f>
        <v>2013 County Transfers for Gas***</v>
      </c>
      <c r="B52" s="91"/>
      <c r="C52" s="91"/>
      <c r="D52" s="92"/>
      <c r="E52" s="29"/>
    </row>
    <row r="53" spans="1:5" ht="15.75">
      <c r="A53" s="90" t="str">
        <f>CONCATENATE("Adjusted ",E1-1," State Distribution for Kansas Gas Tax")</f>
        <v>Adjusted 2012 State Distribution for Kansas Gas Tax</v>
      </c>
      <c r="B53" s="91"/>
      <c r="C53" s="91"/>
      <c r="D53" s="92"/>
      <c r="E53" s="29">
        <v>14930</v>
      </c>
    </row>
    <row r="54" spans="1:5" ht="15.75">
      <c r="A54" s="90" t="str">
        <f>CONCATENATE("Adjusted ",E1-1," County Transfers for Gas***")</f>
        <v>Adjusted 2012 County Transfers for Gas***</v>
      </c>
      <c r="B54" s="91"/>
      <c r="C54" s="91"/>
      <c r="D54" s="92"/>
      <c r="E54" s="29"/>
    </row>
    <row r="55" spans="1:5" ht="15">
      <c r="A55" s="526" t="s">
        <v>377</v>
      </c>
      <c r="B55" s="527"/>
      <c r="C55" s="527"/>
      <c r="D55" s="527"/>
      <c r="E55" s="527"/>
    </row>
    <row r="56" spans="1:5" ht="15">
      <c r="A56" s="93" t="s">
        <v>378</v>
      </c>
      <c r="B56" s="93"/>
      <c r="C56" s="93"/>
      <c r="D56" s="93"/>
      <c r="E56" s="93"/>
    </row>
    <row r="57" spans="1:5" ht="15">
      <c r="A57" s="65"/>
      <c r="B57" s="65"/>
      <c r="C57" s="65"/>
      <c r="D57" s="65"/>
      <c r="E57" s="65"/>
    </row>
    <row r="58" spans="1:5" ht="15.75">
      <c r="A58" s="528" t="str">
        <f>CONCATENATE("From the ",E1-2," Budget Certificate Page")</f>
        <v>From the 2011 Budget Certificate Page</v>
      </c>
      <c r="B58" s="529"/>
      <c r="C58" s="65"/>
      <c r="D58" s="65"/>
      <c r="E58" s="65"/>
    </row>
    <row r="59" spans="1:5" ht="15.75">
      <c r="A59" s="94"/>
      <c r="B59" s="94" t="str">
        <f>CONCATENATE("",E1-2," Expenditure Amounts")</f>
        <v>2011 Expenditure Amounts</v>
      </c>
      <c r="C59" s="522" t="str">
        <f>CONCATENATE("Note: If the ",E1-2," budget was amended, then the")</f>
        <v>Note: If the 2011 budget was amended, then the</v>
      </c>
      <c r="D59" s="523"/>
      <c r="E59" s="523"/>
    </row>
    <row r="60" spans="1:5" ht="15.75">
      <c r="A60" s="95" t="s">
        <v>80</v>
      </c>
      <c r="B60" s="95" t="s">
        <v>81</v>
      </c>
      <c r="C60" s="96" t="s">
        <v>82</v>
      </c>
      <c r="D60" s="97"/>
      <c r="E60" s="97"/>
    </row>
    <row r="61" spans="1:5" ht="15.75">
      <c r="A61" s="98" t="str">
        <f>inputPrYr!B17</f>
        <v>General</v>
      </c>
      <c r="B61" s="29">
        <v>160527</v>
      </c>
      <c r="C61" s="96" t="s">
        <v>83</v>
      </c>
      <c r="D61" s="97"/>
      <c r="E61" s="97"/>
    </row>
    <row r="62" spans="1:5" ht="15.75">
      <c r="A62" s="98" t="str">
        <f>inputPrYr!B18</f>
        <v>Bond &amp; Interest</v>
      </c>
      <c r="B62" s="29">
        <v>55756</v>
      </c>
      <c r="C62" s="96"/>
      <c r="D62" s="97"/>
      <c r="E62" s="97"/>
    </row>
    <row r="63" spans="1:5" ht="15.75">
      <c r="A63" s="98">
        <f>inputPrYr!B19</f>
        <v>0</v>
      </c>
      <c r="B63" s="29"/>
      <c r="C63" s="65"/>
      <c r="D63" s="65"/>
      <c r="E63" s="65"/>
    </row>
    <row r="64" spans="1:5" ht="15.75">
      <c r="A64" s="98">
        <f>inputPrYr!B21</f>
        <v>0</v>
      </c>
      <c r="B64" s="29"/>
      <c r="C64" s="65"/>
      <c r="D64" s="65"/>
      <c r="E64" s="65"/>
    </row>
    <row r="65" spans="1:5" ht="15.75">
      <c r="A65" s="98">
        <f>inputPrYr!B22</f>
        <v>0</v>
      </c>
      <c r="B65" s="29"/>
      <c r="C65" s="65"/>
      <c r="D65" s="65"/>
      <c r="E65" s="65"/>
    </row>
    <row r="66" spans="1:5" ht="15.75">
      <c r="A66" s="98">
        <f>inputPrYr!B23</f>
        <v>0</v>
      </c>
      <c r="B66" s="29"/>
      <c r="C66" s="65"/>
      <c r="D66" s="65"/>
      <c r="E66" s="65"/>
    </row>
    <row r="67" spans="1:5" ht="15.75">
      <c r="A67" s="98">
        <f>inputPrYr!B24</f>
        <v>0</v>
      </c>
      <c r="B67" s="29"/>
      <c r="C67" s="65"/>
      <c r="D67" s="65"/>
      <c r="E67" s="65"/>
    </row>
    <row r="68" spans="1:5" ht="15.75">
      <c r="A68" s="98">
        <f>inputPrYr!B25</f>
        <v>0</v>
      </c>
      <c r="B68" s="29"/>
      <c r="C68" s="65"/>
      <c r="D68" s="65"/>
      <c r="E68" s="65"/>
    </row>
    <row r="69" spans="1:5" ht="15.75">
      <c r="A69" s="98">
        <f>inputPrYr!B26</f>
        <v>0</v>
      </c>
      <c r="B69" s="29"/>
      <c r="C69" s="65"/>
      <c r="D69" s="65"/>
      <c r="E69" s="65"/>
    </row>
    <row r="70" spans="1:5" ht="15.75">
      <c r="A70" s="98">
        <f>inputPrYr!B27</f>
        <v>0</v>
      </c>
      <c r="B70" s="29"/>
      <c r="C70" s="65"/>
      <c r="D70" s="65"/>
      <c r="E70" s="65"/>
    </row>
    <row r="71" spans="1:5" ht="15.75">
      <c r="A71" s="98">
        <f>inputPrYr!B28</f>
        <v>0</v>
      </c>
      <c r="B71" s="29"/>
      <c r="C71" s="65"/>
      <c r="D71" s="65"/>
      <c r="E71" s="65"/>
    </row>
    <row r="72" spans="1:5" ht="15.75">
      <c r="A72" s="98">
        <f>inputPrYr!B29</f>
        <v>0</v>
      </c>
      <c r="B72" s="29"/>
      <c r="C72" s="65"/>
      <c r="D72" s="65"/>
      <c r="E72" s="65"/>
    </row>
    <row r="73" spans="1:5" ht="15.75">
      <c r="A73" s="98">
        <f>inputPrYr!B30</f>
        <v>0</v>
      </c>
      <c r="B73" s="29"/>
      <c r="C73" s="65"/>
      <c r="D73" s="65"/>
      <c r="E73" s="65"/>
    </row>
    <row r="74" spans="1:5" ht="15.75">
      <c r="A74" s="98" t="str">
        <f>inputPrYr!B34</f>
        <v>Special Highway</v>
      </c>
      <c r="B74" s="29">
        <v>53092</v>
      </c>
      <c r="C74" s="65"/>
      <c r="D74" s="65"/>
      <c r="E74" s="65"/>
    </row>
    <row r="75" spans="1:5" ht="15.75">
      <c r="A75" s="98" t="str">
        <f>inputPrYr!B35</f>
        <v>Water Utility</v>
      </c>
      <c r="B75" s="29">
        <v>111988</v>
      </c>
      <c r="C75" s="65"/>
      <c r="D75" s="65"/>
      <c r="E75" s="65"/>
    </row>
    <row r="76" spans="1:5" ht="15.75">
      <c r="A76" s="98" t="str">
        <f>inputPrYr!B36</f>
        <v>Electric Utility</v>
      </c>
      <c r="B76" s="29">
        <v>465714</v>
      </c>
      <c r="C76" s="65"/>
      <c r="D76" s="65"/>
      <c r="E76" s="65"/>
    </row>
    <row r="77" spans="1:5" ht="15.75">
      <c r="A77" s="98" t="str">
        <f>inputPrYr!B37</f>
        <v>Sewer Utility</v>
      </c>
      <c r="B77" s="29">
        <v>122526</v>
      </c>
      <c r="C77" s="65"/>
      <c r="D77" s="65"/>
      <c r="E77" s="65"/>
    </row>
    <row r="78" spans="1:5" ht="15.75">
      <c r="A78" s="98" t="str">
        <f>inputPrYr!B38</f>
        <v>Trash Utility</v>
      </c>
      <c r="B78" s="29">
        <v>20169</v>
      </c>
      <c r="C78" s="65"/>
      <c r="D78" s="65"/>
      <c r="E78" s="65"/>
    </row>
    <row r="79" spans="1:5" ht="15.75">
      <c r="A79" s="98" t="str">
        <f>inputPrYr!B39</f>
        <v>Equipment Reserve</v>
      </c>
      <c r="B79" s="29">
        <v>5500</v>
      </c>
      <c r="C79" s="65"/>
      <c r="D79" s="65"/>
      <c r="E79" s="65"/>
    </row>
    <row r="80" spans="1:5" ht="15.75">
      <c r="A80" s="98">
        <f>inputPrYr!B40</f>
        <v>0</v>
      </c>
      <c r="B80" s="29"/>
      <c r="C80" s="65"/>
      <c r="D80" s="65"/>
      <c r="E80" s="65"/>
    </row>
    <row r="81" spans="1:5" ht="15.75">
      <c r="A81" s="98">
        <f>inputPrYr!B41</f>
        <v>0</v>
      </c>
      <c r="B81" s="29"/>
      <c r="C81" s="65"/>
      <c r="D81" s="65"/>
      <c r="E81" s="65"/>
    </row>
    <row r="82" spans="1:5" ht="15.75">
      <c r="A82" s="98">
        <f>inputPrYr!B44</f>
        <v>0</v>
      </c>
      <c r="B82" s="29"/>
      <c r="C82" s="65"/>
      <c r="D82" s="65"/>
      <c r="E82" s="65"/>
    </row>
    <row r="83" spans="1:5" ht="15.75">
      <c r="A83" s="98">
        <f>inputPrYr!B45</f>
        <v>0</v>
      </c>
      <c r="B83" s="29"/>
      <c r="C83" s="65"/>
      <c r="D83" s="65"/>
      <c r="E83" s="65"/>
    </row>
    <row r="84" spans="1:5" ht="15.75">
      <c r="A84" s="98">
        <f>inputPrYr!B46</f>
        <v>0</v>
      </c>
      <c r="B84" s="29"/>
      <c r="C84" s="65"/>
      <c r="D84" s="65"/>
      <c r="E84" s="65"/>
    </row>
    <row r="85" spans="1:5" ht="15.75">
      <c r="A85" s="98">
        <f>inputPrYr!B47</f>
        <v>0</v>
      </c>
      <c r="B85" s="29"/>
      <c r="C85" s="65"/>
      <c r="D85" s="65"/>
      <c r="E85" s="65"/>
    </row>
  </sheetData>
  <sheetProtection sheet="1"/>
  <mergeCells count="5">
    <mergeCell ref="C59:E59"/>
    <mergeCell ref="A20:B20"/>
    <mergeCell ref="A55:E55"/>
    <mergeCell ref="A3:E3"/>
    <mergeCell ref="A58:B58"/>
  </mergeCells>
  <printOptions/>
  <pageMargins left="0.75" right="0.75" top="1" bottom="1" header="0.5" footer="0.5"/>
  <pageSetup blackAndWhite="1" fitToHeight="1" fitToWidth="1" horizontalDpi="600" verticalDpi="600" orientation="portrait" scale="55" r:id="rId1"/>
</worksheet>
</file>

<file path=xl/worksheets/sheet20.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C40" sqref="C40"/>
    </sheetView>
  </sheetViews>
  <sheetFormatPr defaultColWidth="8.796875" defaultRowHeight="15"/>
  <cols>
    <col min="1" max="1" width="10.796875" style="63" customWidth="1"/>
    <col min="2" max="2" width="15.59765625" style="63" customWidth="1"/>
    <col min="3" max="4" width="12.796875" style="63" customWidth="1"/>
    <col min="5" max="5" width="11.796875" style="63" customWidth="1"/>
    <col min="6" max="16384" width="8.8984375" style="63" customWidth="1"/>
  </cols>
  <sheetData>
    <row r="1" spans="1:6" ht="15.75">
      <c r="A1" s="131" t="str">
        <f>inputPrYr!D2</f>
        <v>City of LaHarpe</v>
      </c>
      <c r="B1" s="4"/>
      <c r="C1" s="4"/>
      <c r="D1" s="4"/>
      <c r="E1" s="4"/>
      <c r="F1" s="4">
        <f>inputPrYr!C5</f>
        <v>2013</v>
      </c>
    </row>
    <row r="2" spans="1:6" ht="15.75">
      <c r="A2" s="4"/>
      <c r="B2" s="4"/>
      <c r="C2" s="4"/>
      <c r="D2" s="4"/>
      <c r="E2" s="4"/>
      <c r="F2" s="4"/>
    </row>
    <row r="3" spans="1:6" ht="15.75">
      <c r="A3" s="4"/>
      <c r="B3" s="544" t="str">
        <f>CONCATENATE("",F1," Neighborhood Revitalization Rebate")</f>
        <v>2013 Neighborhood Revitalization Rebate</v>
      </c>
      <c r="C3" s="589"/>
      <c r="D3" s="589"/>
      <c r="E3" s="589"/>
      <c r="F3" s="4"/>
    </row>
    <row r="4" spans="1:6" ht="15.75">
      <c r="A4" s="4"/>
      <c r="B4" s="4"/>
      <c r="C4" s="4"/>
      <c r="D4" s="4"/>
      <c r="E4" s="4"/>
      <c r="F4" s="58"/>
    </row>
    <row r="5" spans="1:6" ht="51.75" customHeight="1">
      <c r="A5" s="4"/>
      <c r="B5" s="276" t="str">
        <f>CONCATENATE("Budgeted Funds          for ",F1,"")</f>
        <v>Budgeted Funds          for 2013</v>
      </c>
      <c r="C5" s="276" t="str">
        <f>CONCATENATE("",F1-1," Ad Valorem before Rebate**")</f>
        <v>2012 Ad Valorem before Rebate**</v>
      </c>
      <c r="D5" s="277" t="str">
        <f>CONCATENATE("",F1-1," Mil Rate before Rebate")</f>
        <v>2012 Mil Rate before Rebate</v>
      </c>
      <c r="E5" s="278" t="str">
        <f>CONCATENATE("Estimate ",F1," NR Rebate")</f>
        <v>Estimate 2013 NR Rebate</v>
      </c>
      <c r="F5" s="58"/>
    </row>
    <row r="6" spans="1:6" ht="18" customHeight="1">
      <c r="A6" s="4"/>
      <c r="B6" s="27" t="s">
        <v>93</v>
      </c>
      <c r="C6" s="279">
        <v>83482</v>
      </c>
      <c r="D6" s="280">
        <f>IF(C6&gt;0,C6/$D$24,"")</f>
        <v>53.44561680257158</v>
      </c>
      <c r="E6" s="162">
        <f aca="true" t="shared" si="0" ref="E6:E17">IF(C6&gt;0,ROUND(D6*$D$28,0),"")</f>
        <v>5830</v>
      </c>
      <c r="F6" s="58"/>
    </row>
    <row r="7" spans="1:6" ht="15.75">
      <c r="A7" s="4"/>
      <c r="B7" s="27" t="str">
        <f>inputPrYr!B18</f>
        <v>Bond &amp; Interest</v>
      </c>
      <c r="C7" s="279">
        <v>0</v>
      </c>
      <c r="D7" s="280">
        <f aca="true" t="shared" si="1" ref="D7:D17">IF(C7&gt;0,C7/$D$24,"")</f>
      </c>
      <c r="E7" s="162">
        <f t="shared" si="0"/>
      </c>
      <c r="F7" s="58"/>
    </row>
    <row r="8" spans="1:6" ht="15.75">
      <c r="A8" s="4"/>
      <c r="B8" s="48" t="str">
        <f>IF((inputPrYr!$B19&gt;"  "),(inputPrYr!$B19),"  ")</f>
        <v>  </v>
      </c>
      <c r="C8" s="279"/>
      <c r="D8" s="280">
        <f t="shared" si="1"/>
      </c>
      <c r="E8" s="162">
        <f t="shared" si="0"/>
      </c>
      <c r="F8" s="58"/>
    </row>
    <row r="9" spans="1:6" ht="15.75">
      <c r="A9" s="4"/>
      <c r="B9" s="48" t="str">
        <f>IF((inputPrYr!$B21&gt;"  "),(inputPrYr!$B21),"  ")</f>
        <v>  </v>
      </c>
      <c r="C9" s="279"/>
      <c r="D9" s="280">
        <f t="shared" si="1"/>
      </c>
      <c r="E9" s="162">
        <f t="shared" si="0"/>
      </c>
      <c r="F9" s="58"/>
    </row>
    <row r="10" spans="1:6" ht="15.75">
      <c r="A10" s="4"/>
      <c r="B10" s="48" t="str">
        <f>IF((inputPrYr!$B22&gt;"  "),(inputPrYr!$B22),"  ")</f>
        <v>  </v>
      </c>
      <c r="C10" s="279"/>
      <c r="D10" s="280">
        <f t="shared" si="1"/>
      </c>
      <c r="E10" s="162">
        <f t="shared" si="0"/>
      </c>
      <c r="F10" s="58"/>
    </row>
    <row r="11" spans="1:6" ht="15.75">
      <c r="A11" s="4"/>
      <c r="B11" s="48" t="str">
        <f>IF((inputPrYr!$B23&gt;"  "),(inputPrYr!$B23),"  ")</f>
        <v>  </v>
      </c>
      <c r="C11" s="279"/>
      <c r="D11" s="280">
        <f t="shared" si="1"/>
      </c>
      <c r="E11" s="162">
        <f t="shared" si="0"/>
      </c>
      <c r="F11" s="58"/>
    </row>
    <row r="12" spans="1:6" ht="15.75">
      <c r="A12" s="4"/>
      <c r="B12" s="48" t="str">
        <f>IF((inputPrYr!$B24&gt;"  "),(inputPrYr!$B24),"  ")</f>
        <v>  </v>
      </c>
      <c r="C12" s="281"/>
      <c r="D12" s="280">
        <f t="shared" si="1"/>
      </c>
      <c r="E12" s="162">
        <f t="shared" si="0"/>
      </c>
      <c r="F12" s="58"/>
    </row>
    <row r="13" spans="1:6" ht="15.75">
      <c r="A13" s="4"/>
      <c r="B13" s="48" t="str">
        <f>IF((inputPrYr!$B25&gt;"  "),(inputPrYr!$B25),"  ")</f>
        <v>  </v>
      </c>
      <c r="C13" s="281"/>
      <c r="D13" s="280">
        <f t="shared" si="1"/>
      </c>
      <c r="E13" s="162">
        <f t="shared" si="0"/>
      </c>
      <c r="F13" s="58"/>
    </row>
    <row r="14" spans="1:6" ht="15.75">
      <c r="A14" s="4"/>
      <c r="B14" s="48" t="str">
        <f>IF((inputPrYr!$B26&gt;"  "),(inputPrYr!$B26),"  ")</f>
        <v>  </v>
      </c>
      <c r="C14" s="281"/>
      <c r="D14" s="280">
        <f t="shared" si="1"/>
      </c>
      <c r="E14" s="162">
        <f t="shared" si="0"/>
      </c>
      <c r="F14" s="58"/>
    </row>
    <row r="15" spans="1:6" ht="15.75">
      <c r="A15" s="4"/>
      <c r="B15" s="48" t="str">
        <f>IF((inputPrYr!$B27&gt;"  "),(inputPrYr!$B27),"  ")</f>
        <v>  </v>
      </c>
      <c r="C15" s="281"/>
      <c r="D15" s="280">
        <f t="shared" si="1"/>
      </c>
      <c r="E15" s="162">
        <f t="shared" si="0"/>
      </c>
      <c r="F15" s="58"/>
    </row>
    <row r="16" spans="1:6" ht="15.75">
      <c r="A16" s="4"/>
      <c r="B16" s="48" t="str">
        <f>IF((inputPrYr!$B28&gt;"  "),(inputPrYr!$B28),"  ")</f>
        <v>  </v>
      </c>
      <c r="C16" s="281"/>
      <c r="D16" s="280">
        <f t="shared" si="1"/>
      </c>
      <c r="E16" s="162">
        <f t="shared" si="0"/>
      </c>
      <c r="F16" s="58"/>
    </row>
    <row r="17" spans="1:6" ht="15.75">
      <c r="A17" s="4"/>
      <c r="B17" s="48" t="str">
        <f>IF((inputPrYr!$B29&gt;"  "),(inputPrYr!$B29),"  ")</f>
        <v>  </v>
      </c>
      <c r="C17" s="281"/>
      <c r="D17" s="280">
        <f t="shared" si="1"/>
      </c>
      <c r="E17" s="162">
        <f t="shared" si="0"/>
      </c>
      <c r="F17" s="58"/>
    </row>
    <row r="18" spans="1:6" ht="15.75">
      <c r="A18" s="4"/>
      <c r="B18" s="48" t="str">
        <f>IF((inputPrYr!$B30&gt;"  "),(inputPrYr!$B30),"  ")</f>
        <v>  </v>
      </c>
      <c r="C18" s="281"/>
      <c r="D18" s="280">
        <f>IF(C18&gt;0,C18/$D$24,"")</f>
      </c>
      <c r="E18" s="162">
        <f>IF(C18&gt;0,ROUND(D18*$D$28,0),"")</f>
      </c>
      <c r="F18" s="58"/>
    </row>
    <row r="19" spans="1:6" ht="17.25" customHeight="1" thickBot="1">
      <c r="A19" s="4"/>
      <c r="B19" s="28" t="s">
        <v>195</v>
      </c>
      <c r="C19" s="282">
        <f>SUM(C6:C18)</f>
        <v>83482</v>
      </c>
      <c r="D19" s="283">
        <f>SUM(D6:D18)</f>
        <v>53.44561680257158</v>
      </c>
      <c r="E19" s="282">
        <f>SUM(E6:E18)</f>
        <v>5830</v>
      </c>
      <c r="F19" s="58"/>
    </row>
    <row r="20" spans="1:6" ht="16.5" thickTop="1">
      <c r="A20" s="4"/>
      <c r="B20" s="4"/>
      <c r="C20" s="4"/>
      <c r="D20" s="4"/>
      <c r="E20" s="4"/>
      <c r="F20" s="58"/>
    </row>
    <row r="21" spans="1:6" ht="15.75">
      <c r="A21" s="4"/>
      <c r="B21" s="4"/>
      <c r="C21" s="4"/>
      <c r="D21" s="4"/>
      <c r="E21" s="4"/>
      <c r="F21" s="58"/>
    </row>
    <row r="22" spans="1:6" ht="18.75" customHeight="1">
      <c r="A22" s="590" t="str">
        <f>CONCATENATE("",F1-1," July 1 Valuation:")</f>
        <v>2012 July 1 Valuation:</v>
      </c>
      <c r="B22" s="566"/>
      <c r="C22" s="590"/>
      <c r="D22" s="275">
        <f>inputOth!E7</f>
        <v>1561999</v>
      </c>
      <c r="E22" s="4"/>
      <c r="F22" s="58"/>
    </row>
    <row r="23" spans="1:6" ht="15.75">
      <c r="A23" s="4"/>
      <c r="B23" s="4"/>
      <c r="C23" s="4"/>
      <c r="D23" s="4"/>
      <c r="E23" s="4"/>
      <c r="F23" s="58"/>
    </row>
    <row r="24" spans="1:6" ht="15.75">
      <c r="A24" s="4"/>
      <c r="B24" s="590" t="s">
        <v>103</v>
      </c>
      <c r="C24" s="590"/>
      <c r="D24" s="284">
        <f>IF(D22&gt;0,(D22*0.001),"")</f>
        <v>1561.999</v>
      </c>
      <c r="E24" s="4"/>
      <c r="F24" s="58"/>
    </row>
    <row r="25" spans="1:6" ht="15.75">
      <c r="A25" s="4"/>
      <c r="B25" s="99"/>
      <c r="C25" s="99"/>
      <c r="D25" s="285"/>
      <c r="E25" s="4"/>
      <c r="F25" s="58"/>
    </row>
    <row r="26" spans="1:6" ht="15.75">
      <c r="A26" s="588" t="s">
        <v>104</v>
      </c>
      <c r="B26" s="537"/>
      <c r="C26" s="537"/>
      <c r="D26" s="286">
        <f>inputOth!E17</f>
        <v>109074</v>
      </c>
      <c r="E26" s="65"/>
      <c r="F26" s="65"/>
    </row>
    <row r="27" spans="1:6" ht="15">
      <c r="A27" s="65"/>
      <c r="B27" s="65"/>
      <c r="C27" s="65"/>
      <c r="D27" s="287"/>
      <c r="E27" s="65"/>
      <c r="F27" s="65"/>
    </row>
    <row r="28" spans="1:6" ht="15.75">
      <c r="A28" s="65"/>
      <c r="B28" s="588" t="s">
        <v>105</v>
      </c>
      <c r="C28" s="566"/>
      <c r="D28" s="288">
        <f>IF(D26&gt;0,(D26*0.001),"")</f>
        <v>109.074</v>
      </c>
      <c r="E28" s="65"/>
      <c r="F28" s="65"/>
    </row>
    <row r="29" spans="1:6" ht="15">
      <c r="A29" s="65"/>
      <c r="B29" s="65"/>
      <c r="C29" s="65"/>
      <c r="D29" s="65"/>
      <c r="E29" s="65"/>
      <c r="F29" s="65"/>
    </row>
    <row r="30" spans="1:6" ht="15">
      <c r="A30" s="65"/>
      <c r="B30" s="65"/>
      <c r="C30" s="65"/>
      <c r="D30" s="65"/>
      <c r="E30" s="65"/>
      <c r="F30" s="65"/>
    </row>
    <row r="31" spans="1:6" ht="15">
      <c r="A31" s="65"/>
      <c r="B31" s="65"/>
      <c r="C31" s="65"/>
      <c r="D31" s="65"/>
      <c r="E31" s="65"/>
      <c r="F31" s="65"/>
    </row>
    <row r="32" spans="1:6" ht="15.75">
      <c r="A32" s="290" t="str">
        <f>CONCATENATE("**This information comes from the ",F1," Budget Summary page.  See instructions tab #13 for completing")</f>
        <v>**This information comes from the 2013 Budget Summary page.  See instructions tab #13 for completing</v>
      </c>
      <c r="B32" s="65"/>
      <c r="C32" s="65"/>
      <c r="D32" s="65"/>
      <c r="E32" s="65"/>
      <c r="F32" s="65"/>
    </row>
    <row r="33" spans="1:6" ht="15.75">
      <c r="A33" s="290" t="s">
        <v>1</v>
      </c>
      <c r="B33" s="65"/>
      <c r="C33" s="65"/>
      <c r="D33" s="65"/>
      <c r="E33" s="65"/>
      <c r="F33" s="65"/>
    </row>
    <row r="34" spans="1:6" ht="15.75">
      <c r="A34" s="290"/>
      <c r="B34" s="65"/>
      <c r="C34" s="65"/>
      <c r="D34" s="65"/>
      <c r="E34" s="65"/>
      <c r="F34" s="65"/>
    </row>
    <row r="35" spans="1:6" ht="15.75">
      <c r="A35" s="290"/>
      <c r="B35" s="65"/>
      <c r="C35" s="65"/>
      <c r="D35" s="65"/>
      <c r="E35" s="65"/>
      <c r="F35" s="65"/>
    </row>
    <row r="36" spans="1:6" ht="15.75">
      <c r="A36" s="290"/>
      <c r="B36" s="65"/>
      <c r="C36" s="65"/>
      <c r="D36" s="65"/>
      <c r="E36" s="65"/>
      <c r="F36" s="65"/>
    </row>
    <row r="37" spans="1:6" ht="15.75">
      <c r="A37" s="290"/>
      <c r="B37" s="65"/>
      <c r="C37" s="65"/>
      <c r="D37" s="65"/>
      <c r="E37" s="65"/>
      <c r="F37" s="65"/>
    </row>
    <row r="38" spans="1:6" ht="15.75">
      <c r="A38" s="290"/>
      <c r="B38" s="65"/>
      <c r="C38" s="65"/>
      <c r="D38" s="65"/>
      <c r="E38" s="65"/>
      <c r="F38" s="65"/>
    </row>
    <row r="39" spans="1:6" ht="15">
      <c r="A39" s="65"/>
      <c r="B39" s="65"/>
      <c r="C39" s="65"/>
      <c r="D39" s="65"/>
      <c r="E39" s="65"/>
      <c r="F39" s="65"/>
    </row>
    <row r="40" spans="1:6" ht="15.75">
      <c r="A40" s="65"/>
      <c r="B40" s="223" t="s">
        <v>216</v>
      </c>
      <c r="C40" s="514">
        <v>14</v>
      </c>
      <c r="D40" s="65"/>
      <c r="E40" s="65"/>
      <c r="F40" s="65"/>
    </row>
    <row r="41" spans="1:6" ht="15.75">
      <c r="A41" s="58"/>
      <c r="B41" s="4"/>
      <c r="C41" s="4"/>
      <c r="D41" s="32"/>
      <c r="E41" s="58"/>
      <c r="F41" s="58"/>
    </row>
  </sheetData>
  <sheetProtection/>
  <mergeCells count="5">
    <mergeCell ref="A26:C26"/>
    <mergeCell ref="B28:C28"/>
    <mergeCell ref="B3:E3"/>
    <mergeCell ref="A22:C22"/>
    <mergeCell ref="B24:C24"/>
  </mergeCells>
  <printOptions/>
  <pageMargins left="0.75" right="0.75" top="1" bottom="1" header="0.5" footer="0.5"/>
  <pageSetup blackAndWhite="1" fitToHeight="1" fitToWidth="1" horizontalDpi="600" verticalDpi="600" orientation="portrait" scale="96"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B19" sqref="B19"/>
    </sheetView>
  </sheetViews>
  <sheetFormatPr defaultColWidth="8.796875" defaultRowHeight="15"/>
  <cols>
    <col min="1" max="1" width="13.796875" style="474" customWidth="1"/>
    <col min="2" max="2" width="16.09765625" style="474" customWidth="1"/>
    <col min="3" max="16384" width="8.8984375" style="474" customWidth="1"/>
  </cols>
  <sheetData>
    <row r="1" ht="15">
      <c r="J1" s="473" t="s">
        <v>52</v>
      </c>
    </row>
    <row r="2" spans="1:10" ht="54" customHeight="1">
      <c r="A2" s="530" t="s">
        <v>106</v>
      </c>
      <c r="B2" s="531"/>
      <c r="C2" s="531"/>
      <c r="D2" s="531"/>
      <c r="E2" s="531"/>
      <c r="F2" s="531"/>
      <c r="J2" s="473" t="s">
        <v>53</v>
      </c>
    </row>
    <row r="3" spans="1:10" ht="15.75">
      <c r="A3" s="472" t="s">
        <v>54</v>
      </c>
      <c r="B3" s="484"/>
      <c r="C3" s="484"/>
      <c r="J3" s="473" t="s">
        <v>55</v>
      </c>
    </row>
    <row r="4" spans="1:10" ht="15.75">
      <c r="A4" s="472"/>
      <c r="B4" s="491"/>
      <c r="J4" s="473" t="s">
        <v>56</v>
      </c>
    </row>
    <row r="5" spans="1:10" ht="15.75">
      <c r="A5" s="472" t="s">
        <v>15</v>
      </c>
      <c r="B5" s="484" t="s">
        <v>327</v>
      </c>
      <c r="J5" s="473" t="s">
        <v>57</v>
      </c>
    </row>
    <row r="6" spans="1:10" ht="15.75">
      <c r="A6" s="477"/>
      <c r="B6" s="477"/>
      <c r="C6" s="477"/>
      <c r="D6" s="483" t="s">
        <v>58</v>
      </c>
      <c r="E6" s="477"/>
      <c r="F6" s="477"/>
      <c r="J6" s="473" t="s">
        <v>59</v>
      </c>
    </row>
    <row r="7" spans="1:10" ht="15.75">
      <c r="A7" s="483" t="s">
        <v>107</v>
      </c>
      <c r="B7" s="484" t="s">
        <v>396</v>
      </c>
      <c r="C7" s="478"/>
      <c r="D7" s="471" t="str">
        <f>IF(B7="","",CONCATENATE("Latest date for notice to be published in your newspaper: ",G18," ",G22,", ",G23))</f>
        <v>Latest date for notice to be published in your newspaper: August 5, 2012</v>
      </c>
      <c r="E7" s="477"/>
      <c r="F7" s="477"/>
      <c r="J7" s="473" t="s">
        <v>60</v>
      </c>
    </row>
    <row r="8" spans="1:10" ht="15.75">
      <c r="A8" s="483"/>
      <c r="B8" s="479"/>
      <c r="C8" s="480"/>
      <c r="D8" s="483"/>
      <c r="E8" s="477"/>
      <c r="F8" s="477"/>
      <c r="J8" s="473" t="s">
        <v>61</v>
      </c>
    </row>
    <row r="9" spans="1:10" ht="15.75">
      <c r="A9" s="483" t="s">
        <v>108</v>
      </c>
      <c r="B9" s="484" t="s">
        <v>397</v>
      </c>
      <c r="C9" s="481"/>
      <c r="D9" s="483"/>
      <c r="E9" s="477"/>
      <c r="F9" s="477"/>
      <c r="J9" s="473" t="s">
        <v>62</v>
      </c>
    </row>
    <row r="10" spans="1:10" ht="15.75">
      <c r="A10" s="483"/>
      <c r="B10" s="483"/>
      <c r="C10" s="483"/>
      <c r="D10" s="483"/>
      <c r="E10" s="477"/>
      <c r="F10" s="477"/>
      <c r="J10" s="473" t="s">
        <v>63</v>
      </c>
    </row>
    <row r="11" spans="1:10" ht="15.75">
      <c r="A11" s="483" t="s">
        <v>109</v>
      </c>
      <c r="B11" s="485" t="s">
        <v>115</v>
      </c>
      <c r="C11" s="485"/>
      <c r="D11" s="485"/>
      <c r="E11" s="482"/>
      <c r="F11" s="477"/>
      <c r="J11" s="473" t="s">
        <v>64</v>
      </c>
    </row>
    <row r="12" spans="1:10" ht="15.75">
      <c r="A12" s="483"/>
      <c r="B12" s="483"/>
      <c r="C12" s="483"/>
      <c r="D12" s="483"/>
      <c r="E12" s="477"/>
      <c r="F12" s="477"/>
      <c r="J12" s="473" t="s">
        <v>65</v>
      </c>
    </row>
    <row r="13" spans="1:6" ht="15.75">
      <c r="A13" s="483"/>
      <c r="B13" s="483"/>
      <c r="C13" s="483"/>
      <c r="D13" s="483"/>
      <c r="E13" s="477"/>
      <c r="F13" s="477"/>
    </row>
    <row r="14" spans="1:6" ht="15.75">
      <c r="A14" s="483" t="s">
        <v>110</v>
      </c>
      <c r="B14" s="485" t="s">
        <v>115</v>
      </c>
      <c r="C14" s="485"/>
      <c r="D14" s="485"/>
      <c r="E14" s="482"/>
      <c r="F14" s="477"/>
    </row>
    <row r="17" spans="1:6" ht="15.75">
      <c r="A17" s="532" t="s">
        <v>111</v>
      </c>
      <c r="B17" s="532"/>
      <c r="C17" s="483"/>
      <c r="D17" s="483"/>
      <c r="E17" s="483"/>
      <c r="F17" s="477"/>
    </row>
    <row r="18" spans="1:7" ht="15.75">
      <c r="A18" s="483"/>
      <c r="B18" s="483"/>
      <c r="C18" s="483"/>
      <c r="D18" s="483"/>
      <c r="E18" s="483"/>
      <c r="F18" s="477"/>
      <c r="G18" s="473" t="str">
        <f ca="1">IF(B7="","",INDIRECT(G19))</f>
        <v>August</v>
      </c>
    </row>
    <row r="19" spans="1:7" ht="15.75">
      <c r="A19" s="483" t="s">
        <v>15</v>
      </c>
      <c r="B19" s="483" t="s">
        <v>19</v>
      </c>
      <c r="C19" s="483"/>
      <c r="D19" s="483"/>
      <c r="E19" s="483"/>
      <c r="F19" s="477"/>
      <c r="G19" s="486" t="str">
        <f>IF(B7="","",CONCATENATE("J",G21))</f>
        <v>J8</v>
      </c>
    </row>
    <row r="20" spans="1:7" ht="15.75">
      <c r="A20" s="483"/>
      <c r="B20" s="483"/>
      <c r="C20" s="483"/>
      <c r="D20" s="483"/>
      <c r="E20" s="483"/>
      <c r="F20" s="477"/>
      <c r="G20" s="487">
        <f>B7-10</f>
        <v>41126</v>
      </c>
    </row>
    <row r="21" spans="1:7" ht="15.75">
      <c r="A21" s="483" t="s">
        <v>107</v>
      </c>
      <c r="B21" s="479" t="s">
        <v>112</v>
      </c>
      <c r="C21" s="483"/>
      <c r="D21" s="483"/>
      <c r="E21" s="483"/>
      <c r="G21" s="488">
        <f>IF(B7="","",MONTH(G20))</f>
        <v>8</v>
      </c>
    </row>
    <row r="22" spans="1:7" ht="15.75">
      <c r="A22" s="483"/>
      <c r="B22" s="483"/>
      <c r="C22" s="483"/>
      <c r="D22" s="483"/>
      <c r="E22" s="483"/>
      <c r="G22" s="489">
        <f>IF(B7="","",DAY(G20))</f>
        <v>5</v>
      </c>
    </row>
    <row r="23" spans="1:7" ht="15.75">
      <c r="A23" s="483" t="s">
        <v>108</v>
      </c>
      <c r="B23" s="483" t="s">
        <v>113</v>
      </c>
      <c r="C23" s="483"/>
      <c r="D23" s="483"/>
      <c r="E23" s="483"/>
      <c r="G23" s="490">
        <f>IF(B7="","",YEAR(G20))</f>
        <v>2012</v>
      </c>
    </row>
    <row r="24" spans="1:5" ht="15.75">
      <c r="A24" s="483"/>
      <c r="B24" s="483"/>
      <c r="C24" s="483"/>
      <c r="D24" s="483"/>
      <c r="E24" s="483"/>
    </row>
    <row r="25" spans="1:5" ht="15.75">
      <c r="A25" s="483" t="s">
        <v>109</v>
      </c>
      <c r="B25" s="483" t="s">
        <v>114</v>
      </c>
      <c r="C25" s="483"/>
      <c r="D25" s="483"/>
      <c r="E25" s="483"/>
    </row>
    <row r="26" spans="1:5" ht="15.75">
      <c r="A26" s="483"/>
      <c r="B26" s="483"/>
      <c r="C26" s="483"/>
      <c r="D26" s="483"/>
      <c r="E26" s="483"/>
    </row>
    <row r="27" spans="1:5" ht="15.75">
      <c r="A27" s="483" t="s">
        <v>110</v>
      </c>
      <c r="B27" s="483" t="s">
        <v>114</v>
      </c>
      <c r="C27" s="483"/>
      <c r="D27" s="483"/>
      <c r="E27" s="483"/>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4" r:id="rId1"/>
</worksheet>
</file>

<file path=xl/worksheets/sheet4.xml><?xml version="1.0" encoding="utf-8"?>
<worksheet xmlns="http://schemas.openxmlformats.org/spreadsheetml/2006/main" xmlns:r="http://schemas.openxmlformats.org/officeDocument/2006/relationships">
  <sheetPr>
    <pageSetUpPr fitToPage="1"/>
  </sheetPr>
  <dimension ref="B1:G92"/>
  <sheetViews>
    <sheetView tabSelected="1" zoomScalePageLayoutView="0" workbookViewId="0" topLeftCell="A1">
      <selection activeCell="B5" sqref="B5:G5"/>
    </sheetView>
  </sheetViews>
  <sheetFormatPr defaultColWidth="8.796875" defaultRowHeight="15"/>
  <cols>
    <col min="1" max="1" width="8.8984375" style="63" customWidth="1"/>
    <col min="2" max="2" width="24.3984375" style="5" customWidth="1"/>
    <col min="3" max="3" width="10.796875" style="5" customWidth="1"/>
    <col min="4" max="4" width="5.796875" style="5" customWidth="1"/>
    <col min="5" max="5" width="14" style="5" customWidth="1"/>
    <col min="6" max="7" width="13.796875" style="5" customWidth="1"/>
    <col min="8" max="16384" width="8.8984375" style="63" customWidth="1"/>
  </cols>
  <sheetData>
    <row r="1" spans="2:7" ht="15.75">
      <c r="B1" s="4"/>
      <c r="C1" s="4"/>
      <c r="D1" s="4"/>
      <c r="E1" s="4"/>
      <c r="F1" s="4"/>
      <c r="G1" s="4">
        <f>inputPrYr!C5</f>
        <v>2013</v>
      </c>
    </row>
    <row r="2" spans="2:7" ht="15.75">
      <c r="B2" s="4"/>
      <c r="C2" s="4"/>
      <c r="D2" s="6" t="s">
        <v>258</v>
      </c>
      <c r="E2" s="4"/>
      <c r="F2" s="4"/>
      <c r="G2" s="99"/>
    </row>
    <row r="3" spans="2:7" ht="15.75">
      <c r="B3" s="535" t="str">
        <f>CONCATENATE("To the Clerk of ",inputPrYr!D3,", State of Kansas")</f>
        <v>To the Clerk of Allen County, State of Kansas</v>
      </c>
      <c r="C3" s="525"/>
      <c r="D3" s="525"/>
      <c r="E3" s="525"/>
      <c r="F3" s="525"/>
      <c r="G3" s="525"/>
    </row>
    <row r="4" spans="2:7" ht="15.75">
      <c r="B4" s="14" t="s">
        <v>8</v>
      </c>
      <c r="C4" s="13"/>
      <c r="D4" s="13"/>
      <c r="E4" s="13"/>
      <c r="F4" s="13"/>
      <c r="G4" s="13"/>
    </row>
    <row r="5" spans="2:7" ht="15.75">
      <c r="B5" s="533" t="str">
        <f>(inputPrYr!D2)</f>
        <v>City of LaHarpe</v>
      </c>
      <c r="C5" s="534"/>
      <c r="D5" s="534"/>
      <c r="E5" s="534"/>
      <c r="F5" s="534"/>
      <c r="G5" s="534"/>
    </row>
    <row r="6" spans="2:7" ht="15.75">
      <c r="B6" s="14" t="s">
        <v>97</v>
      </c>
      <c r="C6" s="13"/>
      <c r="D6" s="13"/>
      <c r="E6" s="13"/>
      <c r="F6" s="13"/>
      <c r="G6" s="13"/>
    </row>
    <row r="7" spans="2:7" ht="15.75">
      <c r="B7" s="14" t="s">
        <v>176</v>
      </c>
      <c r="C7" s="13"/>
      <c r="D7" s="13"/>
      <c r="E7" s="13"/>
      <c r="F7" s="13"/>
      <c r="G7" s="13"/>
    </row>
    <row r="8" spans="2:7" ht="15.75">
      <c r="B8" s="14" t="str">
        <f>CONCATENATE("maximum expenditures for the various funds for the year ",G1,"; and")</f>
        <v>maximum expenditures for the various funds for the year 2013; and</v>
      </c>
      <c r="C8" s="13"/>
      <c r="D8" s="13"/>
      <c r="E8" s="13"/>
      <c r="F8" s="13"/>
      <c r="G8" s="13"/>
    </row>
    <row r="9" spans="2:7" ht="15.75">
      <c r="B9" s="14" t="str">
        <f>CONCATENATE("(3) the Amount(s) of ",G1-1," Ad Valorem Tax are within statutory limitations.")</f>
        <v>(3) the Amount(s) of 2012 Ad Valorem Tax are within statutory limitations.</v>
      </c>
      <c r="C9" s="13"/>
      <c r="D9" s="13"/>
      <c r="E9" s="13"/>
      <c r="F9" s="13"/>
      <c r="G9" s="13"/>
    </row>
    <row r="10" spans="2:7" ht="15.75">
      <c r="B10" s="4"/>
      <c r="C10" s="4"/>
      <c r="D10" s="4"/>
      <c r="E10" s="100" t="str">
        <f>CONCATENATE("",G1," Adopted Budget")</f>
        <v>2013 Adopted Budget</v>
      </c>
      <c r="F10" s="101"/>
      <c r="G10" s="102"/>
    </row>
    <row r="11" spans="2:7" ht="21" customHeight="1">
      <c r="B11" s="4"/>
      <c r="C11" s="4"/>
      <c r="D11" s="103"/>
      <c r="E11" s="104" t="s">
        <v>177</v>
      </c>
      <c r="F11" s="105" t="s">
        <v>346</v>
      </c>
      <c r="G11" s="105" t="s">
        <v>178</v>
      </c>
    </row>
    <row r="12" spans="2:7" ht="15.75">
      <c r="B12" s="9"/>
      <c r="C12" s="4"/>
      <c r="D12" s="105" t="s">
        <v>179</v>
      </c>
      <c r="E12" s="106" t="s">
        <v>81</v>
      </c>
      <c r="F12" s="107" t="str">
        <f>CONCATENATE("",G1-1," Ad")</f>
        <v>2012 Ad</v>
      </c>
      <c r="G12" s="106" t="s">
        <v>180</v>
      </c>
    </row>
    <row r="13" spans="2:7" ht="15.75">
      <c r="B13" s="108" t="s">
        <v>181</v>
      </c>
      <c r="C13" s="35"/>
      <c r="D13" s="109" t="s">
        <v>182</v>
      </c>
      <c r="E13" s="109" t="s">
        <v>16</v>
      </c>
      <c r="F13" s="110" t="s">
        <v>347</v>
      </c>
      <c r="G13" s="109" t="s">
        <v>183</v>
      </c>
    </row>
    <row r="14" spans="2:7" ht="15.75">
      <c r="B14" s="111" t="str">
        <f>CONCATENATE("Computation to Determine Limit for ",G1,"")</f>
        <v>Computation to Determine Limit for 2013</v>
      </c>
      <c r="C14" s="57"/>
      <c r="D14" s="112">
        <v>2</v>
      </c>
      <c r="E14" s="113"/>
      <c r="F14" s="113"/>
      <c r="G14" s="113"/>
    </row>
    <row r="15" spans="2:7" ht="15.75">
      <c r="B15" s="111" t="s">
        <v>40</v>
      </c>
      <c r="C15" s="35"/>
      <c r="D15" s="109">
        <v>3</v>
      </c>
      <c r="E15" s="106"/>
      <c r="F15" s="106"/>
      <c r="G15" s="106"/>
    </row>
    <row r="16" spans="2:7" ht="15.75">
      <c r="B16" s="111" t="s">
        <v>322</v>
      </c>
      <c r="C16" s="35"/>
      <c r="D16" s="109">
        <v>4</v>
      </c>
      <c r="E16" s="106"/>
      <c r="F16" s="106"/>
      <c r="G16" s="106"/>
    </row>
    <row r="17" spans="2:7" ht="15.75">
      <c r="B17" s="111" t="s">
        <v>184</v>
      </c>
      <c r="C17" s="57"/>
      <c r="D17" s="112">
        <v>5</v>
      </c>
      <c r="E17" s="114"/>
      <c r="F17" s="114"/>
      <c r="G17" s="114"/>
    </row>
    <row r="18" spans="2:7" ht="15.75">
      <c r="B18" s="111" t="s">
        <v>185</v>
      </c>
      <c r="C18" s="57"/>
      <c r="D18" s="112">
        <v>6</v>
      </c>
      <c r="E18" s="114"/>
      <c r="F18" s="114"/>
      <c r="G18" s="114"/>
    </row>
    <row r="19" spans="2:7" ht="15.75">
      <c r="B19" s="122">
        <f>IF(inputPrYr!D19="","","Computation to Determine State Library Grant")</f>
      </c>
      <c r="C19" s="57"/>
      <c r="D19" s="120">
        <f>IF(inputPrYr!D19="","",#REF!)</f>
      </c>
      <c r="E19" s="114"/>
      <c r="F19" s="114"/>
      <c r="G19" s="114"/>
    </row>
    <row r="20" spans="2:7" ht="15.75">
      <c r="B20" s="115" t="s">
        <v>186</v>
      </c>
      <c r="C20" s="116" t="s">
        <v>187</v>
      </c>
      <c r="D20" s="117"/>
      <c r="E20" s="49"/>
      <c r="F20" s="49"/>
      <c r="G20" s="49"/>
    </row>
    <row r="21" spans="2:7" ht="15.75">
      <c r="B21" s="27" t="str">
        <f>inputPrYr!B17</f>
        <v>General</v>
      </c>
      <c r="C21" s="118" t="str">
        <f>IF(inputPrYr!C17&gt;0,(inputPrYr!C17),"  ")</f>
        <v>12-101a</v>
      </c>
      <c r="D21" s="112">
        <f>IF(general!D59&gt;0,general!D59,"")</f>
        <v>7</v>
      </c>
      <c r="E21" s="380">
        <f>IF(general!$E$115&lt;&gt;0,general!$E$115,"  ")</f>
        <v>212307</v>
      </c>
      <c r="F21" s="396">
        <f>IF(general!$E$122&lt;&gt;0,general!$E$122,0)</f>
        <v>83482</v>
      </c>
      <c r="G21" s="395">
        <f>IF($G$50=0,"",ROUND(F21/$G$50*1000,3))</f>
        <v>53.447</v>
      </c>
    </row>
    <row r="22" spans="2:7" ht="15.75">
      <c r="B22" s="48" t="str">
        <f>IF(inputPrYr!$B18&gt;"  ",(inputPrYr!$B18),"  ")</f>
        <v>Bond &amp; Interest</v>
      </c>
      <c r="C22" s="118" t="str">
        <f>IF(inputPrYr!C18&gt;0,(inputPrYr!C18),"  ")</f>
        <v>10-113</v>
      </c>
      <c r="D22" s="112">
        <f>IF('Bond &amp; Interest'!C83=0,"",'Bond &amp; Interest'!C83)</f>
        <v>8</v>
      </c>
      <c r="E22" s="380">
        <f>IF('Bond &amp; Interest'!E33&lt;&gt;0,'Bond &amp; Interest'!E33,"  ")</f>
        <v>51186</v>
      </c>
      <c r="F22" s="396">
        <f>IF('Bond &amp; Interest'!E40&lt;&gt;0,'Bond &amp; Interest'!E40,0)</f>
        <v>0</v>
      </c>
      <c r="G22" s="395">
        <f>IF($G$50=0,"",ROUND(F22/$G$50*1000,3))</f>
        <v>0</v>
      </c>
    </row>
    <row r="23" spans="2:7" ht="15.75">
      <c r="B23" s="48" t="str">
        <f>IF(inputPrYr!$B19&gt;"  ",(inputPrYr!$B19),"  ")</f>
        <v>  </v>
      </c>
      <c r="C23" s="118" t="str">
        <f>IF(inputPrYr!C19&gt;0,(inputPrYr!C19),"  ")</f>
        <v>  </v>
      </c>
      <c r="D23" s="112"/>
      <c r="E23" s="380" t="str">
        <f>IF('Bond &amp; Interest'!E73&lt;&gt;0,'Bond &amp; Interest'!E73,"  ")</f>
        <v>  </v>
      </c>
      <c r="F23" s="396">
        <f>IF('Bond &amp; Interest'!E80&lt;&gt;0,'Bond &amp; Interest'!E80,0)</f>
        <v>0</v>
      </c>
      <c r="G23" s="395">
        <f>IF($G$50=0,"",ROUND(F23/$G$50*1000,3))</f>
        <v>0</v>
      </c>
    </row>
    <row r="24" spans="2:7" ht="15.75">
      <c r="B24" s="48" t="str">
        <f>IF(inputPrYr!$B21&gt;"  ",(inputPrYr!$B21),"  ")</f>
        <v>  </v>
      </c>
      <c r="C24" s="118" t="str">
        <f>IF(inputPrYr!C21&gt;0,(inputPrYr!C21),"  ")</f>
        <v>  </v>
      </c>
      <c r="D24" s="112"/>
      <c r="E24" s="380"/>
      <c r="F24" s="396"/>
      <c r="G24" s="395">
        <f aca="true" t="shared" si="0" ref="G24:G33">IF($G$50=0,"",ROUND(F24/$G$50*1000,3))</f>
        <v>0</v>
      </c>
    </row>
    <row r="25" spans="2:7" ht="15.75">
      <c r="B25" s="48" t="str">
        <f>IF(inputPrYr!$B22&gt;"  ",(inputPrYr!$B22),"  ")</f>
        <v>  </v>
      </c>
      <c r="C25" s="118" t="str">
        <f>IF(inputPrYr!C22&gt;0,(inputPrYr!C22),"  ")</f>
        <v>  </v>
      </c>
      <c r="D25" s="112"/>
      <c r="E25" s="380"/>
      <c r="F25" s="396"/>
      <c r="G25" s="395">
        <f t="shared" si="0"/>
        <v>0</v>
      </c>
    </row>
    <row r="26" spans="2:7" ht="15.75">
      <c r="B26" s="48" t="str">
        <f>IF(inputPrYr!$B23&gt;"  ",(inputPrYr!$B23),"  ")</f>
        <v>  </v>
      </c>
      <c r="C26" s="118" t="str">
        <f>IF(inputPrYr!C23&gt;0,(inputPrYr!C23),"  ")</f>
        <v>  </v>
      </c>
      <c r="D26" s="112"/>
      <c r="E26" s="380"/>
      <c r="F26" s="396"/>
      <c r="G26" s="395">
        <f t="shared" si="0"/>
        <v>0</v>
      </c>
    </row>
    <row r="27" spans="2:7" ht="15.75">
      <c r="B27" s="48" t="str">
        <f>IF(inputPrYr!$B24&gt;"  ",(inputPrYr!$B24),"  ")</f>
        <v>  </v>
      </c>
      <c r="C27" s="118" t="str">
        <f>IF(inputPrYr!C24&gt;0,(inputPrYr!C24),"  ")</f>
        <v>  </v>
      </c>
      <c r="D27" s="112"/>
      <c r="E27" s="380"/>
      <c r="F27" s="396"/>
      <c r="G27" s="395">
        <f t="shared" si="0"/>
        <v>0</v>
      </c>
    </row>
    <row r="28" spans="2:7" ht="15.75">
      <c r="B28" s="48" t="str">
        <f>IF(inputPrYr!$B25&gt;"  ",(inputPrYr!$B25),"  ")</f>
        <v>  </v>
      </c>
      <c r="C28" s="118" t="str">
        <f>IF(inputPrYr!C25&gt;0,(inputPrYr!C25),"  ")</f>
        <v>  </v>
      </c>
      <c r="D28" s="112"/>
      <c r="E28" s="380"/>
      <c r="F28" s="396"/>
      <c r="G28" s="395">
        <f t="shared" si="0"/>
        <v>0</v>
      </c>
    </row>
    <row r="29" spans="2:7" ht="15.75">
      <c r="B29" s="48" t="str">
        <f>IF(inputPrYr!$B26&gt;"  ",(inputPrYr!$B26),"  ")</f>
        <v>  </v>
      </c>
      <c r="C29" s="118" t="str">
        <f>IF(inputPrYr!C26&gt;0,(inputPrYr!C26),"  ")</f>
        <v>  </v>
      </c>
      <c r="D29" s="112"/>
      <c r="E29" s="380"/>
      <c r="F29" s="396"/>
      <c r="G29" s="395">
        <f t="shared" si="0"/>
        <v>0</v>
      </c>
    </row>
    <row r="30" spans="2:7" ht="15.75">
      <c r="B30" s="48" t="str">
        <f>IF(inputPrYr!$B27&gt;"  ",(inputPrYr!$B27),"  ")</f>
        <v>  </v>
      </c>
      <c r="C30" s="118" t="str">
        <f>IF(inputPrYr!C27&gt;0,(inputPrYr!C27),"  ")</f>
        <v>  </v>
      </c>
      <c r="D30" s="112"/>
      <c r="E30" s="380"/>
      <c r="F30" s="396"/>
      <c r="G30" s="395">
        <f t="shared" si="0"/>
        <v>0</v>
      </c>
    </row>
    <row r="31" spans="2:7" ht="15.75">
      <c r="B31" s="48" t="str">
        <f>IF(inputPrYr!$B28&gt;"  ",(inputPrYr!$B28),"  ")</f>
        <v>  </v>
      </c>
      <c r="C31" s="118" t="str">
        <f>IF(inputPrYr!C28&gt;0,(inputPrYr!C28),"  ")</f>
        <v>  </v>
      </c>
      <c r="D31" s="112"/>
      <c r="E31" s="380"/>
      <c r="F31" s="396"/>
      <c r="G31" s="395">
        <f t="shared" si="0"/>
        <v>0</v>
      </c>
    </row>
    <row r="32" spans="2:7" ht="15.75">
      <c r="B32" s="48" t="str">
        <f>IF(inputPrYr!$B29&gt;"  ",(inputPrYr!$B29),"  ")</f>
        <v>  </v>
      </c>
      <c r="C32" s="118" t="str">
        <f>IF(inputPrYr!C29&gt;0,(inputPrYr!C29),"  ")</f>
        <v>  </v>
      </c>
      <c r="D32" s="112"/>
      <c r="E32" s="380"/>
      <c r="F32" s="396"/>
      <c r="G32" s="395">
        <f t="shared" si="0"/>
        <v>0</v>
      </c>
    </row>
    <row r="33" spans="2:7" ht="15.75">
      <c r="B33" s="48" t="str">
        <f>IF(inputPrYr!$B30&gt;"  ",(inputPrYr!$B30),"  ")</f>
        <v>  </v>
      </c>
      <c r="C33" s="118" t="str">
        <f>IF(inputPrYr!C30&gt;0,(inputPrYr!C30),"  ")</f>
        <v>  </v>
      </c>
      <c r="D33" s="112"/>
      <c r="E33" s="380"/>
      <c r="F33" s="396"/>
      <c r="G33" s="395">
        <f t="shared" si="0"/>
        <v>0</v>
      </c>
    </row>
    <row r="34" spans="2:7" ht="15.75">
      <c r="B34" s="119" t="str">
        <f>IF(inputPrYr!$B34&gt;"  ",(inputPrYr!$B34),"  ")</f>
        <v>Special Highway</v>
      </c>
      <c r="C34" s="57"/>
      <c r="D34" s="120">
        <f>IF('Sp Hiway &amp; Water'!C65&gt;0,'Sp Hiway &amp; Water'!C65,"  ")</f>
        <v>9</v>
      </c>
      <c r="E34" s="380">
        <f>IF('Sp Hiway &amp; Water'!$E$28&gt;0,'Sp Hiway &amp; Water'!$E$28,"  ")</f>
        <v>39372</v>
      </c>
      <c r="F34" s="380"/>
      <c r="G34" s="399"/>
    </row>
    <row r="35" spans="2:7" ht="15.75">
      <c r="B35" s="119" t="str">
        <f>IF(inputPrYr!$B35&gt;"  ",(inputPrYr!$B35),"  ")</f>
        <v>Water Utility</v>
      </c>
      <c r="C35" s="57"/>
      <c r="D35" s="120">
        <f>IF('Sp Hiway &amp; Water'!C65&gt;0,'Sp Hiway &amp; Water'!C65,"  ")</f>
        <v>9</v>
      </c>
      <c r="E35" s="380">
        <f>IF('Sp Hiway &amp; Water'!$E$59&gt;0,'Sp Hiway &amp; Water'!$E$59,"  ")</f>
        <v>135358</v>
      </c>
      <c r="F35" s="380"/>
      <c r="G35" s="399"/>
    </row>
    <row r="36" spans="2:7" ht="15.75">
      <c r="B36" s="119" t="str">
        <f>IF(inputPrYr!$B36&gt;"  ",(inputPrYr!$B36),"  ")</f>
        <v>Electric Utility</v>
      </c>
      <c r="C36" s="57"/>
      <c r="D36" s="120">
        <f>IF('Electric &amp; Sewer'!C67&gt;0,'Electric &amp; Sewer'!C67,"  ")</f>
        <v>10</v>
      </c>
      <c r="E36" s="380">
        <f>IF('Electric &amp; Sewer'!$E$30&gt;0,'Electric &amp; Sewer'!$E$30,"  ")</f>
        <v>511308</v>
      </c>
      <c r="F36" s="380"/>
      <c r="G36" s="399"/>
    </row>
    <row r="37" spans="2:7" ht="15.75">
      <c r="B37" s="119" t="str">
        <f>IF(inputPrYr!$B37&gt;"  ",(inputPrYr!$B37),"  ")</f>
        <v>Sewer Utility</v>
      </c>
      <c r="C37" s="57"/>
      <c r="D37" s="120">
        <f>IF('Electric &amp; Sewer'!C67&gt;0,'Electric &amp; Sewer'!C67,"  ")</f>
        <v>10</v>
      </c>
      <c r="E37" s="380">
        <f>IF('Electric &amp; Sewer'!$E$61&gt;0,'Electric &amp; Sewer'!$E$61,"  ")</f>
        <v>112115</v>
      </c>
      <c r="F37" s="380"/>
      <c r="G37" s="399"/>
    </row>
    <row r="38" spans="2:7" ht="15.75">
      <c r="B38" s="119" t="str">
        <f>IF(inputPrYr!$B38&gt;"  ",(inputPrYr!$B38),"  ")</f>
        <v>Trash Utility</v>
      </c>
      <c r="C38" s="57"/>
      <c r="D38" s="120">
        <f>IF('Trash &amp; Eq Res'!C65&gt;0,'Trash &amp; Eq Res'!C65,"  ")</f>
        <v>11</v>
      </c>
      <c r="E38" s="380">
        <f>IF('Trash &amp; Eq Res'!$E$28&gt;0,'Trash &amp; Eq Res'!$E$28,"  ")</f>
        <v>22315</v>
      </c>
      <c r="F38" s="380"/>
      <c r="G38" s="399"/>
    </row>
    <row r="39" spans="2:7" ht="15.75">
      <c r="B39" s="121" t="str">
        <f>IF(inputPrYr!$B39&gt;"  ",(inputPrYr!$B39),"  ")</f>
        <v>Equipment Reserve</v>
      </c>
      <c r="C39" s="57"/>
      <c r="D39" s="120"/>
      <c r="E39" s="380">
        <f>IF('Trash &amp; Eq Res'!$E$59&gt;0,'Trash &amp; Eq Res'!$E$59,"  ")</f>
        <v>31184</v>
      </c>
      <c r="F39" s="380"/>
      <c r="G39" s="399"/>
    </row>
    <row r="40" spans="2:7" ht="15.75">
      <c r="B40" s="119" t="str">
        <f>IF(inputPrYr!$B40&gt;"  ",(inputPrYr!$B40),"  ")</f>
        <v>  </v>
      </c>
      <c r="C40" s="57"/>
      <c r="D40" s="120"/>
      <c r="E40" s="380"/>
      <c r="F40" s="380"/>
      <c r="G40" s="399"/>
    </row>
    <row r="41" spans="2:7" ht="15.75">
      <c r="B41" s="119" t="str">
        <f>IF(inputPrYr!$B41&gt;"  ",(inputPrYr!$B41),"  ")</f>
        <v>  </v>
      </c>
      <c r="C41" s="57"/>
      <c r="D41" s="120"/>
      <c r="E41" s="380"/>
      <c r="F41" s="380"/>
      <c r="G41" s="399"/>
    </row>
    <row r="42" spans="2:7" ht="15.75">
      <c r="B42" s="119" t="str">
        <f>IF(inputPrYr!$B44&gt;"  ",(inputPrYr!$B44),"  ")</f>
        <v>  </v>
      </c>
      <c r="C42" s="54"/>
      <c r="D42" s="120"/>
      <c r="E42" s="380"/>
      <c r="F42" s="380"/>
      <c r="G42" s="399"/>
    </row>
    <row r="43" spans="2:7" ht="15.75">
      <c r="B43" s="119" t="str">
        <f>IF(inputPrYr!$B45&gt;"  ",(inputPrYr!$B45),"  ")</f>
        <v>  </v>
      </c>
      <c r="C43" s="54"/>
      <c r="D43" s="120"/>
      <c r="E43" s="380"/>
      <c r="F43" s="380"/>
      <c r="G43" s="399"/>
    </row>
    <row r="44" spans="2:7" ht="15.75">
      <c r="B44" s="119" t="str">
        <f>IF(inputPrYr!$B46&gt;"  ",(inputPrYr!$B46),"  ")</f>
        <v>  </v>
      </c>
      <c r="C44" s="54"/>
      <c r="D44" s="120"/>
      <c r="E44" s="380"/>
      <c r="F44" s="380"/>
      <c r="G44" s="399"/>
    </row>
    <row r="45" spans="2:7" ht="15.75">
      <c r="B45" s="119" t="str">
        <f>IF(inputPrYr!$B47&gt;"  ",(inputPrYr!$B47),"  ")</f>
        <v>  </v>
      </c>
      <c r="C45" s="54"/>
      <c r="D45" s="120"/>
      <c r="E45" s="380"/>
      <c r="F45" s="380"/>
      <c r="G45" s="399"/>
    </row>
    <row r="46" spans="2:7" ht="15.75">
      <c r="B46" s="119" t="str">
        <f>IF(inputPrYr!$B51&gt;"  ",(NonBudA!$A3),"  ")</f>
        <v>Non-Budgeted Funds-A</v>
      </c>
      <c r="C46" s="54"/>
      <c r="D46" s="120">
        <f>IF(NonBudA!F33&gt;0,NonBudA!F33,"  ")</f>
        <v>12</v>
      </c>
      <c r="E46" s="380"/>
      <c r="F46" s="380"/>
      <c r="G46" s="399"/>
    </row>
    <row r="47" spans="2:7" ht="16.5" thickBot="1">
      <c r="B47" s="119" t="str">
        <f>IF(inputPrYr!$B57&gt;"  ",(#REF!),"  ")</f>
        <v>  </v>
      </c>
      <c r="C47" s="54"/>
      <c r="D47" s="120"/>
      <c r="E47" s="380"/>
      <c r="F47" s="380"/>
      <c r="G47" s="399"/>
    </row>
    <row r="48" spans="2:7" ht="16.5" thickBot="1">
      <c r="B48" s="317" t="s">
        <v>34</v>
      </c>
      <c r="C48" s="54"/>
      <c r="D48" s="207" t="s">
        <v>189</v>
      </c>
      <c r="E48" s="398">
        <f>SUM(E21:E47)</f>
        <v>1115145</v>
      </c>
      <c r="F48" s="398">
        <f>SUM(F21:F47)</f>
        <v>83482</v>
      </c>
      <c r="G48" s="397">
        <f>IF(SUM(G21:G47)=0,"",SUM(G21:G47))</f>
        <v>53.447</v>
      </c>
    </row>
    <row r="49" spans="2:7" ht="16.5" thickTop="1">
      <c r="B49" s="124" t="s">
        <v>71</v>
      </c>
      <c r="C49" s="125"/>
      <c r="D49" s="126"/>
      <c r="E49" s="377"/>
      <c r="F49" s="378" t="str">
        <f>IF(F48&gt;computation!J40,"Yes","No")</f>
        <v>No</v>
      </c>
      <c r="G49" s="388" t="s">
        <v>326</v>
      </c>
    </row>
    <row r="50" spans="2:7" ht="15.75">
      <c r="B50" s="111" t="s">
        <v>70</v>
      </c>
      <c r="C50" s="57"/>
      <c r="D50" s="112">
        <f>summ!D43</f>
        <v>13</v>
      </c>
      <c r="E50" s="123"/>
      <c r="F50" s="4"/>
      <c r="G50" s="322">
        <v>1561971</v>
      </c>
    </row>
    <row r="51" spans="2:7" ht="15.75">
      <c r="B51" s="111" t="s">
        <v>85</v>
      </c>
      <c r="C51" s="57"/>
      <c r="D51" s="112">
        <f>IF(nhood!C40&gt;0,nhood!C40,"")</f>
        <v>14</v>
      </c>
      <c r="E51" s="123"/>
      <c r="F51" s="4"/>
      <c r="G51" s="538" t="str">
        <f>CONCATENATE("Nov 1, ",G1-1," Total Assessed Valuation")</f>
        <v>Nov 1, 2012 Total Assessed Valuation</v>
      </c>
    </row>
    <row r="52" spans="2:7" ht="15.75">
      <c r="B52" s="41"/>
      <c r="C52" s="40"/>
      <c r="D52" s="151"/>
      <c r="E52" s="319"/>
      <c r="F52" s="320"/>
      <c r="G52" s="539"/>
    </row>
    <row r="53" spans="2:7" ht="15.75">
      <c r="B53" s="41" t="s">
        <v>190</v>
      </c>
      <c r="C53" s="40"/>
      <c r="D53" s="4"/>
      <c r="E53" s="318"/>
      <c r="F53" s="40"/>
      <c r="G53" s="40"/>
    </row>
    <row r="54" spans="2:7" ht="15.75">
      <c r="B54" s="499" t="s">
        <v>116</v>
      </c>
      <c r="C54" s="40"/>
      <c r="D54" s="40" t="s">
        <v>38</v>
      </c>
      <c r="E54" s="393"/>
      <c r="F54" s="40"/>
      <c r="G54" s="40"/>
    </row>
    <row r="55" spans="2:7" ht="15.75">
      <c r="B55" s="500" t="s">
        <v>117</v>
      </c>
      <c r="C55" s="4"/>
      <c r="D55" s="41"/>
      <c r="E55" s="394"/>
      <c r="F55" s="40"/>
      <c r="G55" s="40"/>
    </row>
    <row r="56" spans="2:7" ht="15.75">
      <c r="B56" s="41" t="s">
        <v>330</v>
      </c>
      <c r="C56" s="40"/>
      <c r="D56" s="40" t="s">
        <v>38</v>
      </c>
      <c r="E56" s="392"/>
      <c r="F56" s="231"/>
      <c r="G56" s="231"/>
    </row>
    <row r="57" spans="2:7" ht="15.75">
      <c r="B57" s="501" t="s">
        <v>118</v>
      </c>
      <c r="C57" s="9"/>
      <c r="D57" s="40"/>
      <c r="E57" s="40"/>
      <c r="F57" s="4"/>
      <c r="G57" s="4"/>
    </row>
    <row r="58" spans="2:7" ht="15.75">
      <c r="B58" s="501" t="s">
        <v>119</v>
      </c>
      <c r="C58" s="127"/>
      <c r="D58" s="40" t="s">
        <v>38</v>
      </c>
      <c r="E58" s="40"/>
      <c r="F58" s="231"/>
      <c r="G58" s="231"/>
    </row>
    <row r="59" spans="2:7" ht="15.75">
      <c r="B59" s="41" t="s">
        <v>48</v>
      </c>
      <c r="C59" s="40"/>
      <c r="D59" s="4"/>
      <c r="E59" s="4"/>
      <c r="F59" s="4"/>
      <c r="G59" s="4"/>
    </row>
    <row r="60" spans="2:7" ht="15.75">
      <c r="B60" s="515" t="s">
        <v>389</v>
      </c>
      <c r="C60" s="128"/>
      <c r="D60" s="40" t="s">
        <v>38</v>
      </c>
      <c r="E60" s="40"/>
      <c r="F60" s="231"/>
      <c r="G60" s="231"/>
    </row>
    <row r="61" spans="2:7" ht="15.75">
      <c r="B61" s="10" t="s">
        <v>78</v>
      </c>
      <c r="C61" s="129">
        <f>G1-1</f>
        <v>2012</v>
      </c>
      <c r="D61" s="4"/>
      <c r="E61" s="4"/>
      <c r="F61" s="14"/>
      <c r="G61" s="4"/>
    </row>
    <row r="62" spans="2:7" ht="15.75">
      <c r="B62" s="383"/>
      <c r="C62" s="4"/>
      <c r="D62" s="40" t="s">
        <v>38</v>
      </c>
      <c r="E62" s="40"/>
      <c r="F62" s="40"/>
      <c r="G62" s="40"/>
    </row>
    <row r="63" spans="2:7" ht="15.75">
      <c r="B63" s="24" t="s">
        <v>192</v>
      </c>
      <c r="C63" s="4"/>
      <c r="D63" s="536" t="s">
        <v>191</v>
      </c>
      <c r="E63" s="537"/>
      <c r="F63" s="537"/>
      <c r="G63" s="537"/>
    </row>
    <row r="64" ht="15.75">
      <c r="B64" s="1"/>
    </row>
    <row r="74" spans="2:7" ht="15">
      <c r="B74" s="63"/>
      <c r="C74" s="63"/>
      <c r="D74" s="63"/>
      <c r="E74" s="63"/>
      <c r="F74" s="63"/>
      <c r="G74" s="63"/>
    </row>
    <row r="75" spans="2:7" ht="15">
      <c r="B75" s="63"/>
      <c r="C75" s="63"/>
      <c r="D75" s="63"/>
      <c r="E75" s="63"/>
      <c r="F75" s="63"/>
      <c r="G75" s="63"/>
    </row>
    <row r="76" spans="2:7" ht="15">
      <c r="B76" s="63"/>
      <c r="C76" s="63"/>
      <c r="D76" s="63"/>
      <c r="E76" s="63"/>
      <c r="F76" s="63"/>
      <c r="G76" s="63"/>
    </row>
    <row r="77" spans="2:7" ht="15">
      <c r="B77" s="63"/>
      <c r="C77" s="63"/>
      <c r="D77" s="63"/>
      <c r="E77" s="63"/>
      <c r="F77" s="63"/>
      <c r="G77" s="63"/>
    </row>
    <row r="78" spans="2:7" ht="15">
      <c r="B78" s="63"/>
      <c r="C78" s="63"/>
      <c r="D78" s="63"/>
      <c r="E78" s="63"/>
      <c r="F78" s="63"/>
      <c r="G78" s="63"/>
    </row>
    <row r="79" spans="2:7" ht="15">
      <c r="B79" s="63"/>
      <c r="C79" s="63"/>
      <c r="D79" s="63"/>
      <c r="E79" s="63"/>
      <c r="F79" s="63"/>
      <c r="G79" s="63"/>
    </row>
    <row r="80" spans="2:7" ht="15">
      <c r="B80" s="63"/>
      <c r="C80" s="63"/>
      <c r="D80" s="63"/>
      <c r="E80" s="63"/>
      <c r="F80" s="63"/>
      <c r="G80" s="63"/>
    </row>
    <row r="81" spans="2:7" ht="15">
      <c r="B81" s="63"/>
      <c r="C81" s="63"/>
      <c r="D81" s="63"/>
      <c r="E81" s="63"/>
      <c r="F81" s="63"/>
      <c r="G81" s="63"/>
    </row>
    <row r="82" spans="2:7" ht="15">
      <c r="B82" s="63"/>
      <c r="C82" s="63"/>
      <c r="D82" s="63"/>
      <c r="E82" s="63"/>
      <c r="F82" s="63"/>
      <c r="G82" s="63"/>
    </row>
    <row r="83" spans="2:7" ht="15">
      <c r="B83" s="63"/>
      <c r="C83" s="63"/>
      <c r="D83" s="63"/>
      <c r="E83" s="63"/>
      <c r="F83" s="63"/>
      <c r="G83" s="63"/>
    </row>
    <row r="84" spans="2:7" ht="15">
      <c r="B84" s="63"/>
      <c r="C84" s="63"/>
      <c r="D84" s="63"/>
      <c r="E84" s="63"/>
      <c r="F84" s="63"/>
      <c r="G84" s="63"/>
    </row>
    <row r="85" spans="2:7" ht="15">
      <c r="B85" s="63"/>
      <c r="C85" s="63"/>
      <c r="D85" s="63"/>
      <c r="E85" s="63"/>
      <c r="F85" s="63"/>
      <c r="G85" s="63"/>
    </row>
    <row r="86" spans="2:7" ht="15">
      <c r="B86" s="63"/>
      <c r="C86" s="63"/>
      <c r="D86" s="63"/>
      <c r="E86" s="63"/>
      <c r="F86" s="63"/>
      <c r="G86" s="63"/>
    </row>
    <row r="87" spans="2:7" ht="15">
      <c r="B87" s="63"/>
      <c r="C87" s="63"/>
      <c r="D87" s="63"/>
      <c r="E87" s="63"/>
      <c r="F87" s="63"/>
      <c r="G87" s="63"/>
    </row>
    <row r="88" spans="2:7" ht="15">
      <c r="B88" s="63"/>
      <c r="C88" s="63"/>
      <c r="D88" s="63"/>
      <c r="E88" s="63"/>
      <c r="F88" s="63"/>
      <c r="G88" s="63"/>
    </row>
    <row r="89" spans="2:7" ht="15">
      <c r="B89" s="63"/>
      <c r="C89" s="63"/>
      <c r="D89" s="63"/>
      <c r="E89" s="63"/>
      <c r="F89" s="63"/>
      <c r="G89" s="63"/>
    </row>
    <row r="92" spans="2:7" ht="15.75">
      <c r="B92" s="1"/>
      <c r="C92" s="1"/>
      <c r="D92" s="1"/>
      <c r="E92" s="1"/>
      <c r="F92" s="1"/>
      <c r="G92" s="1"/>
    </row>
  </sheetData>
  <sheetProtection/>
  <mergeCells count="4">
    <mergeCell ref="B5:G5"/>
    <mergeCell ref="B3:G3"/>
    <mergeCell ref="D63:G63"/>
    <mergeCell ref="G51:G52"/>
  </mergeCells>
  <hyperlinks>
    <hyperlink ref="B60" r:id="rId1" display="pjarred@jgppa.com"/>
  </hyperlinks>
  <printOptions/>
  <pageMargins left="1" right="0.5" top="0.75" bottom="0.5" header="0.5" footer="0.25"/>
  <pageSetup blackAndWhite="1" fitToHeight="1" fitToWidth="1" horizontalDpi="120" verticalDpi="120" orientation="portrait" scale="76" r:id="rId2"/>
  <headerFooter alignWithMargins="0">
    <oddHeader>&amp;RState of Kansas
City
</oddHeader>
    <oddFooter>&amp;CPage No. 1</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16">
      <selection activeCell="J38" sqref="J38"/>
    </sheetView>
  </sheetViews>
  <sheetFormatPr defaultColWidth="8.796875" defaultRowHeight="15.75" customHeight="1"/>
  <cols>
    <col min="1" max="2" width="3.296875" style="1" customWidth="1"/>
    <col min="3" max="3" width="31.296875" style="1" customWidth="1"/>
    <col min="4" max="4" width="2.296875" style="1" customWidth="1"/>
    <col min="5" max="5" width="15.796875" style="1" customWidth="1"/>
    <col min="6" max="6" width="2" style="1" customWidth="1"/>
    <col min="7" max="7" width="15.796875" style="1" customWidth="1"/>
    <col min="8" max="8" width="1.8984375" style="1" customWidth="1"/>
    <col min="9" max="9" width="1.796875" style="1" customWidth="1"/>
    <col min="10" max="10" width="15.796875" style="1" customWidth="1"/>
    <col min="11" max="16384" width="8.8984375" style="1" customWidth="1"/>
  </cols>
  <sheetData>
    <row r="1" spans="1:10" ht="15.75" customHeight="1">
      <c r="A1" s="4"/>
      <c r="B1" s="4"/>
      <c r="C1" s="131" t="str">
        <f>inputPrYr!D2</f>
        <v>City of LaHarpe</v>
      </c>
      <c r="D1" s="4"/>
      <c r="E1" s="4"/>
      <c r="F1" s="4"/>
      <c r="G1" s="4"/>
      <c r="H1" s="4"/>
      <c r="I1" s="4"/>
      <c r="J1" s="4">
        <f>inputPrYr!$C$5</f>
        <v>2013</v>
      </c>
    </row>
    <row r="2" spans="1:10" ht="15.75" customHeight="1">
      <c r="A2" s="4"/>
      <c r="B2" s="4"/>
      <c r="C2" s="4"/>
      <c r="D2" s="4"/>
      <c r="E2" s="4"/>
      <c r="F2" s="4"/>
      <c r="G2" s="4"/>
      <c r="H2" s="4"/>
      <c r="I2" s="4"/>
      <c r="J2" s="4"/>
    </row>
    <row r="3" spans="1:10" ht="15.75">
      <c r="A3" s="543" t="str">
        <f>CONCATENATE("Computation to Determine Limit for ",J1,"")</f>
        <v>Computation to Determine Limit for 2013</v>
      </c>
      <c r="B3" s="544"/>
      <c r="C3" s="544"/>
      <c r="D3" s="544"/>
      <c r="E3" s="544"/>
      <c r="F3" s="544"/>
      <c r="G3" s="544"/>
      <c r="H3" s="544"/>
      <c r="I3" s="544"/>
      <c r="J3" s="544"/>
    </row>
    <row r="4" spans="1:10" ht="15.75">
      <c r="A4" s="4"/>
      <c r="B4" s="4"/>
      <c r="C4" s="4"/>
      <c r="D4" s="4"/>
      <c r="E4" s="544"/>
      <c r="F4" s="544"/>
      <c r="G4" s="544"/>
      <c r="H4" s="132"/>
      <c r="I4" s="4"/>
      <c r="J4" s="133" t="s">
        <v>271</v>
      </c>
    </row>
    <row r="5" spans="1:10" ht="15.75">
      <c r="A5" s="134" t="s">
        <v>272</v>
      </c>
      <c r="B5" s="4" t="str">
        <f>CONCATENATE("Total Tax Levy Amount in ",J1-1," Budget")</f>
        <v>Total Tax Levy Amount in 2012 Budget</v>
      </c>
      <c r="C5" s="4"/>
      <c r="D5" s="4"/>
      <c r="E5" s="31"/>
      <c r="F5" s="31"/>
      <c r="G5" s="31"/>
      <c r="H5" s="135" t="s">
        <v>273</v>
      </c>
      <c r="I5" s="31" t="s">
        <v>274</v>
      </c>
      <c r="J5" s="136">
        <f>inputPrYr!E31</f>
        <v>82874</v>
      </c>
    </row>
    <row r="6" spans="1:10" ht="15.75">
      <c r="A6" s="134" t="s">
        <v>275</v>
      </c>
      <c r="B6" s="4" t="str">
        <f>CONCATENATE("Debt Service Levy in ",J1-1," Budget")</f>
        <v>Debt Service Levy in 2012 Budget</v>
      </c>
      <c r="C6" s="4"/>
      <c r="D6" s="4"/>
      <c r="E6" s="31"/>
      <c r="F6" s="31"/>
      <c r="G6" s="31"/>
      <c r="H6" s="135" t="s">
        <v>276</v>
      </c>
      <c r="I6" s="31" t="s">
        <v>274</v>
      </c>
      <c r="J6" s="36">
        <f>inputPrYr!E18</f>
        <v>0</v>
      </c>
    </row>
    <row r="7" spans="1:10" ht="15.75">
      <c r="A7" s="134" t="s">
        <v>303</v>
      </c>
      <c r="B7" s="21" t="s">
        <v>300</v>
      </c>
      <c r="C7" s="4"/>
      <c r="D7" s="4"/>
      <c r="E7" s="31"/>
      <c r="F7" s="31"/>
      <c r="G7" s="31"/>
      <c r="H7" s="31"/>
      <c r="I7" s="31" t="s">
        <v>274</v>
      </c>
      <c r="J7" s="36">
        <f>J5-J6</f>
        <v>82874</v>
      </c>
    </row>
    <row r="8" spans="1:10" ht="15.75">
      <c r="A8" s="4"/>
      <c r="B8" s="4"/>
      <c r="C8" s="4"/>
      <c r="D8" s="4"/>
      <c r="E8" s="31"/>
      <c r="F8" s="31"/>
      <c r="G8" s="31"/>
      <c r="H8" s="31"/>
      <c r="I8" s="31"/>
      <c r="J8" s="31"/>
    </row>
    <row r="9" spans="1:10" ht="15.75">
      <c r="A9" s="4"/>
      <c r="B9" s="21" t="str">
        <f>CONCATENATE("",J1-1," Valuation Information for Valuation Adjustments:")</f>
        <v>2012 Valuation Information for Valuation Adjustments:</v>
      </c>
      <c r="C9" s="4"/>
      <c r="D9" s="4"/>
      <c r="E9" s="31"/>
      <c r="F9" s="31"/>
      <c r="G9" s="31"/>
      <c r="H9" s="31"/>
      <c r="I9" s="31"/>
      <c r="J9" s="31"/>
    </row>
    <row r="10" spans="1:10" ht="15.75">
      <c r="A10" s="4"/>
      <c r="B10" s="4"/>
      <c r="C10" s="21"/>
      <c r="D10" s="4"/>
      <c r="E10" s="31"/>
      <c r="F10" s="31"/>
      <c r="G10" s="31"/>
      <c r="H10" s="31"/>
      <c r="I10" s="31"/>
      <c r="J10" s="31"/>
    </row>
    <row r="11" spans="1:10" ht="15.75">
      <c r="A11" s="134" t="s">
        <v>277</v>
      </c>
      <c r="B11" s="21" t="str">
        <f>CONCATENATE("New Improvements for ",J1-1,":")</f>
        <v>New Improvements for 2012:</v>
      </c>
      <c r="C11" s="4"/>
      <c r="D11" s="4"/>
      <c r="E11" s="135"/>
      <c r="F11" s="135" t="s">
        <v>273</v>
      </c>
      <c r="G11" s="136">
        <f>inputOth!E8</f>
        <v>13990</v>
      </c>
      <c r="H11" s="38"/>
      <c r="I11" s="31"/>
      <c r="J11" s="31"/>
    </row>
    <row r="12" spans="1:10" ht="15.75">
      <c r="A12" s="134"/>
      <c r="B12" s="137"/>
      <c r="C12" s="4"/>
      <c r="D12" s="4"/>
      <c r="E12" s="135"/>
      <c r="F12" s="135"/>
      <c r="G12" s="38"/>
      <c r="H12" s="38"/>
      <c r="I12" s="31"/>
      <c r="J12" s="31"/>
    </row>
    <row r="13" spans="1:10" ht="15.75">
      <c r="A13" s="134" t="s">
        <v>278</v>
      </c>
      <c r="B13" s="21" t="str">
        <f>CONCATENATE("Increase in Personal Property for ",J1-1,":")</f>
        <v>Increase in Personal Property for 2012:</v>
      </c>
      <c r="C13" s="4"/>
      <c r="D13" s="4"/>
      <c r="E13" s="135"/>
      <c r="F13" s="135"/>
      <c r="G13" s="38"/>
      <c r="H13" s="38"/>
      <c r="I13" s="31"/>
      <c r="J13" s="31"/>
    </row>
    <row r="14" spans="1:10" ht="15.75">
      <c r="A14" s="99"/>
      <c r="B14" s="4" t="s">
        <v>279</v>
      </c>
      <c r="C14" s="4" t="str">
        <f>CONCATENATE("Personal Property ",J1-1,"")</f>
        <v>Personal Property 2012</v>
      </c>
      <c r="D14" s="137" t="s">
        <v>273</v>
      </c>
      <c r="E14" s="136">
        <f>inputOth!E9</f>
        <v>23304</v>
      </c>
      <c r="F14" s="135"/>
      <c r="G14" s="31"/>
      <c r="H14" s="31"/>
      <c r="I14" s="38"/>
      <c r="J14" s="31"/>
    </row>
    <row r="15" spans="1:10" ht="15.75">
      <c r="A15" s="137"/>
      <c r="B15" s="4" t="s">
        <v>280</v>
      </c>
      <c r="C15" s="4" t="str">
        <f>CONCATENATE("Personal Property ",J1-2,"")</f>
        <v>Personal Property 2011</v>
      </c>
      <c r="D15" s="137" t="s">
        <v>276</v>
      </c>
      <c r="E15" s="36">
        <f>inputOth!E15</f>
        <v>24749</v>
      </c>
      <c r="F15" s="135"/>
      <c r="G15" s="38"/>
      <c r="H15" s="38"/>
      <c r="I15" s="31"/>
      <c r="J15" s="31"/>
    </row>
    <row r="16" spans="1:10" ht="15.75">
      <c r="A16" s="137"/>
      <c r="B16" s="4" t="s">
        <v>281</v>
      </c>
      <c r="C16" s="4" t="s">
        <v>302</v>
      </c>
      <c r="D16" s="4"/>
      <c r="E16" s="31"/>
      <c r="F16" s="31" t="s">
        <v>273</v>
      </c>
      <c r="G16" s="136">
        <f>IF(E14&gt;E15,E14-E15,0)</f>
        <v>0</v>
      </c>
      <c r="H16" s="38"/>
      <c r="I16" s="31"/>
      <c r="J16" s="31"/>
    </row>
    <row r="17" spans="1:10" ht="15.75">
      <c r="A17" s="137"/>
      <c r="B17" s="137"/>
      <c r="C17" s="4"/>
      <c r="D17" s="4"/>
      <c r="E17" s="31"/>
      <c r="F17" s="31"/>
      <c r="G17" s="38" t="s">
        <v>294</v>
      </c>
      <c r="H17" s="38"/>
      <c r="I17" s="31"/>
      <c r="J17" s="31"/>
    </row>
    <row r="18" spans="1:10" ht="15.75">
      <c r="A18" s="137" t="s">
        <v>282</v>
      </c>
      <c r="B18" s="21" t="str">
        <f>CONCATENATE("Valuation of annexed territory for ",J1-1,":")</f>
        <v>Valuation of annexed territory for 2012:</v>
      </c>
      <c r="C18" s="4"/>
      <c r="D18" s="4"/>
      <c r="E18" s="38"/>
      <c r="F18" s="31"/>
      <c r="G18" s="31"/>
      <c r="H18" s="31"/>
      <c r="I18" s="31"/>
      <c r="J18" s="31"/>
    </row>
    <row r="19" spans="1:10" ht="15.75">
      <c r="A19" s="137"/>
      <c r="B19" s="4" t="s">
        <v>283</v>
      </c>
      <c r="C19" s="4" t="s">
        <v>304</v>
      </c>
      <c r="D19" s="137" t="s">
        <v>273</v>
      </c>
      <c r="E19" s="136">
        <f>inputOth!E11</f>
        <v>0</v>
      </c>
      <c r="F19" s="31"/>
      <c r="G19" s="31"/>
      <c r="H19" s="31"/>
      <c r="I19" s="31"/>
      <c r="J19" s="31"/>
    </row>
    <row r="20" spans="1:10" ht="15.75">
      <c r="A20" s="137"/>
      <c r="B20" s="4" t="s">
        <v>284</v>
      </c>
      <c r="C20" s="4" t="s">
        <v>305</v>
      </c>
      <c r="D20" s="137" t="s">
        <v>273</v>
      </c>
      <c r="E20" s="136">
        <f>inputOth!E12</f>
        <v>0</v>
      </c>
      <c r="F20" s="31"/>
      <c r="G20" s="38"/>
      <c r="H20" s="38"/>
      <c r="I20" s="31"/>
      <c r="J20" s="31"/>
    </row>
    <row r="21" spans="1:10" ht="15.75">
      <c r="A21" s="137"/>
      <c r="B21" s="4" t="s">
        <v>285</v>
      </c>
      <c r="C21" s="4" t="s">
        <v>301</v>
      </c>
      <c r="D21" s="137" t="s">
        <v>276</v>
      </c>
      <c r="E21" s="136">
        <f>inputOth!E13</f>
        <v>0</v>
      </c>
      <c r="F21" s="31"/>
      <c r="G21" s="38"/>
      <c r="H21" s="38"/>
      <c r="I21" s="31"/>
      <c r="J21" s="31"/>
    </row>
    <row r="22" spans="1:10" ht="15.75">
      <c r="A22" s="137"/>
      <c r="B22" s="4" t="s">
        <v>286</v>
      </c>
      <c r="C22" s="4" t="s">
        <v>306</v>
      </c>
      <c r="D22" s="137"/>
      <c r="E22" s="38"/>
      <c r="F22" s="31" t="s">
        <v>273</v>
      </c>
      <c r="G22" s="136">
        <f>E19+E20-E21</f>
        <v>0</v>
      </c>
      <c r="H22" s="38"/>
      <c r="I22" s="31"/>
      <c r="J22" s="31"/>
    </row>
    <row r="23" spans="1:10" ht="15.75">
      <c r="A23" s="137"/>
      <c r="B23" s="137"/>
      <c r="C23" s="4"/>
      <c r="D23" s="137"/>
      <c r="E23" s="38"/>
      <c r="F23" s="31"/>
      <c r="G23" s="38"/>
      <c r="H23" s="38"/>
      <c r="I23" s="31"/>
      <c r="J23" s="31"/>
    </row>
    <row r="24" spans="1:10" ht="15.75">
      <c r="A24" s="137" t="s">
        <v>287</v>
      </c>
      <c r="B24" s="21" t="str">
        <f>CONCATENATE("Valuation of Property that has Changed in Use during ",J1-1,":")</f>
        <v>Valuation of Property that has Changed in Use during 2012:</v>
      </c>
      <c r="C24" s="4"/>
      <c r="D24" s="4"/>
      <c r="E24" s="31"/>
      <c r="F24" s="31"/>
      <c r="G24" s="31">
        <f>inputOth!E14</f>
        <v>10839</v>
      </c>
      <c r="H24" s="31"/>
      <c r="I24" s="31"/>
      <c r="J24" s="31"/>
    </row>
    <row r="25" spans="1:10" ht="15.75">
      <c r="A25" s="4" t="s">
        <v>177</v>
      </c>
      <c r="B25" s="4"/>
      <c r="C25" s="4"/>
      <c r="D25" s="137"/>
      <c r="E25" s="38"/>
      <c r="F25" s="31"/>
      <c r="G25" s="138"/>
      <c r="H25" s="38"/>
      <c r="I25" s="31"/>
      <c r="J25" s="31"/>
    </row>
    <row r="26" spans="1:10" ht="15.75">
      <c r="A26" s="137" t="s">
        <v>288</v>
      </c>
      <c r="B26" s="21" t="s">
        <v>307</v>
      </c>
      <c r="C26" s="4"/>
      <c r="D26" s="4"/>
      <c r="E26" s="31"/>
      <c r="F26" s="31"/>
      <c r="G26" s="136">
        <f>G11+G16+G22+G24</f>
        <v>24829</v>
      </c>
      <c r="H26" s="38"/>
      <c r="I26" s="31"/>
      <c r="J26" s="31"/>
    </row>
    <row r="27" spans="1:10" ht="15.75">
      <c r="A27" s="137"/>
      <c r="B27" s="137"/>
      <c r="C27" s="21"/>
      <c r="D27" s="4"/>
      <c r="E27" s="31"/>
      <c r="F27" s="31"/>
      <c r="G27" s="38"/>
      <c r="H27" s="38"/>
      <c r="I27" s="31"/>
      <c r="J27" s="31"/>
    </row>
    <row r="28" spans="1:10" ht="15.75">
      <c r="A28" s="137" t="s">
        <v>289</v>
      </c>
      <c r="B28" s="4" t="str">
        <f>CONCATENATE("Total Estimated Valuation July 1, ",J1-1,"")</f>
        <v>Total Estimated Valuation July 1, 2012</v>
      </c>
      <c r="C28" s="4"/>
      <c r="D28" s="4"/>
      <c r="E28" s="136">
        <f>inputOth!E7</f>
        <v>1561999</v>
      </c>
      <c r="F28" s="31"/>
      <c r="G28" s="31"/>
      <c r="H28" s="31"/>
      <c r="I28" s="135"/>
      <c r="J28" s="31"/>
    </row>
    <row r="29" spans="1:10" ht="15.75">
      <c r="A29" s="137"/>
      <c r="B29" s="137"/>
      <c r="C29" s="4"/>
      <c r="D29" s="4"/>
      <c r="E29" s="38"/>
      <c r="F29" s="31"/>
      <c r="G29" s="31"/>
      <c r="H29" s="31"/>
      <c r="I29" s="135"/>
      <c r="J29" s="31"/>
    </row>
    <row r="30" spans="1:10" ht="15.75">
      <c r="A30" s="137" t="s">
        <v>290</v>
      </c>
      <c r="B30" s="21" t="s">
        <v>308</v>
      </c>
      <c r="C30" s="4"/>
      <c r="D30" s="4"/>
      <c r="E30" s="31"/>
      <c r="F30" s="31"/>
      <c r="G30" s="136">
        <f>E28-G26</f>
        <v>1537170</v>
      </c>
      <c r="H30" s="38"/>
      <c r="I30" s="135"/>
      <c r="J30" s="31"/>
    </row>
    <row r="31" spans="1:10" ht="15.75">
      <c r="A31" s="137"/>
      <c r="B31" s="137"/>
      <c r="C31" s="21"/>
      <c r="D31" s="4"/>
      <c r="E31" s="4"/>
      <c r="F31" s="4"/>
      <c r="G31" s="74"/>
      <c r="H31" s="40"/>
      <c r="I31" s="137"/>
      <c r="J31" s="4"/>
    </row>
    <row r="32" spans="1:10" ht="15.75">
      <c r="A32" s="137" t="s">
        <v>291</v>
      </c>
      <c r="B32" s="4" t="s">
        <v>309</v>
      </c>
      <c r="C32" s="4"/>
      <c r="D32" s="4"/>
      <c r="E32" s="4"/>
      <c r="F32" s="4"/>
      <c r="G32" s="139">
        <f>IF(G30&gt;0,G26/G30,0)</f>
        <v>0.016152409948151474</v>
      </c>
      <c r="H32" s="40"/>
      <c r="I32" s="4"/>
      <c r="J32" s="4"/>
    </row>
    <row r="33" spans="1:10" ht="15.75">
      <c r="A33" s="137"/>
      <c r="B33" s="137"/>
      <c r="C33" s="4"/>
      <c r="D33" s="4"/>
      <c r="E33" s="4"/>
      <c r="F33" s="4"/>
      <c r="G33" s="40"/>
      <c r="H33" s="40"/>
      <c r="I33" s="4"/>
      <c r="J33" s="4"/>
    </row>
    <row r="34" spans="1:10" ht="15.75">
      <c r="A34" s="137" t="s">
        <v>292</v>
      </c>
      <c r="B34" s="4" t="s">
        <v>310</v>
      </c>
      <c r="C34" s="4"/>
      <c r="D34" s="4"/>
      <c r="E34" s="4"/>
      <c r="F34" s="4"/>
      <c r="G34" s="40"/>
      <c r="H34" s="140" t="s">
        <v>273</v>
      </c>
      <c r="I34" s="4" t="s">
        <v>274</v>
      </c>
      <c r="J34" s="136">
        <f>ROUND(G32*J7,0)</f>
        <v>1339</v>
      </c>
    </row>
    <row r="35" spans="1:10" ht="15.75">
      <c r="A35" s="137"/>
      <c r="B35" s="137"/>
      <c r="C35" s="4"/>
      <c r="D35" s="4"/>
      <c r="E35" s="4"/>
      <c r="F35" s="4"/>
      <c r="G35" s="40"/>
      <c r="H35" s="140"/>
      <c r="I35" s="4"/>
      <c r="J35" s="38"/>
    </row>
    <row r="36" spans="1:10" ht="16.5" thickBot="1">
      <c r="A36" s="137" t="s">
        <v>293</v>
      </c>
      <c r="B36" s="21" t="s">
        <v>316</v>
      </c>
      <c r="C36" s="4"/>
      <c r="D36" s="4"/>
      <c r="E36" s="4"/>
      <c r="F36" s="4"/>
      <c r="G36" s="4"/>
      <c r="H36" s="4"/>
      <c r="I36" s="4" t="s">
        <v>274</v>
      </c>
      <c r="J36" s="141">
        <f>J7+J34</f>
        <v>84213</v>
      </c>
    </row>
    <row r="37" spans="1:10" ht="16.5" thickTop="1">
      <c r="A37" s="4"/>
      <c r="B37" s="4"/>
      <c r="C37" s="4"/>
      <c r="D37" s="4"/>
      <c r="E37" s="4"/>
      <c r="F37" s="4"/>
      <c r="G37" s="4"/>
      <c r="H37" s="4"/>
      <c r="I37" s="4"/>
      <c r="J37" s="4"/>
    </row>
    <row r="38" spans="1:10" ht="15.75">
      <c r="A38" s="137" t="s">
        <v>314</v>
      </c>
      <c r="B38" s="21" t="str">
        <f>CONCATENATE("Debt Service Levy in this ",J1," Budget")</f>
        <v>Debt Service Levy in this 2013 Budget</v>
      </c>
      <c r="C38" s="4"/>
      <c r="D38" s="4"/>
      <c r="E38" s="4"/>
      <c r="F38" s="4"/>
      <c r="G38" s="4"/>
      <c r="H38" s="4"/>
      <c r="I38" s="4"/>
      <c r="J38" s="142">
        <f>'Bond &amp; Interest'!E40</f>
        <v>0</v>
      </c>
    </row>
    <row r="39" spans="1:10" ht="15.75">
      <c r="A39" s="137"/>
      <c r="B39" s="21"/>
      <c r="C39" s="4"/>
      <c r="D39" s="4"/>
      <c r="E39" s="4"/>
      <c r="F39" s="4"/>
      <c r="G39" s="4"/>
      <c r="H39" s="4"/>
      <c r="I39" s="4"/>
      <c r="J39" s="40"/>
    </row>
    <row r="40" spans="1:10" ht="16.5" thickBot="1">
      <c r="A40" s="137" t="s">
        <v>315</v>
      </c>
      <c r="B40" s="21" t="s">
        <v>317</v>
      </c>
      <c r="C40" s="4"/>
      <c r="D40" s="4"/>
      <c r="E40" s="4"/>
      <c r="F40" s="4"/>
      <c r="G40" s="4"/>
      <c r="H40" s="4"/>
      <c r="I40" s="4"/>
      <c r="J40" s="141">
        <f>J36+J38</f>
        <v>84213</v>
      </c>
    </row>
    <row r="41" spans="1:10" ht="16.5" thickTop="1">
      <c r="A41" s="4"/>
      <c r="B41" s="4"/>
      <c r="C41" s="4"/>
      <c r="D41" s="4"/>
      <c r="E41" s="4"/>
      <c r="F41" s="4"/>
      <c r="G41" s="4"/>
      <c r="H41" s="4"/>
      <c r="I41" s="4"/>
      <c r="J41" s="4"/>
    </row>
    <row r="42" spans="1:10" s="143" customFormat="1" ht="18.75">
      <c r="A42" s="541" t="str">
        <f>CONCATENATE("If the ",J1," budget includes tax levies exceeding the total on line 15, you must")</f>
        <v>If the 2013 budget includes tax levies exceeding the total on line 15, you must</v>
      </c>
      <c r="B42" s="541"/>
      <c r="C42" s="541"/>
      <c r="D42" s="541"/>
      <c r="E42" s="541"/>
      <c r="F42" s="541"/>
      <c r="G42" s="541"/>
      <c r="H42" s="541"/>
      <c r="I42" s="541"/>
      <c r="J42" s="541"/>
    </row>
    <row r="43" spans="1:10" s="143" customFormat="1" ht="18.75">
      <c r="A43" s="542" t="s">
        <v>368</v>
      </c>
      <c r="B43" s="542"/>
      <c r="C43" s="542"/>
      <c r="D43" s="542"/>
      <c r="E43" s="542"/>
      <c r="F43" s="542"/>
      <c r="G43" s="542"/>
      <c r="H43" s="542"/>
      <c r="I43" s="542"/>
      <c r="J43" s="542"/>
    </row>
    <row r="44" spans="1:10" ht="15.75" customHeight="1">
      <c r="A44" s="536" t="s">
        <v>369</v>
      </c>
      <c r="B44" s="536"/>
      <c r="C44" s="536"/>
      <c r="D44" s="536"/>
      <c r="E44" s="540"/>
      <c r="F44" s="536"/>
      <c r="G44" s="536"/>
      <c r="H44" s="536"/>
      <c r="I44" s="536"/>
      <c r="J44" s="536"/>
    </row>
  </sheetData>
  <sheetProtection sheet="1"/>
  <mergeCells count="5">
    <mergeCell ref="A44:J44"/>
    <mergeCell ref="A42:J42"/>
    <mergeCell ref="A43:J43"/>
    <mergeCell ref="A3:J3"/>
    <mergeCell ref="E4:G4"/>
  </mergeCells>
  <printOptions/>
  <pageMargins left="0.5" right="0.5" top="1" bottom="0.5" header="0.5" footer="0.5"/>
  <pageSetup blackAndWhite="1" fitToHeight="1" fitToWidth="1" horizontalDpi="600" verticalDpi="600" orientation="portrait" scale="80"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1"/>
  <sheetViews>
    <sheetView zoomScalePageLayoutView="0" workbookViewId="0" topLeftCell="A1">
      <selection activeCell="G5" sqref="G5"/>
    </sheetView>
  </sheetViews>
  <sheetFormatPr defaultColWidth="8.796875" defaultRowHeight="15"/>
  <cols>
    <col min="1" max="1" width="8.8984375" style="5" customWidth="1"/>
    <col min="2" max="2" width="17.8984375" style="5" customWidth="1"/>
    <col min="3" max="3" width="15.296875" style="5" customWidth="1"/>
    <col min="4" max="7" width="10.796875" style="5" customWidth="1"/>
    <col min="8" max="16384" width="8.8984375" style="5" customWidth="1"/>
  </cols>
  <sheetData>
    <row r="1" spans="1:7" ht="15.75">
      <c r="A1" s="58"/>
      <c r="B1" s="131" t="str">
        <f>inputPrYr!D2</f>
        <v>City of LaHarpe</v>
      </c>
      <c r="C1" s="131"/>
      <c r="D1" s="4"/>
      <c r="E1" s="4"/>
      <c r="F1" s="4"/>
      <c r="G1" s="4"/>
    </row>
    <row r="2" spans="1:7" ht="15.75">
      <c r="A2" s="58"/>
      <c r="B2" s="4"/>
      <c r="C2" s="4"/>
      <c r="D2" s="4"/>
      <c r="E2" s="4"/>
      <c r="F2" s="4"/>
      <c r="G2" s="4">
        <f>inputPrYr!$C$5</f>
        <v>2013</v>
      </c>
    </row>
    <row r="3" spans="1:7" ht="15.75">
      <c r="A3" s="58"/>
      <c r="B3" s="543" t="s">
        <v>102</v>
      </c>
      <c r="C3" s="543"/>
      <c r="D3" s="543"/>
      <c r="E3" s="543"/>
      <c r="F3" s="543"/>
      <c r="G3" s="4"/>
    </row>
    <row r="4" spans="1:7" ht="15.75">
      <c r="A4" s="58"/>
      <c r="B4" s="4"/>
      <c r="C4" s="144"/>
      <c r="D4" s="145"/>
      <c r="E4" s="145"/>
      <c r="F4" s="4"/>
      <c r="G4" s="4"/>
    </row>
    <row r="5" spans="1:7" ht="21" customHeight="1">
      <c r="A5" s="58"/>
      <c r="B5" s="146" t="s">
        <v>367</v>
      </c>
      <c r="C5" s="147" t="s">
        <v>39</v>
      </c>
      <c r="D5" s="545" t="str">
        <f>CONCATENATE("Allocation for Year ",G2,"")</f>
        <v>Allocation for Year 2013</v>
      </c>
      <c r="E5" s="546"/>
      <c r="F5" s="547"/>
      <c r="G5" s="389"/>
    </row>
    <row r="6" spans="1:7" ht="15.75">
      <c r="A6" s="58"/>
      <c r="B6" s="148" t="str">
        <f>CONCATENATE("for ",G2-1,"")</f>
        <v>for 2012</v>
      </c>
      <c r="C6" s="148" t="str">
        <f>CONCATENATE("Amount for ",G2-2,"")</f>
        <v>Amount for 2011</v>
      </c>
      <c r="D6" s="109" t="s">
        <v>267</v>
      </c>
      <c r="E6" s="109" t="s">
        <v>268</v>
      </c>
      <c r="F6" s="109" t="s">
        <v>266</v>
      </c>
      <c r="G6" s="391"/>
    </row>
    <row r="7" spans="1:7" ht="15.75">
      <c r="A7" s="58"/>
      <c r="B7" s="48" t="str">
        <f>(inputPrYr!B17)</f>
        <v>General</v>
      </c>
      <c r="C7" s="112">
        <f>(inputPrYr!E17)</f>
        <v>82874</v>
      </c>
      <c r="D7" s="112">
        <f>IF(inputOth!E39=0,0,D22-SUM(D8:D19))</f>
        <v>17431</v>
      </c>
      <c r="E7" s="112">
        <f>IF(inputOth!E40=0,0,E23-SUM(E8:E19))</f>
        <v>143</v>
      </c>
      <c r="F7" s="112">
        <f>IF(inputOth!E41=0,0,F24-SUM(F8:F19))</f>
        <v>152</v>
      </c>
      <c r="G7" s="389"/>
    </row>
    <row r="8" spans="1:7" ht="15.75">
      <c r="A8" s="58"/>
      <c r="B8" s="48" t="str">
        <f>IF(inputPrYr!$B18&gt;"  ",(inputPrYr!$B18),"  ")</f>
        <v>Bond &amp; Interest</v>
      </c>
      <c r="C8" s="112" t="str">
        <f>IF(inputPrYr!$E18&gt;0,(inputPrYr!$E18),"  ")</f>
        <v>  </v>
      </c>
      <c r="D8" s="112" t="str">
        <f>IF(inputPrYr!E18&gt;0,ROUND(C8*$D$27,0),"  ")</f>
        <v>  </v>
      </c>
      <c r="E8" s="112" t="str">
        <f>IF(inputPrYr!E18&gt;0,ROUND(+C8*E$28,0)," ")</f>
        <v> </v>
      </c>
      <c r="F8" s="112" t="str">
        <f>IF(inputPrYr!E18&gt;0,ROUND(+C8*F$29,0)," ")</f>
        <v> </v>
      </c>
      <c r="G8" s="389"/>
    </row>
    <row r="9" spans="1:7" ht="15.75">
      <c r="A9" s="58"/>
      <c r="B9" s="48" t="str">
        <f>IF(inputPrYr!$B19&gt;"  ",(inputPrYr!$B19),"  ")</f>
        <v>  </v>
      </c>
      <c r="C9" s="112" t="str">
        <f>IF(inputPrYr!$E19&gt;0,(inputPrYr!$E19),"  ")</f>
        <v>  </v>
      </c>
      <c r="D9" s="112" t="str">
        <f>IF(inputPrYr!E19&gt;0,ROUND(C9*$D$27,0),"  ")</f>
        <v>  </v>
      </c>
      <c r="E9" s="112" t="str">
        <f>IF(inputPrYr!E19&gt;0,ROUND(+C9*E$28,0)," ")</f>
        <v> </v>
      </c>
      <c r="F9" s="112" t="str">
        <f>IF(inputPrYr!E19&gt;0,ROUND(+C9*F$29,0)," ")</f>
        <v> </v>
      </c>
      <c r="G9" s="389"/>
    </row>
    <row r="10" spans="1:7" ht="15.75">
      <c r="A10" s="58"/>
      <c r="B10" s="48" t="str">
        <f>IF(inputPrYr!$B21&gt;"  ",(inputPrYr!$B21),"  ")</f>
        <v>  </v>
      </c>
      <c r="C10" s="112" t="str">
        <f>IF(inputPrYr!$E21&gt;0,(inputPrYr!$E21),"  ")</f>
        <v>  </v>
      </c>
      <c r="D10" s="112" t="str">
        <f>IF(inputPrYr!E21&gt;0,ROUND(C10*$D$27,0),"  ")</f>
        <v>  </v>
      </c>
      <c r="E10" s="112" t="str">
        <f>IF(inputPrYr!E21&gt;0,ROUND(+C10*E$28,0)," ")</f>
        <v> </v>
      </c>
      <c r="F10" s="112" t="str">
        <f>IF(inputPrYr!E21&gt;0,ROUND(+C10*F$29,0)," ")</f>
        <v> </v>
      </c>
      <c r="G10" s="389"/>
    </row>
    <row r="11" spans="1:7" ht="15.75">
      <c r="A11" s="58"/>
      <c r="B11" s="48" t="str">
        <f>IF(inputPrYr!$B22&gt;"  ",(inputPrYr!$B22),"  ")</f>
        <v>  </v>
      </c>
      <c r="C11" s="112" t="str">
        <f>IF(inputPrYr!$E22&gt;0,(inputPrYr!$E22),"  ")</f>
        <v>  </v>
      </c>
      <c r="D11" s="112" t="str">
        <f>IF(inputPrYr!E22&gt;0,ROUND(C11*$D$27,0),"  ")</f>
        <v>  </v>
      </c>
      <c r="E11" s="112" t="str">
        <f>IF(inputPrYr!E22&gt;0,ROUND(+C11*E$28,0)," ")</f>
        <v> </v>
      </c>
      <c r="F11" s="112" t="str">
        <f>IF(inputPrYr!E22&gt;0,ROUND(+C11*F$29,0)," ")</f>
        <v> </v>
      </c>
      <c r="G11" s="389"/>
    </row>
    <row r="12" spans="1:7" ht="15.75">
      <c r="A12" s="58"/>
      <c r="B12" s="48" t="str">
        <f>IF(inputPrYr!$B23&gt;"  ",(inputPrYr!$B23),"  ")</f>
        <v>  </v>
      </c>
      <c r="C12" s="112" t="str">
        <f>IF(inputPrYr!$E23&gt;0,(inputPrYr!$E23),"  ")</f>
        <v>  </v>
      </c>
      <c r="D12" s="112" t="str">
        <f>IF(inputPrYr!E23&gt;0,ROUND(C12*$D$27,0),"  ")</f>
        <v>  </v>
      </c>
      <c r="E12" s="112" t="str">
        <f>IF(inputPrYr!E23&gt;0,ROUND(+C12*E$28,0)," ")</f>
        <v> </v>
      </c>
      <c r="F12" s="112" t="str">
        <f>IF(inputPrYr!E23&gt;0,ROUND(+C12*F$29,0)," ")</f>
        <v> </v>
      </c>
      <c r="G12" s="389"/>
    </row>
    <row r="13" spans="1:7" ht="15.75">
      <c r="A13" s="58"/>
      <c r="B13" s="48" t="str">
        <f>IF(inputPrYr!$B24&gt;"  ",(inputPrYr!$B24),"  ")</f>
        <v>  </v>
      </c>
      <c r="C13" s="112" t="str">
        <f>IF(inputPrYr!$E24&gt;0,(inputPrYr!$E24),"  ")</f>
        <v>  </v>
      </c>
      <c r="D13" s="112" t="str">
        <f>IF(inputPrYr!E24&gt;0,ROUND(C13*$D$27,0),"  ")</f>
        <v>  </v>
      </c>
      <c r="E13" s="112" t="str">
        <f>IF(inputPrYr!E24&gt;0,ROUND(+C13*E$28,0)," ")</f>
        <v> </v>
      </c>
      <c r="F13" s="112" t="str">
        <f>IF(inputPrYr!E24&gt;0,ROUND(+C13*F$29,0)," ")</f>
        <v> </v>
      </c>
      <c r="G13" s="389"/>
    </row>
    <row r="14" spans="1:7" ht="15.75">
      <c r="A14" s="58"/>
      <c r="B14" s="48" t="str">
        <f>IF(inputPrYr!$B25&gt;"  ",(inputPrYr!$B25),"  ")</f>
        <v>  </v>
      </c>
      <c r="C14" s="112" t="str">
        <f>IF(inputPrYr!$E25&gt;0,(inputPrYr!$E25),"  ")</f>
        <v>  </v>
      </c>
      <c r="D14" s="112" t="str">
        <f>IF(inputPrYr!E25&gt;0,ROUND(C14*$D$27,0),"  ")</f>
        <v>  </v>
      </c>
      <c r="E14" s="112" t="str">
        <f>IF(inputPrYr!E25&gt;0,ROUND(+C14*E$28,0)," ")</f>
        <v> </v>
      </c>
      <c r="F14" s="112" t="str">
        <f>IF(inputPrYr!E25&gt;0,ROUND(+C14*F$29,0)," ")</f>
        <v> </v>
      </c>
      <c r="G14" s="389"/>
    </row>
    <row r="15" spans="1:7" ht="15.75">
      <c r="A15" s="58"/>
      <c r="B15" s="48" t="str">
        <f>IF(inputPrYr!$B26&gt;"  ",(inputPrYr!$B26),"  ")</f>
        <v>  </v>
      </c>
      <c r="C15" s="112" t="str">
        <f>IF(inputPrYr!$E26&gt;0,(inputPrYr!$E26),"  ")</f>
        <v>  </v>
      </c>
      <c r="D15" s="112" t="str">
        <f>IF(inputPrYr!E26&gt;0,ROUND(C15*$D$27,0),"  ")</f>
        <v>  </v>
      </c>
      <c r="E15" s="112" t="str">
        <f>IF(inputPrYr!E26&gt;0,ROUND(+C15*E$28,0)," ")</f>
        <v> </v>
      </c>
      <c r="F15" s="112" t="str">
        <f>IF(inputPrYr!E26&gt;0,ROUND(+C15*F$29,0)," ")</f>
        <v> </v>
      </c>
      <c r="G15" s="389"/>
    </row>
    <row r="16" spans="1:7" ht="15.75">
      <c r="A16" s="58"/>
      <c r="B16" s="48" t="str">
        <f>IF(inputPrYr!$B27&gt;"  ",(inputPrYr!$B27),"  ")</f>
        <v>  </v>
      </c>
      <c r="C16" s="112" t="str">
        <f>IF(inputPrYr!$E27&gt;0,(inputPrYr!$E27),"  ")</f>
        <v>  </v>
      </c>
      <c r="D16" s="112" t="str">
        <f>IF(inputPrYr!E27&gt;0,ROUND(C16*$D$27,0),"  ")</f>
        <v>  </v>
      </c>
      <c r="E16" s="112" t="str">
        <f>IF(inputPrYr!E27&gt;0,ROUND(+C16*E$28,0)," ")</f>
        <v> </v>
      </c>
      <c r="F16" s="112" t="str">
        <f>IF(inputPrYr!E27&gt;0,ROUND(+C16*F$29,0)," ")</f>
        <v> </v>
      </c>
      <c r="G16" s="389"/>
    </row>
    <row r="17" spans="1:7" ht="15.75">
      <c r="A17" s="58"/>
      <c r="B17" s="48" t="str">
        <f>IF(inputPrYr!$B28&gt;"  ",(inputPrYr!$B28),"  ")</f>
        <v>  </v>
      </c>
      <c r="C17" s="112" t="str">
        <f>IF(inputPrYr!$E28&gt;0,(inputPrYr!$E28),"  ")</f>
        <v>  </v>
      </c>
      <c r="D17" s="112" t="str">
        <f>IF(inputPrYr!E28&gt;0,ROUND(C17*$D$27,0),"  ")</f>
        <v>  </v>
      </c>
      <c r="E17" s="112" t="str">
        <f>IF(inputPrYr!E28&gt;0,ROUND(+C17*E$28,0)," ")</f>
        <v> </v>
      </c>
      <c r="F17" s="112" t="str">
        <f>IF(inputPrYr!E28&gt;0,ROUND(+C17*F$29,0)," ")</f>
        <v> </v>
      </c>
      <c r="G17" s="389"/>
    </row>
    <row r="18" spans="1:7" ht="15.75">
      <c r="A18" s="58"/>
      <c r="B18" s="48" t="str">
        <f>IF(inputPrYr!$B29&gt;"  ",(inputPrYr!$B29),"  ")</f>
        <v>  </v>
      </c>
      <c r="C18" s="112" t="str">
        <f>IF(inputPrYr!$E29&gt;0,(inputPrYr!$E29),"  ")</f>
        <v>  </v>
      </c>
      <c r="D18" s="112" t="str">
        <f>IF(inputPrYr!E29&gt;0,ROUND(C18*$D$27,0),"  ")</f>
        <v>  </v>
      </c>
      <c r="E18" s="112" t="str">
        <f>IF(inputPrYr!E29&gt;0,ROUND(+C18*E$28,0)," ")</f>
        <v> </v>
      </c>
      <c r="F18" s="112" t="str">
        <f>IF(inputPrYr!E29&gt;0,ROUND(+C18*F$29,0)," ")</f>
        <v> </v>
      </c>
      <c r="G18" s="389"/>
    </row>
    <row r="19" spans="1:7" ht="15.75">
      <c r="A19" s="58"/>
      <c r="B19" s="48" t="str">
        <f>IF(inputPrYr!$B30&gt;"  ",(inputPrYr!$B30),"  ")</f>
        <v>  </v>
      </c>
      <c r="C19" s="112" t="str">
        <f>IF(inputPrYr!$E30&gt;0,(inputPrYr!$E30),"  ")</f>
        <v>  </v>
      </c>
      <c r="D19" s="112" t="str">
        <f>IF(inputPrYr!E30&gt;0,ROUND(C19*$D$27,0),"  ")</f>
        <v>  </v>
      </c>
      <c r="E19" s="112" t="str">
        <f>IF(inputPrYr!E30&gt;0,ROUND(+C19*E$28,0)," ")</f>
        <v> </v>
      </c>
      <c r="F19" s="112" t="str">
        <f>IF(inputPrYr!E30&gt;0,ROUND(+C19*F$29,0)," ")</f>
        <v> </v>
      </c>
      <c r="G19" s="389"/>
    </row>
    <row r="20" spans="1:7" ht="15.75">
      <c r="A20" s="58"/>
      <c r="B20" s="390" t="s">
        <v>195</v>
      </c>
      <c r="C20" s="118">
        <f>SUM(C7:C19)</f>
        <v>82874</v>
      </c>
      <c r="D20" s="118">
        <f>SUM(D7:D19)</f>
        <v>17431</v>
      </c>
      <c r="E20" s="118">
        <f>SUM(E7:E19)</f>
        <v>143</v>
      </c>
      <c r="F20" s="118">
        <f>SUM(F7:F19)</f>
        <v>152</v>
      </c>
      <c r="G20" s="389"/>
    </row>
    <row r="21" spans="1:7" ht="15.75">
      <c r="A21" s="58"/>
      <c r="B21" s="4"/>
      <c r="C21" s="4"/>
      <c r="D21" s="4"/>
      <c r="E21" s="4"/>
      <c r="F21" s="4"/>
      <c r="G21" s="4"/>
    </row>
    <row r="22" spans="1:7" ht="15.75">
      <c r="A22" s="58"/>
      <c r="B22" s="9" t="s">
        <v>196</v>
      </c>
      <c r="C22" s="149"/>
      <c r="D22" s="150">
        <f>(inputOth!E39)</f>
        <v>17431</v>
      </c>
      <c r="E22" s="149"/>
      <c r="F22" s="4"/>
      <c r="G22" s="4"/>
    </row>
    <row r="23" spans="1:7" ht="15.75">
      <c r="A23" s="58"/>
      <c r="B23" s="9" t="s">
        <v>197</v>
      </c>
      <c r="C23" s="4"/>
      <c r="D23" s="4"/>
      <c r="E23" s="150">
        <f>(inputOth!E40)</f>
        <v>143</v>
      </c>
      <c r="F23" s="4"/>
      <c r="G23" s="4"/>
    </row>
    <row r="24" spans="1:7" ht="15.75">
      <c r="A24" s="58"/>
      <c r="B24" s="9" t="s">
        <v>269</v>
      </c>
      <c r="C24" s="4"/>
      <c r="D24" s="4"/>
      <c r="E24" s="4"/>
      <c r="F24" s="150">
        <f>inputOth!E41</f>
        <v>152</v>
      </c>
      <c r="G24" s="4"/>
    </row>
    <row r="25" spans="1:7" ht="15.75">
      <c r="A25" s="58"/>
      <c r="B25" s="41"/>
      <c r="C25" s="40"/>
      <c r="D25" s="40"/>
      <c r="E25" s="40"/>
      <c r="F25" s="151"/>
      <c r="G25" s="38"/>
    </row>
    <row r="26" spans="1:7" ht="15.75">
      <c r="A26" s="58"/>
      <c r="B26" s="9"/>
      <c r="C26" s="4"/>
      <c r="D26" s="4"/>
      <c r="E26" s="4"/>
      <c r="F26" s="151"/>
      <c r="G26" s="4"/>
    </row>
    <row r="27" spans="1:7" ht="15.75">
      <c r="A27" s="58"/>
      <c r="B27" s="9" t="s">
        <v>198</v>
      </c>
      <c r="C27" s="4"/>
      <c r="D27" s="152">
        <f>IF(C20=0,0,D22/C20)</f>
        <v>0.21033134638125348</v>
      </c>
      <c r="E27" s="4"/>
      <c r="F27" s="4"/>
      <c r="G27" s="4"/>
    </row>
    <row r="28" spans="1:7" ht="15.75">
      <c r="A28" s="58"/>
      <c r="B28" s="4"/>
      <c r="C28" s="9" t="s">
        <v>199</v>
      </c>
      <c r="D28" s="4"/>
      <c r="E28" s="152">
        <f>IF(C20=0,0,E23/C20)</f>
        <v>0.0017255110167241838</v>
      </c>
      <c r="F28" s="4"/>
      <c r="G28" s="4"/>
    </row>
    <row r="29" spans="1:7" ht="15.75">
      <c r="A29" s="58"/>
      <c r="B29" s="4"/>
      <c r="C29" s="4"/>
      <c r="D29" s="9" t="s">
        <v>270</v>
      </c>
      <c r="E29" s="4"/>
      <c r="F29" s="152">
        <f>IF(F24=0,0,F24/C20)</f>
        <v>0.001834109612182349</v>
      </c>
      <c r="G29" s="4"/>
    </row>
    <row r="30" spans="1:7" ht="15.75">
      <c r="A30" s="58"/>
      <c r="B30" s="4"/>
      <c r="C30" s="4"/>
      <c r="D30" s="4"/>
      <c r="E30" s="4"/>
      <c r="F30" s="4"/>
      <c r="G30" s="4"/>
    </row>
    <row r="31" spans="1:7" ht="15" customHeight="1">
      <c r="A31" s="58"/>
      <c r="B31" s="65"/>
      <c r="C31" s="65"/>
      <c r="D31" s="65"/>
      <c r="E31" s="65"/>
      <c r="F31" s="65"/>
      <c r="G31" s="65"/>
    </row>
    <row r="32" ht="15" customHeight="1"/>
    <row r="33" s="153" customFormat="1"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sheet="1"/>
  <mergeCells count="2">
    <mergeCell ref="B3:F3"/>
    <mergeCell ref="D5:F5"/>
  </mergeCells>
  <printOptions/>
  <pageMargins left="0.5" right="0.5" top="0.5" bottom="0" header="0.25" footer="0"/>
  <pageSetup blackAndWhite="1" fitToHeight="1" fitToWidth="1" horizontalDpi="120" verticalDpi="120" orientation="portrait" scale="87"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4">
      <selection activeCell="E11" sqref="E11"/>
    </sheetView>
  </sheetViews>
  <sheetFormatPr defaultColWidth="8.796875" defaultRowHeight="15"/>
  <cols>
    <col min="1" max="2" width="17.796875" style="1" customWidth="1"/>
    <col min="3" max="6" width="12.796875" style="1" customWidth="1"/>
    <col min="7" max="16384" width="8.8984375" style="1" customWidth="1"/>
  </cols>
  <sheetData>
    <row r="1" spans="1:6" ht="15.75">
      <c r="A1" s="64" t="str">
        <f>inputPrYr!D2</f>
        <v>City of LaHarpe</v>
      </c>
      <c r="B1" s="64"/>
      <c r="C1" s="66"/>
      <c r="D1" s="66"/>
      <c r="E1" s="66"/>
      <c r="F1" s="66">
        <f>inputPrYr!$C$5</f>
        <v>2013</v>
      </c>
    </row>
    <row r="2" spans="1:6" ht="15.75">
      <c r="A2" s="66"/>
      <c r="B2" s="66"/>
      <c r="C2" s="66"/>
      <c r="D2" s="66"/>
      <c r="E2" s="66"/>
      <c r="F2" s="66"/>
    </row>
    <row r="3" spans="1:6" ht="15.75">
      <c r="A3" s="544" t="s">
        <v>322</v>
      </c>
      <c r="B3" s="544"/>
      <c r="C3" s="544"/>
      <c r="D3" s="544"/>
      <c r="E3" s="544"/>
      <c r="F3" s="544"/>
    </row>
    <row r="4" spans="1:6" ht="15.75">
      <c r="A4" s="154"/>
      <c r="B4" s="154"/>
      <c r="C4" s="154"/>
      <c r="D4" s="154"/>
      <c r="E4" s="154"/>
      <c r="F4" s="154"/>
    </row>
    <row r="5" spans="1:6" ht="15.75">
      <c r="A5" s="155" t="s">
        <v>3</v>
      </c>
      <c r="B5" s="155" t="s">
        <v>5</v>
      </c>
      <c r="C5" s="155" t="s">
        <v>219</v>
      </c>
      <c r="D5" s="155" t="s">
        <v>328</v>
      </c>
      <c r="E5" s="155" t="s">
        <v>329</v>
      </c>
      <c r="F5" s="155" t="s">
        <v>360</v>
      </c>
    </row>
    <row r="6" spans="1:6" ht="15.75">
      <c r="A6" s="156" t="s">
        <v>4</v>
      </c>
      <c r="B6" s="156" t="s">
        <v>6</v>
      </c>
      <c r="C6" s="156" t="s">
        <v>361</v>
      </c>
      <c r="D6" s="156" t="s">
        <v>361</v>
      </c>
      <c r="E6" s="156" t="s">
        <v>361</v>
      </c>
      <c r="F6" s="156" t="s">
        <v>362</v>
      </c>
    </row>
    <row r="7" spans="1:6" ht="15" customHeight="1">
      <c r="A7" s="157" t="s">
        <v>363</v>
      </c>
      <c r="B7" s="157" t="s">
        <v>364</v>
      </c>
      <c r="C7" s="158">
        <f>F1-2</f>
        <v>2011</v>
      </c>
      <c r="D7" s="158">
        <f>F1-1</f>
        <v>2012</v>
      </c>
      <c r="E7" s="158">
        <f>F1</f>
        <v>2013</v>
      </c>
      <c r="F7" s="157" t="s">
        <v>365</v>
      </c>
    </row>
    <row r="8" spans="1:6" ht="14.25" customHeight="1">
      <c r="A8" s="502" t="s">
        <v>24</v>
      </c>
      <c r="B8" s="502" t="s">
        <v>27</v>
      </c>
      <c r="C8" s="503">
        <v>0</v>
      </c>
      <c r="D8" s="382">
        <v>3000</v>
      </c>
      <c r="E8" s="381">
        <v>3000</v>
      </c>
      <c r="F8" s="502" t="s">
        <v>122</v>
      </c>
    </row>
    <row r="9" spans="1:6" ht="15" customHeight="1">
      <c r="A9" s="502" t="s">
        <v>120</v>
      </c>
      <c r="B9" s="502" t="s">
        <v>121</v>
      </c>
      <c r="C9" s="503">
        <v>32683</v>
      </c>
      <c r="D9" s="382">
        <v>32682</v>
      </c>
      <c r="E9" s="382">
        <v>32682</v>
      </c>
      <c r="F9" s="504" t="s">
        <v>123</v>
      </c>
    </row>
    <row r="10" spans="1:6" ht="15" customHeight="1">
      <c r="A10" s="159" t="s">
        <v>93</v>
      </c>
      <c r="B10" s="159" t="s">
        <v>27</v>
      </c>
      <c r="C10" s="503">
        <v>5000</v>
      </c>
      <c r="D10" s="382">
        <v>10000</v>
      </c>
      <c r="E10" s="382">
        <v>10000</v>
      </c>
      <c r="F10" s="502" t="s">
        <v>122</v>
      </c>
    </row>
    <row r="11" spans="1:6" ht="15" customHeight="1">
      <c r="A11" s="159"/>
      <c r="B11" s="159"/>
      <c r="C11" s="382"/>
      <c r="D11" s="382"/>
      <c r="E11" s="382"/>
      <c r="F11" s="502"/>
    </row>
    <row r="12" spans="1:6" ht="15" customHeight="1">
      <c r="A12" s="159"/>
      <c r="B12" s="159"/>
      <c r="C12" s="382"/>
      <c r="D12" s="382"/>
      <c r="E12" s="382"/>
      <c r="F12" s="159"/>
    </row>
    <row r="13" spans="1:6" ht="15" customHeight="1">
      <c r="A13" s="159"/>
      <c r="B13" s="159"/>
      <c r="C13" s="382"/>
      <c r="D13" s="382"/>
      <c r="E13" s="382"/>
      <c r="F13" s="159"/>
    </row>
    <row r="14" spans="1:6" ht="15" customHeight="1">
      <c r="A14" s="159"/>
      <c r="B14" s="159"/>
      <c r="C14" s="382"/>
      <c r="D14" s="382"/>
      <c r="E14" s="382"/>
      <c r="F14" s="159"/>
    </row>
    <row r="15" spans="1:6" ht="15" customHeight="1">
      <c r="A15" s="159"/>
      <c r="B15" s="159"/>
      <c r="C15" s="382"/>
      <c r="D15" s="382"/>
      <c r="E15" s="382"/>
      <c r="F15" s="159"/>
    </row>
    <row r="16" spans="1:6" ht="15" customHeight="1">
      <c r="A16" s="159"/>
      <c r="B16" s="159"/>
      <c r="C16" s="382"/>
      <c r="D16" s="382"/>
      <c r="E16" s="382"/>
      <c r="F16" s="159"/>
    </row>
    <row r="17" spans="1:6" ht="15" customHeight="1">
      <c r="A17" s="159"/>
      <c r="B17" s="159"/>
      <c r="C17" s="382"/>
      <c r="D17" s="382"/>
      <c r="E17" s="382"/>
      <c r="F17" s="159"/>
    </row>
    <row r="18" spans="1:6" ht="15" customHeight="1">
      <c r="A18" s="159"/>
      <c r="B18" s="159"/>
      <c r="C18" s="382"/>
      <c r="D18" s="382"/>
      <c r="E18" s="382"/>
      <c r="F18" s="159"/>
    </row>
    <row r="19" spans="1:6" ht="15" customHeight="1">
      <c r="A19" s="159"/>
      <c r="B19" s="159"/>
      <c r="C19" s="382"/>
      <c r="D19" s="382"/>
      <c r="E19" s="382"/>
      <c r="F19" s="159"/>
    </row>
    <row r="20" spans="1:6" ht="15" customHeight="1">
      <c r="A20" s="159"/>
      <c r="B20" s="159"/>
      <c r="C20" s="382"/>
      <c r="D20" s="382"/>
      <c r="E20" s="382"/>
      <c r="F20" s="159"/>
    </row>
    <row r="21" spans="1:6" ht="15" customHeight="1">
      <c r="A21" s="159"/>
      <c r="B21" s="159"/>
      <c r="C21" s="382"/>
      <c r="D21" s="382"/>
      <c r="E21" s="382"/>
      <c r="F21" s="159"/>
    </row>
    <row r="22" spans="1:6" ht="15" customHeight="1">
      <c r="A22" s="159"/>
      <c r="B22" s="159"/>
      <c r="C22" s="382"/>
      <c r="D22" s="382"/>
      <c r="E22" s="382"/>
      <c r="F22" s="159"/>
    </row>
    <row r="23" spans="1:6" ht="15" customHeight="1">
      <c r="A23" s="159"/>
      <c r="B23" s="159"/>
      <c r="C23" s="382"/>
      <c r="D23" s="382"/>
      <c r="E23" s="382"/>
      <c r="F23" s="159"/>
    </row>
    <row r="24" spans="1:6" ht="15" customHeight="1">
      <c r="A24" s="159"/>
      <c r="B24" s="159"/>
      <c r="C24" s="382"/>
      <c r="D24" s="382"/>
      <c r="E24" s="382"/>
      <c r="F24" s="159"/>
    </row>
    <row r="25" spans="1:6" ht="15" customHeight="1">
      <c r="A25" s="159"/>
      <c r="B25" s="159"/>
      <c r="C25" s="382"/>
      <c r="D25" s="382"/>
      <c r="E25" s="382"/>
      <c r="F25" s="159"/>
    </row>
    <row r="26" spans="1:6" ht="15" customHeight="1">
      <c r="A26" s="160"/>
      <c r="B26" s="161" t="s">
        <v>188</v>
      </c>
      <c r="C26" s="380">
        <f>SUM(C8:C25)</f>
        <v>37683</v>
      </c>
      <c r="D26" s="380">
        <f>SUM(D8:D25)</f>
        <v>45682</v>
      </c>
      <c r="E26" s="380">
        <f>SUM(E8:E25)</f>
        <v>45682</v>
      </c>
      <c r="F26" s="160"/>
    </row>
    <row r="27" spans="1:6" ht="15" customHeight="1">
      <c r="A27" s="160"/>
      <c r="B27" s="163" t="s">
        <v>7</v>
      </c>
      <c r="C27" s="117"/>
      <c r="D27" s="159"/>
      <c r="E27" s="159"/>
      <c r="F27" s="160"/>
    </row>
    <row r="28" spans="1:6" ht="15" customHeight="1">
      <c r="A28" s="160"/>
      <c r="B28" s="161" t="s">
        <v>366</v>
      </c>
      <c r="C28" s="380">
        <f>C26</f>
        <v>37683</v>
      </c>
      <c r="D28" s="380">
        <f>SUM(D26-D27)</f>
        <v>45682</v>
      </c>
      <c r="E28" s="380">
        <f>SUM(E26-E27)</f>
        <v>45682</v>
      </c>
      <c r="F28" s="160"/>
    </row>
    <row r="29" spans="1:6" ht="15" customHeight="1">
      <c r="A29" s="58"/>
      <c r="B29" s="58"/>
      <c r="C29" s="58"/>
      <c r="D29" s="58"/>
      <c r="E29" s="58"/>
      <c r="F29" s="58"/>
    </row>
    <row r="30" spans="1:6" ht="15" customHeight="1">
      <c r="A30" s="58"/>
      <c r="B30" s="58"/>
      <c r="C30" s="58"/>
      <c r="D30" s="58"/>
      <c r="E30" s="58"/>
      <c r="F30" s="58"/>
    </row>
    <row r="31" spans="1:6" ht="21.75" customHeight="1">
      <c r="A31" s="291" t="s">
        <v>2</v>
      </c>
      <c r="B31" s="292" t="str">
        <f>CONCATENATE("Adjustments are required only if the transfer is being made in ",D7," and/or ",E7," from a non-budgeted fund.")</f>
        <v>Adjustments are required only if the transfer is being made in 2012 and/or 2013 from a non-budgeted fund.</v>
      </c>
      <c r="C31" s="58"/>
      <c r="D31" s="58"/>
      <c r="E31" s="58"/>
      <c r="F31" s="58"/>
    </row>
    <row r="32" ht="15" customHeight="1"/>
  </sheetData>
  <sheetProtection sheet="1"/>
  <mergeCells count="1">
    <mergeCell ref="A3:F3"/>
  </mergeCells>
  <printOptions/>
  <pageMargins left="1" right="1" top="1" bottom="1" header="0.5" footer="0.5"/>
  <pageSetup blackAndWhite="1" fitToHeight="1" fitToWidth="1" horizontalDpi="600" verticalDpi="600" orientation="portrait" scale="74" r:id="rId1"/>
  <headerFooter alignWithMargins="0">
    <oddHeader>&amp;RState of Kansans
City</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AC48"/>
  <sheetViews>
    <sheetView zoomScale="75" zoomScaleNormal="75" zoomScalePageLayoutView="0" workbookViewId="0" topLeftCell="A7">
      <selection activeCell="H45" sqref="H45"/>
    </sheetView>
  </sheetViews>
  <sheetFormatPr defaultColWidth="8.796875" defaultRowHeight="15"/>
  <cols>
    <col min="1" max="1" width="4.59765625" style="5" customWidth="1"/>
    <col min="2" max="2" width="20.796875" style="5" customWidth="1"/>
    <col min="3" max="3" width="9.296875" style="5" customWidth="1"/>
    <col min="4" max="4" width="9.09765625" style="5" customWidth="1"/>
    <col min="5" max="5" width="8.796875" style="5" customWidth="1"/>
    <col min="6" max="6" width="12.69921875" style="5" customWidth="1"/>
    <col min="7" max="7" width="13.69921875" style="5" customWidth="1"/>
    <col min="8" max="9" width="9.296875" style="5" customWidth="1"/>
    <col min="10" max="13" width="9.796875" style="5" customWidth="1"/>
    <col min="14" max="16384" width="8.8984375" style="5" customWidth="1"/>
  </cols>
  <sheetData>
    <row r="1" spans="2:13" ht="18.75" customHeight="1">
      <c r="B1" s="131" t="str">
        <f>inputPrYr!$D$2</f>
        <v>City of LaHarpe</v>
      </c>
      <c r="C1" s="4"/>
      <c r="D1" s="4"/>
      <c r="E1" s="4"/>
      <c r="F1" s="4"/>
      <c r="G1" s="4"/>
      <c r="H1" s="4"/>
      <c r="I1" s="4"/>
      <c r="J1" s="4"/>
      <c r="K1" s="4"/>
      <c r="L1" s="4"/>
      <c r="M1" s="164">
        <f>inputPrYr!$C$5</f>
        <v>2013</v>
      </c>
    </row>
    <row r="2" spans="2:13" ht="15.75">
      <c r="B2" s="131"/>
      <c r="C2" s="4"/>
      <c r="D2" s="4"/>
      <c r="E2" s="4"/>
      <c r="F2" s="4"/>
      <c r="G2" s="4"/>
      <c r="H2" s="4"/>
      <c r="I2" s="4"/>
      <c r="J2" s="4"/>
      <c r="K2" s="4"/>
      <c r="L2" s="4"/>
      <c r="M2" s="127"/>
    </row>
    <row r="3" spans="2:13" ht="15.75">
      <c r="B3" s="165" t="s">
        <v>265</v>
      </c>
      <c r="C3" s="13"/>
      <c r="D3" s="13"/>
      <c r="E3" s="13"/>
      <c r="F3" s="13"/>
      <c r="G3" s="13"/>
      <c r="H3" s="13"/>
      <c r="I3" s="13"/>
      <c r="J3" s="13"/>
      <c r="K3" s="13"/>
      <c r="L3" s="13"/>
      <c r="M3" s="13"/>
    </row>
    <row r="4" spans="2:13" ht="15.75">
      <c r="B4" s="4"/>
      <c r="C4" s="166"/>
      <c r="D4" s="166"/>
      <c r="E4" s="166"/>
      <c r="F4" s="166"/>
      <c r="G4" s="166"/>
      <c r="H4" s="166"/>
      <c r="I4" s="166"/>
      <c r="J4" s="166"/>
      <c r="K4" s="166"/>
      <c r="L4" s="166"/>
      <c r="M4" s="166"/>
    </row>
    <row r="5" spans="2:13" ht="15.75">
      <c r="B5" s="113"/>
      <c r="C5" s="146" t="s">
        <v>234</v>
      </c>
      <c r="D5" s="146" t="s">
        <v>234</v>
      </c>
      <c r="E5" s="146" t="s">
        <v>248</v>
      </c>
      <c r="F5" s="146"/>
      <c r="G5" s="146" t="s">
        <v>355</v>
      </c>
      <c r="H5" s="4"/>
      <c r="I5" s="4"/>
      <c r="J5" s="167" t="s">
        <v>235</v>
      </c>
      <c r="K5" s="168"/>
      <c r="L5" s="167" t="s">
        <v>235</v>
      </c>
      <c r="M5" s="168"/>
    </row>
    <row r="6" spans="2:13" ht="15.75">
      <c r="B6" s="107" t="s">
        <v>49</v>
      </c>
      <c r="C6" s="107" t="s">
        <v>236</v>
      </c>
      <c r="D6" s="107" t="s">
        <v>356</v>
      </c>
      <c r="E6" s="107" t="s">
        <v>237</v>
      </c>
      <c r="F6" s="107" t="s">
        <v>193</v>
      </c>
      <c r="G6" s="107" t="s">
        <v>357</v>
      </c>
      <c r="H6" s="548" t="s">
        <v>238</v>
      </c>
      <c r="I6" s="549"/>
      <c r="J6" s="550">
        <f>M1-1</f>
        <v>2012</v>
      </c>
      <c r="K6" s="551"/>
      <c r="L6" s="550">
        <f>M1</f>
        <v>2013</v>
      </c>
      <c r="M6" s="551"/>
    </row>
    <row r="7" spans="2:13" ht="15.75">
      <c r="B7" s="110" t="s">
        <v>50</v>
      </c>
      <c r="C7" s="110" t="s">
        <v>239</v>
      </c>
      <c r="D7" s="110" t="s">
        <v>358</v>
      </c>
      <c r="E7" s="110" t="s">
        <v>215</v>
      </c>
      <c r="F7" s="110" t="s">
        <v>240</v>
      </c>
      <c r="G7" s="169" t="str">
        <f>CONCATENATE("Jan 1,",M1-1,"")</f>
        <v>Jan 1,2012</v>
      </c>
      <c r="H7" s="117" t="s">
        <v>248</v>
      </c>
      <c r="I7" s="117" t="s">
        <v>250</v>
      </c>
      <c r="J7" s="117" t="s">
        <v>248</v>
      </c>
      <c r="K7" s="117" t="s">
        <v>250</v>
      </c>
      <c r="L7" s="117" t="s">
        <v>248</v>
      </c>
      <c r="M7" s="117" t="s">
        <v>250</v>
      </c>
    </row>
    <row r="8" spans="2:13" ht="15.75">
      <c r="B8" s="170" t="s">
        <v>241</v>
      </c>
      <c r="C8" s="28"/>
      <c r="D8" s="28"/>
      <c r="E8" s="171"/>
      <c r="F8" s="172"/>
      <c r="G8" s="172"/>
      <c r="H8" s="28"/>
      <c r="I8" s="28"/>
      <c r="J8" s="172"/>
      <c r="K8" s="172"/>
      <c r="L8" s="172"/>
      <c r="M8" s="172"/>
    </row>
    <row r="9" spans="2:13" ht="15.75">
      <c r="B9" s="505" t="s">
        <v>124</v>
      </c>
      <c r="C9" s="294"/>
      <c r="D9" s="294"/>
      <c r="E9" s="173"/>
      <c r="F9" s="174"/>
      <c r="G9" s="175"/>
      <c r="H9" s="176"/>
      <c r="I9" s="176"/>
      <c r="J9" s="175"/>
      <c r="K9" s="175"/>
      <c r="L9" s="175"/>
      <c r="M9" s="175"/>
    </row>
    <row r="10" spans="2:13" ht="15.75">
      <c r="B10" s="33"/>
      <c r="C10" s="294"/>
      <c r="D10" s="294"/>
      <c r="E10" s="173"/>
      <c r="F10" s="174"/>
      <c r="G10" s="175"/>
      <c r="H10" s="176"/>
      <c r="I10" s="176"/>
      <c r="J10" s="175"/>
      <c r="K10" s="175"/>
      <c r="L10" s="175"/>
      <c r="M10" s="175"/>
    </row>
    <row r="11" spans="2:13" ht="15.75">
      <c r="B11" s="33"/>
      <c r="C11" s="294"/>
      <c r="D11" s="294"/>
      <c r="E11" s="173"/>
      <c r="F11" s="174"/>
      <c r="G11" s="175"/>
      <c r="H11" s="176"/>
      <c r="I11" s="176"/>
      <c r="J11" s="175"/>
      <c r="K11" s="175"/>
      <c r="L11" s="175"/>
      <c r="M11" s="175"/>
    </row>
    <row r="12" spans="2:13" ht="15.75">
      <c r="B12" s="33"/>
      <c r="C12" s="294"/>
      <c r="D12" s="294"/>
      <c r="E12" s="173"/>
      <c r="F12" s="174"/>
      <c r="G12" s="175"/>
      <c r="H12" s="176"/>
      <c r="I12" s="176"/>
      <c r="J12" s="175"/>
      <c r="K12" s="175"/>
      <c r="L12" s="175"/>
      <c r="M12" s="175"/>
    </row>
    <row r="13" spans="2:13" ht="15.75">
      <c r="B13" s="33"/>
      <c r="C13" s="294"/>
      <c r="D13" s="294"/>
      <c r="E13" s="173"/>
      <c r="F13" s="174"/>
      <c r="G13" s="175"/>
      <c r="H13" s="176"/>
      <c r="I13" s="176"/>
      <c r="J13" s="175"/>
      <c r="K13" s="175"/>
      <c r="L13" s="175"/>
      <c r="M13" s="175"/>
    </row>
    <row r="14" spans="2:13" ht="15.75">
      <c r="B14" s="33"/>
      <c r="C14" s="294"/>
      <c r="D14" s="294"/>
      <c r="E14" s="173"/>
      <c r="F14" s="174"/>
      <c r="G14" s="175"/>
      <c r="H14" s="176"/>
      <c r="I14" s="176"/>
      <c r="J14" s="175"/>
      <c r="K14" s="175"/>
      <c r="L14" s="175"/>
      <c r="M14" s="175"/>
    </row>
    <row r="15" spans="2:13" ht="15.75">
      <c r="B15" s="33"/>
      <c r="C15" s="294"/>
      <c r="D15" s="294"/>
      <c r="E15" s="173"/>
      <c r="F15" s="174"/>
      <c r="G15" s="175"/>
      <c r="H15" s="176"/>
      <c r="I15" s="176"/>
      <c r="J15" s="175"/>
      <c r="K15" s="175"/>
      <c r="L15" s="175"/>
      <c r="M15" s="175"/>
    </row>
    <row r="16" spans="2:13" ht="15.75">
      <c r="B16" s="33"/>
      <c r="C16" s="294"/>
      <c r="D16" s="294"/>
      <c r="E16" s="173"/>
      <c r="F16" s="174"/>
      <c r="G16" s="175"/>
      <c r="H16" s="176"/>
      <c r="I16" s="176"/>
      <c r="J16" s="175"/>
      <c r="K16" s="175"/>
      <c r="L16" s="175"/>
      <c r="M16" s="175"/>
    </row>
    <row r="17" spans="2:13" ht="15.75">
      <c r="B17" s="33"/>
      <c r="C17" s="294"/>
      <c r="D17" s="294"/>
      <c r="E17" s="173"/>
      <c r="F17" s="174"/>
      <c r="G17" s="175"/>
      <c r="H17" s="176"/>
      <c r="I17" s="176"/>
      <c r="J17" s="175"/>
      <c r="K17" s="175"/>
      <c r="L17" s="175"/>
      <c r="M17" s="175"/>
    </row>
    <row r="18" spans="2:13" ht="15.75">
      <c r="B18" s="33"/>
      <c r="C18" s="294"/>
      <c r="D18" s="294"/>
      <c r="E18" s="173"/>
      <c r="F18" s="174"/>
      <c r="G18" s="175"/>
      <c r="H18" s="176"/>
      <c r="I18" s="176"/>
      <c r="J18" s="175"/>
      <c r="K18" s="175"/>
      <c r="L18" s="175"/>
      <c r="M18" s="175"/>
    </row>
    <row r="19" spans="2:13" ht="15.75">
      <c r="B19" s="33"/>
      <c r="C19" s="294"/>
      <c r="D19" s="294"/>
      <c r="E19" s="173"/>
      <c r="F19" s="174"/>
      <c r="G19" s="175"/>
      <c r="H19" s="176"/>
      <c r="I19" s="176"/>
      <c r="J19" s="175"/>
      <c r="K19" s="175"/>
      <c r="L19" s="175"/>
      <c r="M19" s="175"/>
    </row>
    <row r="20" spans="2:13" ht="15.75">
      <c r="B20" s="177" t="s">
        <v>242</v>
      </c>
      <c r="C20" s="178"/>
      <c r="D20" s="178"/>
      <c r="E20" s="179"/>
      <c r="F20" s="180"/>
      <c r="G20" s="181">
        <f>SUM(G9:G19)</f>
        <v>0</v>
      </c>
      <c r="H20" s="182"/>
      <c r="I20" s="182"/>
      <c r="J20" s="181">
        <f>SUM(J9:J19)</f>
        <v>0</v>
      </c>
      <c r="K20" s="181">
        <f>SUM(K9:K19)</f>
        <v>0</v>
      </c>
      <c r="L20" s="181">
        <f>SUM(L9:L19)</f>
        <v>0</v>
      </c>
      <c r="M20" s="181">
        <f>SUM(M9:M19)</f>
        <v>0</v>
      </c>
    </row>
    <row r="21" spans="2:13" ht="15.75">
      <c r="B21" s="170" t="s">
        <v>243</v>
      </c>
      <c r="C21" s="183"/>
      <c r="D21" s="183"/>
      <c r="E21" s="184"/>
      <c r="F21" s="162"/>
      <c r="G21" s="162"/>
      <c r="H21" s="185"/>
      <c r="I21" s="185"/>
      <c r="J21" s="162"/>
      <c r="K21" s="162"/>
      <c r="L21" s="162"/>
      <c r="M21" s="162"/>
    </row>
    <row r="22" spans="2:13" ht="15.75">
      <c r="B22" s="505" t="s">
        <v>124</v>
      </c>
      <c r="C22" s="294"/>
      <c r="D22" s="294"/>
      <c r="E22" s="173"/>
      <c r="F22" s="174"/>
      <c r="G22" s="175"/>
      <c r="H22" s="176"/>
      <c r="I22" s="176"/>
      <c r="J22" s="175"/>
      <c r="K22" s="175"/>
      <c r="L22" s="175"/>
      <c r="M22" s="175"/>
    </row>
    <row r="23" spans="2:13" ht="15.75">
      <c r="B23" s="33"/>
      <c r="C23" s="294"/>
      <c r="D23" s="294"/>
      <c r="E23" s="173"/>
      <c r="F23" s="174"/>
      <c r="G23" s="175"/>
      <c r="H23" s="176"/>
      <c r="I23" s="176"/>
      <c r="J23" s="175"/>
      <c r="K23" s="175"/>
      <c r="L23" s="175"/>
      <c r="M23" s="175"/>
    </row>
    <row r="24" spans="2:13" ht="15.75">
      <c r="B24" s="33"/>
      <c r="C24" s="294"/>
      <c r="D24" s="294"/>
      <c r="E24" s="173"/>
      <c r="F24" s="174"/>
      <c r="G24" s="175"/>
      <c r="H24" s="176"/>
      <c r="I24" s="176"/>
      <c r="J24" s="175"/>
      <c r="K24" s="175"/>
      <c r="L24" s="175"/>
      <c r="M24" s="175"/>
    </row>
    <row r="25" spans="2:13" ht="15.75">
      <c r="B25" s="33"/>
      <c r="C25" s="294"/>
      <c r="D25" s="294"/>
      <c r="E25" s="173"/>
      <c r="F25" s="174"/>
      <c r="G25" s="175"/>
      <c r="H25" s="176"/>
      <c r="I25" s="176"/>
      <c r="J25" s="175"/>
      <c r="K25" s="175"/>
      <c r="L25" s="175"/>
      <c r="M25" s="175"/>
    </row>
    <row r="26" spans="2:13" ht="15.75">
      <c r="B26" s="33"/>
      <c r="C26" s="294"/>
      <c r="D26" s="294"/>
      <c r="E26" s="173"/>
      <c r="F26" s="174"/>
      <c r="G26" s="175"/>
      <c r="H26" s="176"/>
      <c r="I26" s="176"/>
      <c r="J26" s="175"/>
      <c r="K26" s="175"/>
      <c r="L26" s="175"/>
      <c r="M26" s="175"/>
    </row>
    <row r="27" spans="2:13" ht="15.75">
      <c r="B27" s="33"/>
      <c r="C27" s="294"/>
      <c r="D27" s="294"/>
      <c r="E27" s="173"/>
      <c r="F27" s="174"/>
      <c r="G27" s="175"/>
      <c r="H27" s="176"/>
      <c r="I27" s="176"/>
      <c r="J27" s="175"/>
      <c r="K27" s="175"/>
      <c r="L27" s="175"/>
      <c r="M27" s="175"/>
    </row>
    <row r="28" spans="2:13" ht="15.75">
      <c r="B28" s="33"/>
      <c r="C28" s="294"/>
      <c r="D28" s="294"/>
      <c r="E28" s="173"/>
      <c r="F28" s="174"/>
      <c r="G28" s="175"/>
      <c r="H28" s="176"/>
      <c r="I28" s="176"/>
      <c r="J28" s="175"/>
      <c r="K28" s="175"/>
      <c r="L28" s="175"/>
      <c r="M28" s="175"/>
    </row>
    <row r="29" spans="2:13" ht="15.75">
      <c r="B29" s="33"/>
      <c r="C29" s="294"/>
      <c r="D29" s="294"/>
      <c r="E29" s="173"/>
      <c r="F29" s="174"/>
      <c r="G29" s="175"/>
      <c r="H29" s="176"/>
      <c r="I29" s="176"/>
      <c r="J29" s="175"/>
      <c r="K29" s="175"/>
      <c r="L29" s="175"/>
      <c r="M29" s="175"/>
    </row>
    <row r="30" spans="2:13" ht="15.75">
      <c r="B30" s="33"/>
      <c r="C30" s="294"/>
      <c r="D30" s="294"/>
      <c r="E30" s="173"/>
      <c r="F30" s="174"/>
      <c r="G30" s="175"/>
      <c r="H30" s="176"/>
      <c r="I30" s="176"/>
      <c r="J30" s="175"/>
      <c r="K30" s="175"/>
      <c r="L30" s="175"/>
      <c r="M30" s="175"/>
    </row>
    <row r="31" spans="2:13" ht="15.75">
      <c r="B31" s="33"/>
      <c r="C31" s="294"/>
      <c r="D31" s="294"/>
      <c r="E31" s="173"/>
      <c r="F31" s="174"/>
      <c r="G31" s="175"/>
      <c r="H31" s="176"/>
      <c r="I31" s="176"/>
      <c r="J31" s="175"/>
      <c r="K31" s="175"/>
      <c r="L31" s="175"/>
      <c r="M31" s="175"/>
    </row>
    <row r="32" spans="2:13" ht="15.75">
      <c r="B32" s="177" t="s">
        <v>244</v>
      </c>
      <c r="C32" s="178"/>
      <c r="D32" s="178"/>
      <c r="E32" s="186"/>
      <c r="F32" s="180"/>
      <c r="G32" s="187">
        <f>SUM(G22:G31)</f>
        <v>0</v>
      </c>
      <c r="H32" s="182"/>
      <c r="I32" s="182"/>
      <c r="J32" s="187">
        <f>SUM(J22:J31)</f>
        <v>0</v>
      </c>
      <c r="K32" s="187">
        <f>SUM(K22:K31)</f>
        <v>0</v>
      </c>
      <c r="L32" s="181">
        <f>SUM(L22:L31)</f>
        <v>0</v>
      </c>
      <c r="M32" s="187">
        <f>SUM(M22:M31)</f>
        <v>0</v>
      </c>
    </row>
    <row r="33" spans="2:13" ht="15.75">
      <c r="B33" s="170" t="s">
        <v>245</v>
      </c>
      <c r="C33" s="183"/>
      <c r="D33" s="183"/>
      <c r="E33" s="184"/>
      <c r="F33" s="162"/>
      <c r="G33" s="188"/>
      <c r="H33" s="185"/>
      <c r="I33" s="185"/>
      <c r="J33" s="162"/>
      <c r="K33" s="162"/>
      <c r="L33" s="162"/>
      <c r="M33" s="162"/>
    </row>
    <row r="34" spans="2:13" ht="15.75">
      <c r="B34" s="505" t="s">
        <v>125</v>
      </c>
      <c r="C34" s="506"/>
      <c r="D34" s="506"/>
      <c r="E34" s="507"/>
      <c r="F34" s="508"/>
      <c r="G34" s="175"/>
      <c r="H34" s="176"/>
      <c r="I34" s="176"/>
      <c r="J34" s="175"/>
      <c r="K34" s="175"/>
      <c r="L34" s="175"/>
      <c r="M34" s="175"/>
    </row>
    <row r="35" spans="2:13" ht="15.75">
      <c r="B35" s="505" t="s">
        <v>126</v>
      </c>
      <c r="C35" s="506">
        <v>36337</v>
      </c>
      <c r="D35" s="506">
        <v>43709</v>
      </c>
      <c r="E35" s="507">
        <v>2.86</v>
      </c>
      <c r="F35" s="508">
        <v>760000</v>
      </c>
      <c r="G35" s="175">
        <v>360065</v>
      </c>
      <c r="H35" s="176" t="s">
        <v>127</v>
      </c>
      <c r="I35" s="176" t="s">
        <v>127</v>
      </c>
      <c r="J35" s="175">
        <v>10887</v>
      </c>
      <c r="K35" s="175">
        <v>40299</v>
      </c>
      <c r="L35" s="175">
        <v>9624</v>
      </c>
      <c r="M35" s="175">
        <v>41562</v>
      </c>
    </row>
    <row r="36" spans="2:13" ht="15.75">
      <c r="B36" s="33"/>
      <c r="C36" s="294"/>
      <c r="D36" s="294"/>
      <c r="E36" s="173"/>
      <c r="F36" s="174"/>
      <c r="G36" s="175"/>
      <c r="H36" s="176"/>
      <c r="I36" s="176"/>
      <c r="J36" s="175"/>
      <c r="K36" s="175"/>
      <c r="L36" s="175"/>
      <c r="M36" s="175"/>
    </row>
    <row r="37" spans="2:13" ht="15.75">
      <c r="B37" s="33"/>
      <c r="C37" s="294"/>
      <c r="D37" s="294"/>
      <c r="E37" s="173"/>
      <c r="F37" s="174"/>
      <c r="G37" s="175"/>
      <c r="H37" s="176"/>
      <c r="I37" s="176"/>
      <c r="J37" s="175"/>
      <c r="K37" s="175"/>
      <c r="L37" s="175"/>
      <c r="M37" s="175"/>
    </row>
    <row r="38" spans="2:13" ht="15.75">
      <c r="B38" s="33"/>
      <c r="C38" s="294"/>
      <c r="D38" s="294"/>
      <c r="E38" s="173"/>
      <c r="F38" s="174"/>
      <c r="G38" s="175"/>
      <c r="H38" s="176"/>
      <c r="I38" s="176"/>
      <c r="J38" s="175"/>
      <c r="K38" s="175"/>
      <c r="L38" s="175"/>
      <c r="M38" s="175"/>
    </row>
    <row r="39" spans="2:13" ht="15.75">
      <c r="B39" s="33"/>
      <c r="C39" s="294"/>
      <c r="D39" s="294"/>
      <c r="E39" s="173"/>
      <c r="F39" s="174"/>
      <c r="G39" s="175"/>
      <c r="H39" s="176"/>
      <c r="I39" s="176"/>
      <c r="J39" s="175"/>
      <c r="K39" s="175"/>
      <c r="L39" s="175"/>
      <c r="M39" s="175"/>
    </row>
    <row r="40" spans="2:13" ht="15.75">
      <c r="B40" s="33"/>
      <c r="C40" s="294"/>
      <c r="D40" s="294"/>
      <c r="E40" s="173"/>
      <c r="F40" s="174"/>
      <c r="G40" s="175"/>
      <c r="H40" s="176"/>
      <c r="I40" s="176"/>
      <c r="J40" s="175"/>
      <c r="K40" s="175"/>
      <c r="L40" s="175"/>
      <c r="M40" s="175"/>
    </row>
    <row r="41" spans="2:29" ht="15.75">
      <c r="B41" s="33"/>
      <c r="C41" s="294"/>
      <c r="D41" s="294"/>
      <c r="E41" s="173"/>
      <c r="F41" s="174"/>
      <c r="G41" s="175"/>
      <c r="H41" s="176"/>
      <c r="I41" s="176"/>
      <c r="J41" s="175"/>
      <c r="K41" s="175"/>
      <c r="L41" s="175"/>
      <c r="M41" s="175"/>
      <c r="N41" s="1"/>
      <c r="O41" s="1"/>
      <c r="P41" s="1"/>
      <c r="Q41" s="1"/>
      <c r="R41" s="1"/>
      <c r="S41" s="1"/>
      <c r="T41" s="1"/>
      <c r="U41" s="1"/>
      <c r="V41" s="1"/>
      <c r="W41" s="1"/>
      <c r="X41" s="1"/>
      <c r="Y41" s="1"/>
      <c r="Z41" s="1"/>
      <c r="AA41" s="1"/>
      <c r="AB41" s="1"/>
      <c r="AC41" s="1"/>
    </row>
    <row r="42" spans="2:13" ht="15.75">
      <c r="B42" s="177" t="s">
        <v>359</v>
      </c>
      <c r="C42" s="161"/>
      <c r="D42" s="161"/>
      <c r="E42" s="186"/>
      <c r="F42" s="180"/>
      <c r="G42" s="187">
        <f>SUM(G34:G41)</f>
        <v>360065</v>
      </c>
      <c r="H42" s="180"/>
      <c r="I42" s="180"/>
      <c r="J42" s="187">
        <f>SUM(J34:J41)</f>
        <v>10887</v>
      </c>
      <c r="K42" s="187">
        <f>SUM(K34:K41)</f>
        <v>40299</v>
      </c>
      <c r="L42" s="187">
        <f>SUM(L34:L41)</f>
        <v>9624</v>
      </c>
      <c r="M42" s="187">
        <f>SUM(M34:M41)</f>
        <v>41562</v>
      </c>
    </row>
    <row r="43" spans="2:13" ht="15.75">
      <c r="B43" s="177" t="s">
        <v>246</v>
      </c>
      <c r="C43" s="161"/>
      <c r="D43" s="161"/>
      <c r="E43" s="161"/>
      <c r="F43" s="180"/>
      <c r="G43" s="187">
        <f>SUM(G20+G32+G42)</f>
        <v>360065</v>
      </c>
      <c r="H43" s="180"/>
      <c r="I43" s="180"/>
      <c r="J43" s="187">
        <f>SUM(J20+J32+J42)</f>
        <v>10887</v>
      </c>
      <c r="K43" s="187">
        <f>SUM(K20+K32+K42)</f>
        <v>40299</v>
      </c>
      <c r="L43" s="187">
        <f>SUM(L20+L32+L42)</f>
        <v>9624</v>
      </c>
      <c r="M43" s="187">
        <f>SUM(M20+M32+M42)</f>
        <v>41562</v>
      </c>
    </row>
    <row r="44" spans="2:13" ht="15.75">
      <c r="B44" s="1"/>
      <c r="C44" s="1"/>
      <c r="D44" s="1"/>
      <c r="E44" s="1"/>
      <c r="F44" s="1"/>
      <c r="G44" s="1"/>
      <c r="H44" s="1"/>
      <c r="I44" s="1"/>
      <c r="J44" s="1"/>
      <c r="K44" s="1"/>
      <c r="L44" s="1"/>
      <c r="M44" s="1"/>
    </row>
    <row r="45" spans="6:13" ht="15.75">
      <c r="F45" s="189"/>
      <c r="G45" s="189"/>
      <c r="J45" s="189"/>
      <c r="K45" s="189"/>
      <c r="L45" s="189"/>
      <c r="M45" s="189"/>
    </row>
    <row r="46" spans="6:14" ht="15.75">
      <c r="F46" s="1"/>
      <c r="H46" s="190"/>
      <c r="N46" s="1"/>
    </row>
    <row r="47" spans="2:13" ht="15.75">
      <c r="B47" s="1"/>
      <c r="C47" s="1"/>
      <c r="D47" s="1"/>
      <c r="E47" s="1"/>
      <c r="F47" s="1"/>
      <c r="G47" s="1"/>
      <c r="H47" s="1"/>
      <c r="I47" s="1"/>
      <c r="J47" s="1"/>
      <c r="K47" s="1"/>
      <c r="L47" s="1"/>
      <c r="M47" s="1"/>
    </row>
    <row r="48" spans="2:13" ht="15.75">
      <c r="B48" s="1"/>
      <c r="C48" s="1"/>
      <c r="D48" s="1"/>
      <c r="E48" s="1"/>
      <c r="F48" s="1"/>
      <c r="G48" s="1"/>
      <c r="H48" s="1"/>
      <c r="I48" s="1"/>
      <c r="J48" s="1"/>
      <c r="K48" s="1"/>
      <c r="L48" s="1"/>
      <c r="M48" s="1"/>
    </row>
  </sheetData>
  <sheetProtection sheet="1"/>
  <mergeCells count="3">
    <mergeCell ref="H6:I6"/>
    <mergeCell ref="J6:K6"/>
    <mergeCell ref="L6:M6"/>
  </mergeCells>
  <printOptions/>
  <pageMargins left="0.25" right="0.25" top="1" bottom="0.5" header="0.5" footer="0.25"/>
  <pageSetup blackAndWhite="1" fitToHeight="1" fitToWidth="1" horizontalDpi="120" verticalDpi="120" orientation="landscape" scale="76" r:id="rId1"/>
  <headerFooter alignWithMargins="0">
    <oddHeader>&amp;RState of Kansas
City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Sherrie Riebel</cp:lastModifiedBy>
  <cp:lastPrinted>2012-07-27T19:26:41Z</cp:lastPrinted>
  <dcterms:created xsi:type="dcterms:W3CDTF">1999-08-03T13:11:47Z</dcterms:created>
  <dcterms:modified xsi:type="dcterms:W3CDTF">2012-10-19T19:22:09Z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