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060" windowHeight="7980" tabRatio="908" firstSheet="32" activeTab="40"/>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6" r:id="rId9"/>
    <sheet name="debt" sheetId="22" r:id="rId10"/>
    <sheet name="lpform" sheetId="23" r:id="rId11"/>
    <sheet name="Library Grant " sheetId="58" r:id="rId12"/>
    <sheet name="general" sheetId="7" r:id="rId13"/>
    <sheet name="GenDetail" sheetId="9" r:id="rId14"/>
    <sheet name="DebtSvs-Library" sheetId="34" r:id="rId15"/>
    <sheet name="levy page9" sheetId="8" r:id="rId16"/>
    <sheet name="levy page10" sheetId="10" r:id="rId17"/>
    <sheet name="levy page11" sheetId="11" r:id="rId18"/>
    <sheet name="levy page12" sheetId="12" r:id="rId19"/>
    <sheet name="levy page13" sheetId="13" r:id="rId20"/>
    <sheet name="Sp Hiway" sheetId="14" r:id="rId21"/>
    <sheet name="no levy page15" sheetId="15" r:id="rId22"/>
    <sheet name="no levy page16" sheetId="16" r:id="rId23"/>
    <sheet name="no levy page17" sheetId="17" r:id="rId24"/>
    <sheet name="no levy page18" sheetId="18" r:id="rId25"/>
    <sheet name="no levy page19" sheetId="19" r:id="rId26"/>
    <sheet name="no levy page20" sheetId="54" r:id="rId27"/>
    <sheet name="no levy page21" sheetId="55" r:id="rId28"/>
    <sheet name="SinNoLevy22" sheetId="35" r:id="rId29"/>
    <sheet name="Light detail" sheetId="59" r:id="rId30"/>
    <sheet name="SinNoLevy23" sheetId="36" r:id="rId31"/>
    <sheet name="Water detail" sheetId="60" r:id="rId32"/>
    <sheet name="SinNoLevy24" sheetId="37" r:id="rId33"/>
    <sheet name="SinNoLevy25" sheetId="38" r:id="rId34"/>
    <sheet name="NonBudA" sheetId="39" r:id="rId35"/>
    <sheet name="NonBudB" sheetId="40" r:id="rId36"/>
    <sheet name="NonBudC" sheetId="41" r:id="rId37"/>
    <sheet name="NonBudD" sheetId="42" r:id="rId38"/>
    <sheet name="NonBudFunds" sheetId="45" r:id="rId39"/>
    <sheet name="summ" sheetId="21" r:id="rId40"/>
    <sheet name="Pub Notice" sheetId="62" r:id="rId41"/>
    <sheet name="Sign Cert" sheetId="63" r:id="rId42"/>
    <sheet name="Sign Res" sheetId="61" r:id="rId43"/>
    <sheet name="nhood" sheetId="44" r:id="rId44"/>
    <sheet name="ordinance" sheetId="33" r:id="rId45"/>
    <sheet name="Tab A" sheetId="47" r:id="rId46"/>
    <sheet name="Tab B" sheetId="48" r:id="rId47"/>
    <sheet name="Tab C" sheetId="49" r:id="rId48"/>
    <sheet name="Tab D" sheetId="53" r:id="rId49"/>
    <sheet name="Tab E" sheetId="51" r:id="rId50"/>
    <sheet name="Mill Rate Computation" sheetId="56" r:id="rId51"/>
    <sheet name="Helpful Links" sheetId="57" r:id="rId52"/>
    <sheet name="legend" sheetId="25" r:id="rId53"/>
  </sheets>
  <definedNames>
    <definedName name="_xlnm.Print_Area" localSheetId="14">'DebtSvs-Library'!$B$1:$E$82</definedName>
    <definedName name="_xlnm.Print_Area" localSheetId="13">GenDetail!$A$1:$D$133</definedName>
    <definedName name="_xlnm.Print_Area" localSheetId="12">general!$B$1:$E$120</definedName>
    <definedName name="_xlnm.Print_Area" localSheetId="1">inputPrYr!$A$1:$E$130</definedName>
    <definedName name="_xlnm.Print_Area" localSheetId="16">'levy page10'!$B$1:$E$82</definedName>
    <definedName name="_xlnm.Print_Area" localSheetId="17">'levy page11'!$A$1:$E$82</definedName>
    <definedName name="_xlnm.Print_Area" localSheetId="18">'levy page12'!$A$1:$E$82</definedName>
    <definedName name="_xlnm.Print_Area" localSheetId="19">'levy page13'!$A$1:$E$82</definedName>
    <definedName name="_xlnm.Print_Area" localSheetId="15">'levy page9'!$A$1:$E$82</definedName>
    <definedName name="_xlnm.Print_Area" localSheetId="11">'Library Grant '!$A$1:$J$40</definedName>
    <definedName name="_xlnm.Print_Area" localSheetId="10">lpform!$B$1:$I$38</definedName>
    <definedName name="_xlnm.Print_Area" localSheetId="50">'Mill Rate Computation'!$B$4:$K$144</definedName>
    <definedName name="_xlnm.Print_Area" localSheetId="39">summ!$A$1:$H$72</definedName>
  </definedNames>
  <calcPr calcId="145621"/>
</workbook>
</file>

<file path=xl/calcChain.xml><?xml version="1.0" encoding="utf-8"?>
<calcChain xmlns="http://schemas.openxmlformats.org/spreadsheetml/2006/main">
  <c r="B25" i="59" l="1"/>
  <c r="B32" i="59" s="1"/>
  <c r="B22" i="59"/>
  <c r="B15" i="59"/>
  <c r="D41" i="59"/>
  <c r="C41" i="59"/>
  <c r="B41" i="59"/>
  <c r="D32" i="59"/>
  <c r="C32" i="59"/>
  <c r="D22" i="59"/>
  <c r="C22" i="59"/>
  <c r="D15" i="59"/>
  <c r="C15" i="59"/>
  <c r="D60" i="2"/>
  <c r="D47" i="13"/>
  <c r="D8" i="13"/>
  <c r="D20" i="13" s="1"/>
  <c r="D19" i="13" s="1"/>
  <c r="D47" i="12"/>
  <c r="D8" i="12"/>
  <c r="D20" i="12" s="1"/>
  <c r="D47" i="11"/>
  <c r="D60" i="11" s="1"/>
  <c r="D59" i="11" s="1"/>
  <c r="D8" i="11"/>
  <c r="D20" i="11" s="1"/>
  <c r="D47" i="10"/>
  <c r="D8" i="10"/>
  <c r="D20" i="10" s="1"/>
  <c r="D47" i="8"/>
  <c r="D60" i="8" s="1"/>
  <c r="D59" i="8" s="1"/>
  <c r="D8" i="8"/>
  <c r="D47" i="34"/>
  <c r="D8" i="34"/>
  <c r="D20" i="34" s="1"/>
  <c r="D19" i="34" s="1"/>
  <c r="D8" i="7"/>
  <c r="D56" i="7" s="1"/>
  <c r="D55" i="7" s="1"/>
  <c r="J29" i="13"/>
  <c r="J28" i="13"/>
  <c r="J29" i="12"/>
  <c r="J28" i="12"/>
  <c r="J29" i="11"/>
  <c r="J28" i="11"/>
  <c r="J29" i="10"/>
  <c r="J28" i="10"/>
  <c r="J29" i="8"/>
  <c r="J28" i="8"/>
  <c r="J29" i="34"/>
  <c r="J28" i="34"/>
  <c r="J27" i="12"/>
  <c r="B19" i="58"/>
  <c r="B18" i="58"/>
  <c r="B17" i="58"/>
  <c r="B16" i="58"/>
  <c r="B15" i="58"/>
  <c r="G35" i="2"/>
  <c r="D60" i="13"/>
  <c r="D59" i="13" s="1"/>
  <c r="G34" i="2"/>
  <c r="G33" i="2"/>
  <c r="D60" i="12"/>
  <c r="D59" i="12" s="1"/>
  <c r="G32" i="2"/>
  <c r="G31" i="2"/>
  <c r="G30" i="2"/>
  <c r="G29" i="2"/>
  <c r="D60" i="10"/>
  <c r="D59" i="10" s="1"/>
  <c r="G28" i="2"/>
  <c r="G27" i="2"/>
  <c r="G26" i="2"/>
  <c r="D20" i="8"/>
  <c r="D19" i="8" s="1"/>
  <c r="G24" i="2"/>
  <c r="G22" i="2"/>
  <c r="G23" i="2"/>
  <c r="D75" i="34"/>
  <c r="D35" i="8"/>
  <c r="D75" i="8"/>
  <c r="D93" i="8" s="1"/>
  <c r="D35" i="10"/>
  <c r="D75" i="10"/>
  <c r="D35" i="11"/>
  <c r="D75" i="11"/>
  <c r="D35" i="12"/>
  <c r="D75" i="12"/>
  <c r="D35" i="13"/>
  <c r="D75" i="13"/>
  <c r="B17" i="3"/>
  <c r="D17" i="3"/>
  <c r="J148" i="56"/>
  <c r="H134" i="56"/>
  <c r="C137" i="56" s="1"/>
  <c r="J137" i="56" s="1"/>
  <c r="C123" i="56"/>
  <c r="H120" i="56"/>
  <c r="H114" i="56"/>
  <c r="F117" i="56" s="1"/>
  <c r="H117" i="56" s="1"/>
  <c r="F123" i="56" s="1"/>
  <c r="J123" i="56" s="1"/>
  <c r="H100" i="56"/>
  <c r="C103" i="56" s="1"/>
  <c r="H94" i="56"/>
  <c r="F97" i="56" s="1"/>
  <c r="H97" i="56" s="1"/>
  <c r="F103" i="56" s="1"/>
  <c r="C83" i="56"/>
  <c r="J83" i="56" s="1"/>
  <c r="H80" i="56"/>
  <c r="H74" i="56"/>
  <c r="F77" i="56" s="1"/>
  <c r="H77" i="56"/>
  <c r="F83" i="56" s="1"/>
  <c r="H48" i="56"/>
  <c r="F50" i="56" s="1"/>
  <c r="J50" i="56" s="1"/>
  <c r="H41" i="56"/>
  <c r="B28" i="56"/>
  <c r="H28" i="56" s="1"/>
  <c r="H25" i="56"/>
  <c r="C25" i="56"/>
  <c r="A67" i="21"/>
  <c r="A68" i="21"/>
  <c r="A5" i="21"/>
  <c r="A7" i="21"/>
  <c r="G20" i="52"/>
  <c r="G22" i="52" s="1"/>
  <c r="A65" i="43"/>
  <c r="A27" i="21"/>
  <c r="A26" i="21"/>
  <c r="A25" i="21"/>
  <c r="A24" i="21"/>
  <c r="A23" i="21"/>
  <c r="A22" i="21"/>
  <c r="A21" i="21"/>
  <c r="A20" i="21"/>
  <c r="A19" i="21"/>
  <c r="A18" i="21"/>
  <c r="A17" i="21"/>
  <c r="B18" i="44"/>
  <c r="B17" i="44"/>
  <c r="B16" i="44"/>
  <c r="B15" i="44"/>
  <c r="B14" i="44"/>
  <c r="B13" i="44"/>
  <c r="B12" i="44"/>
  <c r="B11" i="44"/>
  <c r="B10" i="44"/>
  <c r="B9" i="44"/>
  <c r="B8" i="44"/>
  <c r="D59" i="7"/>
  <c r="D19" i="3" s="1"/>
  <c r="C20" i="5"/>
  <c r="C19" i="5"/>
  <c r="C18" i="5"/>
  <c r="C17" i="5"/>
  <c r="C16" i="5"/>
  <c r="C15" i="5"/>
  <c r="C14" i="5"/>
  <c r="C13" i="5"/>
  <c r="C12" i="5"/>
  <c r="C11" i="5"/>
  <c r="C10" i="5"/>
  <c r="B20" i="5"/>
  <c r="B19" i="5"/>
  <c r="B18" i="5"/>
  <c r="B17" i="5"/>
  <c r="B16" i="5"/>
  <c r="B15" i="5"/>
  <c r="B14" i="5"/>
  <c r="B13" i="5"/>
  <c r="B12" i="5"/>
  <c r="B11" i="5"/>
  <c r="B10" i="5"/>
  <c r="A93" i="43"/>
  <c r="A92" i="43"/>
  <c r="A91" i="43"/>
  <c r="A90" i="43"/>
  <c r="A89" i="43"/>
  <c r="A88" i="43"/>
  <c r="A87" i="43"/>
  <c r="A86" i="43"/>
  <c r="A85" i="43"/>
  <c r="A84" i="43"/>
  <c r="A83" i="43"/>
  <c r="A41" i="43"/>
  <c r="A40" i="43"/>
  <c r="A39" i="43"/>
  <c r="A38" i="43"/>
  <c r="A37" i="43"/>
  <c r="A36" i="43"/>
  <c r="A35" i="43"/>
  <c r="A34" i="43"/>
  <c r="A33" i="43"/>
  <c r="A32" i="43"/>
  <c r="A31" i="43"/>
  <c r="B101" i="2"/>
  <c r="B100" i="2"/>
  <c r="B99" i="2"/>
  <c r="B98" i="2"/>
  <c r="B97" i="2"/>
  <c r="B96" i="2"/>
  <c r="B95" i="2"/>
  <c r="B94" i="2"/>
  <c r="B93" i="2"/>
  <c r="B92" i="2"/>
  <c r="B91" i="2"/>
  <c r="B31" i="3"/>
  <c r="B30" i="3"/>
  <c r="B29" i="3"/>
  <c r="B28" i="3"/>
  <c r="B27" i="3"/>
  <c r="B26" i="3"/>
  <c r="B25" i="3"/>
  <c r="B24" i="3"/>
  <c r="B23" i="3"/>
  <c r="B22" i="3"/>
  <c r="B21" i="3"/>
  <c r="C31" i="3"/>
  <c r="C30" i="3"/>
  <c r="C29" i="3"/>
  <c r="C28" i="3"/>
  <c r="C27" i="3"/>
  <c r="C26" i="3"/>
  <c r="C25" i="3"/>
  <c r="C24" i="3"/>
  <c r="C23" i="3"/>
  <c r="C22" i="3"/>
  <c r="C21" i="3"/>
  <c r="B44" i="13"/>
  <c r="B5" i="13"/>
  <c r="B44" i="12"/>
  <c r="B5" i="12"/>
  <c r="B44" i="11"/>
  <c r="B5" i="11"/>
  <c r="B44" i="10"/>
  <c r="B5" i="10"/>
  <c r="B44" i="8"/>
  <c r="B5" i="8"/>
  <c r="B44" i="34"/>
  <c r="E19" i="58"/>
  <c r="E18" i="58"/>
  <c r="E17" i="58"/>
  <c r="E16" i="58"/>
  <c r="G19" i="58"/>
  <c r="G14" i="58"/>
  <c r="E14" i="58"/>
  <c r="B47" i="58" s="1"/>
  <c r="B8" i="58"/>
  <c r="B7" i="58"/>
  <c r="B5" i="58"/>
  <c r="B89" i="58"/>
  <c r="D70" i="9"/>
  <c r="C70" i="9"/>
  <c r="B70" i="9"/>
  <c r="D63" i="21"/>
  <c r="B63" i="21"/>
  <c r="D62" i="21"/>
  <c r="B62" i="21"/>
  <c r="D61" i="21"/>
  <c r="D64" i="21" s="1"/>
  <c r="B61" i="21"/>
  <c r="D60" i="21"/>
  <c r="B60" i="21"/>
  <c r="B64" i="21" s="1"/>
  <c r="B57" i="21"/>
  <c r="B55" i="21"/>
  <c r="E27" i="21"/>
  <c r="G84" i="13" s="1"/>
  <c r="C27" i="21"/>
  <c r="C19" i="44"/>
  <c r="C75" i="13"/>
  <c r="C35" i="13"/>
  <c r="C75" i="12"/>
  <c r="C92" i="12" s="1"/>
  <c r="C35" i="12"/>
  <c r="C75" i="11"/>
  <c r="C35" i="11"/>
  <c r="C75" i="10"/>
  <c r="C35" i="10"/>
  <c r="C90" i="10" s="1"/>
  <c r="C75" i="8"/>
  <c r="C35" i="8"/>
  <c r="C75" i="34"/>
  <c r="D23" i="3"/>
  <c r="D22" i="3"/>
  <c r="D24" i="3"/>
  <c r="D25" i="3"/>
  <c r="D26" i="3"/>
  <c r="D27" i="3"/>
  <c r="D28" i="3"/>
  <c r="D29" i="3"/>
  <c r="D30" i="3"/>
  <c r="D31" i="3"/>
  <c r="D21" i="3"/>
  <c r="E36" i="2"/>
  <c r="C84" i="3"/>
  <c r="D47" i="3"/>
  <c r="D46" i="3"/>
  <c r="D45" i="3"/>
  <c r="D44" i="3"/>
  <c r="D43" i="3"/>
  <c r="C65" i="19"/>
  <c r="D65" i="19"/>
  <c r="B38" i="19"/>
  <c r="B5" i="54"/>
  <c r="B38" i="54"/>
  <c r="C32" i="54"/>
  <c r="C33" i="54" s="1"/>
  <c r="D32" i="54"/>
  <c r="C65" i="54"/>
  <c r="D65" i="54"/>
  <c r="C32" i="55"/>
  <c r="C33" i="55" s="1"/>
  <c r="D32" i="55"/>
  <c r="C65" i="55"/>
  <c r="B5" i="55"/>
  <c r="D39" i="34"/>
  <c r="D79" i="34"/>
  <c r="E79" i="34" s="1"/>
  <c r="D73" i="34"/>
  <c r="D17" i="21" s="1"/>
  <c r="C73" i="34"/>
  <c r="B17" i="21" s="1"/>
  <c r="C60" i="34"/>
  <c r="C35" i="34"/>
  <c r="D35" i="34"/>
  <c r="D39" i="11"/>
  <c r="D79" i="13"/>
  <c r="D39" i="13"/>
  <c r="D39" i="12"/>
  <c r="D79" i="12"/>
  <c r="D79" i="11"/>
  <c r="D79" i="10"/>
  <c r="E79" i="10" s="1"/>
  <c r="D39" i="10"/>
  <c r="D39" i="8"/>
  <c r="D79" i="8"/>
  <c r="D117" i="7"/>
  <c r="E117" i="7" s="1"/>
  <c r="C113" i="7"/>
  <c r="D113" i="7"/>
  <c r="C65" i="3"/>
  <c r="D42" i="43"/>
  <c r="D102" i="2"/>
  <c r="D65" i="55"/>
  <c r="E63" i="55"/>
  <c r="D63" i="55"/>
  <c r="D43" i="21" s="1"/>
  <c r="C63" i="55"/>
  <c r="B43" i="21" s="1"/>
  <c r="E49" i="55"/>
  <c r="E48" i="55" s="1"/>
  <c r="D49" i="55"/>
  <c r="D48" i="55" s="1"/>
  <c r="C49" i="55"/>
  <c r="C50" i="55" s="1"/>
  <c r="C64" i="55" s="1"/>
  <c r="B38" i="55"/>
  <c r="E30" i="55"/>
  <c r="E29" i="55" s="1"/>
  <c r="E46" i="3"/>
  <c r="D30" i="55"/>
  <c r="C30" i="55"/>
  <c r="B42" i="21"/>
  <c r="E16" i="55"/>
  <c r="E15" i="55" s="1"/>
  <c r="D16" i="55"/>
  <c r="D15" i="55" s="1"/>
  <c r="C16" i="55"/>
  <c r="C17" i="55" s="1"/>
  <c r="E1" i="55"/>
  <c r="E5" i="55" s="1"/>
  <c r="E38" i="55" s="1"/>
  <c r="B1" i="55"/>
  <c r="E63" i="54"/>
  <c r="D63" i="54"/>
  <c r="D41" i="21" s="1"/>
  <c r="C63" i="54"/>
  <c r="E49" i="54"/>
  <c r="E48" i="54" s="1"/>
  <c r="D49" i="54"/>
  <c r="C49" i="54"/>
  <c r="C50" i="54"/>
  <c r="C64" i="54" s="1"/>
  <c r="D48" i="54"/>
  <c r="E30" i="54"/>
  <c r="E44" i="3" s="1"/>
  <c r="D30" i="54"/>
  <c r="D40" i="21"/>
  <c r="C30" i="54"/>
  <c r="E16" i="54"/>
  <c r="E15" i="54"/>
  <c r="D16" i="54"/>
  <c r="D15" i="54" s="1"/>
  <c r="C16" i="54"/>
  <c r="C17" i="54"/>
  <c r="C31" i="54" s="1"/>
  <c r="E1" i="54"/>
  <c r="B1" i="54"/>
  <c r="A42" i="21"/>
  <c r="A41" i="21"/>
  <c r="A40" i="21"/>
  <c r="A39" i="21"/>
  <c r="B46" i="3"/>
  <c r="B45" i="3"/>
  <c r="B44" i="3"/>
  <c r="B43" i="3"/>
  <c r="A109" i="43"/>
  <c r="A108" i="43"/>
  <c r="A107" i="43"/>
  <c r="A106" i="43"/>
  <c r="A105" i="43"/>
  <c r="A34" i="48"/>
  <c r="A77" i="47"/>
  <c r="A74" i="47"/>
  <c r="A33" i="47"/>
  <c r="A28" i="47"/>
  <c r="A25" i="47"/>
  <c r="A16" i="47"/>
  <c r="A6" i="47"/>
  <c r="A33" i="48"/>
  <c r="A6" i="48"/>
  <c r="A38" i="49"/>
  <c r="A33" i="49"/>
  <c r="A19" i="49"/>
  <c r="A6" i="49"/>
  <c r="A46" i="53"/>
  <c r="A41" i="53"/>
  <c r="A6" i="53"/>
  <c r="A8" i="51"/>
  <c r="B83" i="7"/>
  <c r="B82" i="7"/>
  <c r="B81" i="7"/>
  <c r="B80" i="7"/>
  <c r="B79" i="7"/>
  <c r="B79" i="9"/>
  <c r="C79" i="9"/>
  <c r="D79" i="9"/>
  <c r="E76" i="7" s="1"/>
  <c r="B86" i="9"/>
  <c r="C86" i="9"/>
  <c r="D86" i="9"/>
  <c r="B93" i="9"/>
  <c r="C93" i="9"/>
  <c r="D93" i="9"/>
  <c r="B99" i="9"/>
  <c r="C79" i="7" s="1"/>
  <c r="C99" i="9"/>
  <c r="D79" i="7" s="1"/>
  <c r="D99" i="9"/>
  <c r="B106" i="9"/>
  <c r="C80" i="7" s="1"/>
  <c r="C106" i="9"/>
  <c r="D106" i="9"/>
  <c r="E80" i="7" s="1"/>
  <c r="B113" i="9"/>
  <c r="C81" i="7" s="1"/>
  <c r="C113" i="9"/>
  <c r="D81" i="7" s="1"/>
  <c r="D113" i="9"/>
  <c r="E81" i="7" s="1"/>
  <c r="B120" i="9"/>
  <c r="C82" i="7" s="1"/>
  <c r="C120" i="9"/>
  <c r="D82" i="7" s="1"/>
  <c r="D120" i="9"/>
  <c r="E82" i="7" s="1"/>
  <c r="B127" i="9"/>
  <c r="C83" i="7" s="1"/>
  <c r="C127" i="9"/>
  <c r="D83" i="7" s="1"/>
  <c r="D127" i="9"/>
  <c r="E83" i="7" s="1"/>
  <c r="C9" i="5"/>
  <c r="C8" i="5"/>
  <c r="J6" i="24"/>
  <c r="A105" i="2"/>
  <c r="A104" i="2"/>
  <c r="D87" i="2"/>
  <c r="D50" i="43"/>
  <c r="D57" i="21" s="1"/>
  <c r="E27" i="58" s="1"/>
  <c r="D14" i="9"/>
  <c r="E68" i="7" s="1"/>
  <c r="D21" i="9"/>
  <c r="E69" i="7" s="1"/>
  <c r="D28" i="9"/>
  <c r="E70" i="7" s="1"/>
  <c r="D34" i="9"/>
  <c r="D41" i="9"/>
  <c r="D48" i="9"/>
  <c r="E73" i="7" s="1"/>
  <c r="D55" i="9"/>
  <c r="E74" i="7" s="1"/>
  <c r="D62" i="9"/>
  <c r="E75" i="7" s="1"/>
  <c r="C14" i="9"/>
  <c r="C21" i="9"/>
  <c r="C28" i="9"/>
  <c r="C34" i="9"/>
  <c r="C41" i="9"/>
  <c r="C48" i="9"/>
  <c r="C55" i="9"/>
  <c r="C62" i="9"/>
  <c r="B14" i="9"/>
  <c r="B21" i="9"/>
  <c r="B28" i="9"/>
  <c r="B34" i="9"/>
  <c r="B41" i="9"/>
  <c r="B48" i="9"/>
  <c r="B55" i="9"/>
  <c r="B62" i="9"/>
  <c r="B20" i="3"/>
  <c r="C33" i="8"/>
  <c r="C20" i="8"/>
  <c r="D33" i="8"/>
  <c r="D18" i="21" s="1"/>
  <c r="D73" i="8"/>
  <c r="D19" i="21" s="1"/>
  <c r="C73" i="8"/>
  <c r="C60" i="8"/>
  <c r="C33" i="10"/>
  <c r="G38" i="10" s="1"/>
  <c r="C20" i="10"/>
  <c r="C21" i="10" s="1"/>
  <c r="D33" i="10"/>
  <c r="C60" i="10"/>
  <c r="C61" i="10" s="1"/>
  <c r="C74" i="10" s="1"/>
  <c r="D45" i="10" s="1"/>
  <c r="D61" i="10" s="1"/>
  <c r="D74" i="10" s="1"/>
  <c r="C73" i="10"/>
  <c r="D73" i="10"/>
  <c r="D21" i="21" s="1"/>
  <c r="C33" i="11"/>
  <c r="C20" i="11"/>
  <c r="C21" i="11" s="1"/>
  <c r="C34" i="11" s="1"/>
  <c r="D33" i="11"/>
  <c r="C60" i="11"/>
  <c r="C61" i="11" s="1"/>
  <c r="C73" i="11"/>
  <c r="C72" i="11" s="1"/>
  <c r="D73" i="11"/>
  <c r="D23" i="21" s="1"/>
  <c r="D33" i="12"/>
  <c r="C20" i="12"/>
  <c r="C21" i="12" s="1"/>
  <c r="C33" i="12"/>
  <c r="G38" i="12" s="1"/>
  <c r="C60" i="12"/>
  <c r="C61" i="12" s="1"/>
  <c r="C74" i="12" s="1"/>
  <c r="C73" i="12"/>
  <c r="D73" i="12"/>
  <c r="D25" i="21" s="1"/>
  <c r="C20" i="13"/>
  <c r="C21" i="13" s="1"/>
  <c r="C33" i="13"/>
  <c r="D33" i="13"/>
  <c r="D26" i="21" s="1"/>
  <c r="C60" i="13"/>
  <c r="C61" i="13" s="1"/>
  <c r="C73" i="13"/>
  <c r="D73" i="13"/>
  <c r="D92" i="13"/>
  <c r="E1" i="13"/>
  <c r="E1" i="12"/>
  <c r="H86" i="12" s="1"/>
  <c r="E1" i="11"/>
  <c r="H86" i="11" s="1"/>
  <c r="E5" i="11"/>
  <c r="E44" i="11" s="1"/>
  <c r="E1" i="10"/>
  <c r="E1" i="8"/>
  <c r="H86" i="8" s="1"/>
  <c r="B5" i="34"/>
  <c r="C20" i="34"/>
  <c r="C33" i="34"/>
  <c r="D33" i="34"/>
  <c r="E1" i="34"/>
  <c r="H85" i="34" s="1"/>
  <c r="C56" i="7"/>
  <c r="E1" i="7"/>
  <c r="E13" i="7"/>
  <c r="E14" i="7"/>
  <c r="E15" i="7"/>
  <c r="C47" i="38"/>
  <c r="C19" i="38"/>
  <c r="C20" i="38" s="1"/>
  <c r="C48" i="38" s="1"/>
  <c r="C51" i="38" s="1"/>
  <c r="D47" i="38"/>
  <c r="E47" i="38"/>
  <c r="E1" i="38"/>
  <c r="E5" i="38" s="1"/>
  <c r="C49" i="38"/>
  <c r="D49" i="38"/>
  <c r="D50" i="38" s="1"/>
  <c r="D49" i="37"/>
  <c r="D50" i="37" s="1"/>
  <c r="C47" i="37"/>
  <c r="B46" i="21" s="1"/>
  <c r="D47" i="37"/>
  <c r="E47" i="37"/>
  <c r="E50" i="3" s="1"/>
  <c r="E1" i="37"/>
  <c r="C49" i="37"/>
  <c r="C19" i="37"/>
  <c r="D19" i="37"/>
  <c r="D18" i="37" s="1"/>
  <c r="C47" i="36"/>
  <c r="C19" i="36"/>
  <c r="C20" i="36" s="1"/>
  <c r="D19" i="36"/>
  <c r="D47" i="36"/>
  <c r="D46" i="36" s="1"/>
  <c r="E47" i="36"/>
  <c r="F45" i="21" s="1"/>
  <c r="E1" i="36"/>
  <c r="E5" i="36" s="1"/>
  <c r="C49" i="36"/>
  <c r="D49" i="36"/>
  <c r="D50" i="36" s="1"/>
  <c r="C47" i="35"/>
  <c r="C46" i="35" s="1"/>
  <c r="C19" i="35"/>
  <c r="C20" i="35" s="1"/>
  <c r="D19" i="35"/>
  <c r="D18" i="35" s="1"/>
  <c r="D47" i="35"/>
  <c r="E19" i="35"/>
  <c r="E47" i="35"/>
  <c r="E1" i="35"/>
  <c r="C49" i="35"/>
  <c r="D49" i="35"/>
  <c r="C63" i="19"/>
  <c r="B39" i="21" s="1"/>
  <c r="D63" i="19"/>
  <c r="D62" i="19" s="1"/>
  <c r="E63" i="19"/>
  <c r="E43" i="3" s="1"/>
  <c r="E1" i="19"/>
  <c r="E5" i="19" s="1"/>
  <c r="E38" i="19" s="1"/>
  <c r="C30" i="19"/>
  <c r="C29" i="19" s="1"/>
  <c r="D30" i="19"/>
  <c r="E30" i="19"/>
  <c r="C32" i="19"/>
  <c r="D32" i="19"/>
  <c r="D33" i="19" s="1"/>
  <c r="C63" i="18"/>
  <c r="D63" i="18"/>
  <c r="E63" i="18"/>
  <c r="F37" i="21" s="1"/>
  <c r="E41" i="3"/>
  <c r="C65" i="18"/>
  <c r="C66" i="18" s="1"/>
  <c r="D65" i="18"/>
  <c r="C30" i="18"/>
  <c r="D30" i="18"/>
  <c r="E30" i="18"/>
  <c r="E1" i="18"/>
  <c r="D5" i="18" s="1"/>
  <c r="D38" i="18" s="1"/>
  <c r="C32" i="18"/>
  <c r="D32" i="18"/>
  <c r="C63" i="17"/>
  <c r="D63" i="17"/>
  <c r="D35" i="21" s="1"/>
  <c r="E63" i="17"/>
  <c r="E1" i="17"/>
  <c r="C65" i="17"/>
  <c r="D65" i="17"/>
  <c r="C30" i="17"/>
  <c r="D30" i="17"/>
  <c r="D29" i="17" s="1"/>
  <c r="E30" i="17"/>
  <c r="E29" i="17" s="1"/>
  <c r="C32" i="17"/>
  <c r="D32" i="17"/>
  <c r="C63" i="16"/>
  <c r="B33" i="21" s="1"/>
  <c r="D63" i="16"/>
  <c r="E63" i="16"/>
  <c r="E1" i="16"/>
  <c r="D5" i="16" s="1"/>
  <c r="D38" i="16" s="1"/>
  <c r="C65" i="16"/>
  <c r="D65" i="16"/>
  <c r="D66" i="16" s="1"/>
  <c r="C30" i="16"/>
  <c r="D30" i="16"/>
  <c r="E30" i="16"/>
  <c r="C32" i="16"/>
  <c r="D32" i="16"/>
  <c r="E1" i="15"/>
  <c r="E63" i="15"/>
  <c r="C63" i="15"/>
  <c r="B31" i="21" s="1"/>
  <c r="D63" i="15"/>
  <c r="E30" i="15"/>
  <c r="C30" i="15"/>
  <c r="D30" i="15"/>
  <c r="C32" i="15"/>
  <c r="D32" i="15"/>
  <c r="D33" i="15" s="1"/>
  <c r="C65" i="15"/>
  <c r="C66" i="15" s="1"/>
  <c r="D65" i="15"/>
  <c r="D65" i="14"/>
  <c r="D63" i="14"/>
  <c r="D29" i="21" s="1"/>
  <c r="C63" i="14"/>
  <c r="C62" i="14" s="1"/>
  <c r="E63" i="14"/>
  <c r="F29" i="21" s="1"/>
  <c r="C65" i="14"/>
  <c r="E30" i="14"/>
  <c r="C30" i="14"/>
  <c r="B28" i="21" s="1"/>
  <c r="D30" i="14"/>
  <c r="C32" i="14"/>
  <c r="D32" i="14"/>
  <c r="E1" i="14"/>
  <c r="A60" i="2"/>
  <c r="D20" i="2"/>
  <c r="E20" i="2"/>
  <c r="G21" i="2" s="1"/>
  <c r="F1" i="44"/>
  <c r="B3" i="44" s="1"/>
  <c r="C26" i="21"/>
  <c r="C25" i="21"/>
  <c r="C24" i="21"/>
  <c r="C23" i="21"/>
  <c r="C22" i="21"/>
  <c r="C21" i="21"/>
  <c r="C20" i="21"/>
  <c r="C19" i="21"/>
  <c r="C18" i="21"/>
  <c r="C17" i="21"/>
  <c r="J28" i="42"/>
  <c r="J17" i="42"/>
  <c r="J18" i="42" s="1"/>
  <c r="J29" i="42" s="1"/>
  <c r="J30" i="42" s="1"/>
  <c r="H28" i="42"/>
  <c r="H17" i="42"/>
  <c r="H18" i="42"/>
  <c r="H29" i="42" s="1"/>
  <c r="H30" i="42" s="1"/>
  <c r="F17" i="42"/>
  <c r="F18" i="42" s="1"/>
  <c r="F28" i="42"/>
  <c r="D17" i="42"/>
  <c r="D18" i="42" s="1"/>
  <c r="D28" i="42"/>
  <c r="B17" i="42"/>
  <c r="B18" i="42" s="1"/>
  <c r="B29" i="42" s="1"/>
  <c r="B30" i="42" s="1"/>
  <c r="B28" i="42"/>
  <c r="J28" i="41"/>
  <c r="J17" i="41"/>
  <c r="J18" i="41" s="1"/>
  <c r="H17" i="41"/>
  <c r="H18" i="41" s="1"/>
  <c r="H28" i="41"/>
  <c r="F17" i="41"/>
  <c r="F18" i="41" s="1"/>
  <c r="F28" i="41"/>
  <c r="D17" i="41"/>
  <c r="D18" i="41" s="1"/>
  <c r="D28" i="41"/>
  <c r="B17" i="41"/>
  <c r="B18" i="41" s="1"/>
  <c r="B28" i="41"/>
  <c r="K28" i="41" s="1"/>
  <c r="B50" i="21" s="1"/>
  <c r="J28" i="40"/>
  <c r="J17" i="40"/>
  <c r="J18" i="40"/>
  <c r="H17" i="40"/>
  <c r="H18" i="40" s="1"/>
  <c r="H29" i="40" s="1"/>
  <c r="H30" i="40" s="1"/>
  <c r="H28" i="40"/>
  <c r="F17" i="40"/>
  <c r="F18" i="40" s="1"/>
  <c r="F28" i="40"/>
  <c r="D17" i="40"/>
  <c r="D18" i="40" s="1"/>
  <c r="D29" i="40" s="1"/>
  <c r="D30" i="40" s="1"/>
  <c r="D28" i="40"/>
  <c r="B17" i="40"/>
  <c r="B18" i="40" s="1"/>
  <c r="B28" i="40"/>
  <c r="J17" i="39"/>
  <c r="J18" i="39" s="1"/>
  <c r="J28" i="39"/>
  <c r="H17" i="39"/>
  <c r="H18" i="39" s="1"/>
  <c r="H28" i="39"/>
  <c r="F17" i="39"/>
  <c r="F18" i="39" s="1"/>
  <c r="F28" i="39"/>
  <c r="D17" i="39"/>
  <c r="D18" i="39" s="1"/>
  <c r="D28" i="39"/>
  <c r="B28" i="39"/>
  <c r="B17" i="39"/>
  <c r="B18" i="39" s="1"/>
  <c r="I5" i="42"/>
  <c r="G5" i="42"/>
  <c r="E5" i="42"/>
  <c r="C5" i="42"/>
  <c r="A5" i="42"/>
  <c r="K1" i="42"/>
  <c r="F2" i="42" s="1"/>
  <c r="K1" i="41"/>
  <c r="F2" i="41" s="1"/>
  <c r="K1" i="40"/>
  <c r="F2" i="40" s="1"/>
  <c r="K1" i="39"/>
  <c r="F2" i="39" s="1"/>
  <c r="H2" i="21"/>
  <c r="E1" i="43"/>
  <c r="C7" i="43" s="1"/>
  <c r="D59" i="3"/>
  <c r="J1" i="24"/>
  <c r="A42" i="24" s="1"/>
  <c r="D9" i="14"/>
  <c r="E9" i="14"/>
  <c r="C59" i="43"/>
  <c r="D23" i="5" s="1"/>
  <c r="D59" i="43"/>
  <c r="E25" i="5" s="1"/>
  <c r="E59" i="43"/>
  <c r="F27" i="5" s="1"/>
  <c r="A4" i="33"/>
  <c r="A7" i="33"/>
  <c r="A13" i="33"/>
  <c r="A15" i="33"/>
  <c r="A21" i="33"/>
  <c r="A27" i="33"/>
  <c r="A1" i="44"/>
  <c r="B6" i="44"/>
  <c r="B7" i="44"/>
  <c r="B14" i="43"/>
  <c r="E28" i="24" s="1"/>
  <c r="D6" i="44"/>
  <c r="D26" i="44"/>
  <c r="D28" i="44" s="1"/>
  <c r="A4" i="21"/>
  <c r="A15" i="21"/>
  <c r="C15" i="21"/>
  <c r="E15" i="21"/>
  <c r="G121" i="7" s="1"/>
  <c r="A16" i="21"/>
  <c r="C16" i="21"/>
  <c r="D16" i="21"/>
  <c r="E16" i="21"/>
  <c r="G44" i="34" s="1"/>
  <c r="E17" i="21"/>
  <c r="E29" i="58" s="1"/>
  <c r="E18" i="21"/>
  <c r="G44" i="8" s="1"/>
  <c r="E19" i="21"/>
  <c r="G84" i="8" s="1"/>
  <c r="E20" i="21"/>
  <c r="G44" i="10" s="1"/>
  <c r="E21" i="21"/>
  <c r="G84" i="10" s="1"/>
  <c r="E22" i="21"/>
  <c r="G44" i="11" s="1"/>
  <c r="E23" i="21"/>
  <c r="G84" i="11" s="1"/>
  <c r="E24" i="21"/>
  <c r="G44" i="12" s="1"/>
  <c r="E25" i="21"/>
  <c r="G84" i="12" s="1"/>
  <c r="E26" i="21"/>
  <c r="G44" i="13" s="1"/>
  <c r="A28" i="21"/>
  <c r="A29" i="21"/>
  <c r="B29" i="21"/>
  <c r="A30" i="21"/>
  <c r="A31" i="21"/>
  <c r="D31" i="21"/>
  <c r="A32" i="21"/>
  <c r="B32" i="21"/>
  <c r="D32" i="21"/>
  <c r="A33" i="21"/>
  <c r="F33" i="21"/>
  <c r="A34" i="21"/>
  <c r="D34" i="21"/>
  <c r="F34" i="21"/>
  <c r="A35" i="21"/>
  <c r="B35" i="21"/>
  <c r="F35" i="21"/>
  <c r="A36" i="21"/>
  <c r="F36" i="21"/>
  <c r="A37" i="21"/>
  <c r="B37" i="21"/>
  <c r="A38" i="21"/>
  <c r="D38" i="21"/>
  <c r="A43" i="21"/>
  <c r="A44" i="21"/>
  <c r="B44" i="21"/>
  <c r="F44" i="21"/>
  <c r="A45" i="21"/>
  <c r="D45" i="21"/>
  <c r="A46" i="21"/>
  <c r="D46" i="21"/>
  <c r="A47" i="21"/>
  <c r="A48" i="21"/>
  <c r="A49" i="21"/>
  <c r="A50" i="21"/>
  <c r="A51" i="21"/>
  <c r="C26" i="32"/>
  <c r="C28" i="32" s="1"/>
  <c r="B53" i="21" s="1"/>
  <c r="D26" i="32"/>
  <c r="D28" i="32" s="1"/>
  <c r="D53" i="21" s="1"/>
  <c r="E26" i="32"/>
  <c r="E28" i="32" s="1"/>
  <c r="F53" i="21" s="1"/>
  <c r="G20" i="22"/>
  <c r="F60" i="21" s="1"/>
  <c r="G32" i="22"/>
  <c r="G42" i="22"/>
  <c r="F62" i="21" s="1"/>
  <c r="G28" i="23"/>
  <c r="F63" i="21" s="1"/>
  <c r="A1" i="42"/>
  <c r="K7" i="42"/>
  <c r="A1" i="41"/>
  <c r="A5" i="41"/>
  <c r="C5" i="41"/>
  <c r="E5" i="41"/>
  <c r="G5" i="41"/>
  <c r="I5" i="41"/>
  <c r="K7" i="41"/>
  <c r="A1" i="40"/>
  <c r="A5" i="40"/>
  <c r="C5" i="40"/>
  <c r="E5" i="40"/>
  <c r="G5" i="40"/>
  <c r="I5" i="40"/>
  <c r="K7" i="40"/>
  <c r="A1" i="39"/>
  <c r="A5" i="39"/>
  <c r="C5" i="39"/>
  <c r="E5" i="39"/>
  <c r="G5" i="39"/>
  <c r="I5" i="39"/>
  <c r="K7" i="39"/>
  <c r="B1" i="38"/>
  <c r="B5" i="38"/>
  <c r="D19" i="38"/>
  <c r="D18" i="38" s="1"/>
  <c r="C18" i="38"/>
  <c r="E19" i="38"/>
  <c r="E18" i="38"/>
  <c r="B1" i="37"/>
  <c r="B5" i="37"/>
  <c r="E19" i="37"/>
  <c r="E18" i="37" s="1"/>
  <c r="C46" i="37"/>
  <c r="D46" i="37"/>
  <c r="B1" i="36"/>
  <c r="B5" i="36"/>
  <c r="D18" i="36"/>
  <c r="E19" i="36"/>
  <c r="E18" i="36" s="1"/>
  <c r="E46" i="36"/>
  <c r="B1" i="35"/>
  <c r="B5" i="35"/>
  <c r="C18" i="35"/>
  <c r="E18" i="35"/>
  <c r="E46" i="35"/>
  <c r="B1" i="19"/>
  <c r="B5" i="19"/>
  <c r="C16" i="19"/>
  <c r="C17" i="19" s="1"/>
  <c r="D16" i="19"/>
  <c r="D15" i="19"/>
  <c r="E16" i="19"/>
  <c r="E15" i="19" s="1"/>
  <c r="D29" i="19"/>
  <c r="C49" i="19"/>
  <c r="C50" i="19" s="1"/>
  <c r="C64" i="19" s="1"/>
  <c r="D49" i="19"/>
  <c r="D48" i="19" s="1"/>
  <c r="E49" i="19"/>
  <c r="E48" i="19" s="1"/>
  <c r="C62" i="19"/>
  <c r="E62" i="19"/>
  <c r="B1" i="18"/>
  <c r="B5" i="18"/>
  <c r="C16" i="18"/>
  <c r="C17" i="18" s="1"/>
  <c r="C31" i="18"/>
  <c r="D6" i="18" s="1"/>
  <c r="D16" i="18"/>
  <c r="D15" i="18" s="1"/>
  <c r="E16" i="18"/>
  <c r="E15" i="18"/>
  <c r="C29" i="18"/>
  <c r="E29" i="18"/>
  <c r="B38" i="18"/>
  <c r="C49" i="18"/>
  <c r="C50" i="18" s="1"/>
  <c r="C64" i="18" s="1"/>
  <c r="D39" i="18" s="1"/>
  <c r="D50" i="18" s="1"/>
  <c r="D64" i="18" s="1"/>
  <c r="D49" i="18"/>
  <c r="D48" i="18" s="1"/>
  <c r="C48" i="18"/>
  <c r="E49" i="18"/>
  <c r="E48" i="18" s="1"/>
  <c r="C62" i="18"/>
  <c r="D62" i="18"/>
  <c r="E62" i="18"/>
  <c r="B65" i="18"/>
  <c r="B1" i="17"/>
  <c r="B5" i="17"/>
  <c r="C16" i="17"/>
  <c r="C17" i="17" s="1"/>
  <c r="C31" i="17" s="1"/>
  <c r="D16" i="17"/>
  <c r="D15" i="17" s="1"/>
  <c r="E16" i="17"/>
  <c r="E15" i="17" s="1"/>
  <c r="B38" i="17"/>
  <c r="C49" i="17"/>
  <c r="C50" i="17" s="1"/>
  <c r="C64" i="17" s="1"/>
  <c r="D49" i="17"/>
  <c r="D48" i="17" s="1"/>
  <c r="E49" i="17"/>
  <c r="E48" i="17" s="1"/>
  <c r="C62" i="17"/>
  <c r="D62" i="17"/>
  <c r="B1" i="16"/>
  <c r="B5" i="16"/>
  <c r="C16" i="16"/>
  <c r="C17" i="16" s="1"/>
  <c r="C31" i="16" s="1"/>
  <c r="D16" i="16"/>
  <c r="D15" i="16" s="1"/>
  <c r="E16" i="16"/>
  <c r="E15" i="16" s="1"/>
  <c r="C29" i="16"/>
  <c r="B38" i="16"/>
  <c r="C49" i="16"/>
  <c r="D49" i="16"/>
  <c r="D48" i="16" s="1"/>
  <c r="E49" i="16"/>
  <c r="E48" i="16" s="1"/>
  <c r="C62" i="16"/>
  <c r="E62" i="16"/>
  <c r="B1" i="15"/>
  <c r="B5" i="15"/>
  <c r="C16" i="15"/>
  <c r="C17" i="15" s="1"/>
  <c r="C31" i="15" s="1"/>
  <c r="D16" i="15"/>
  <c r="D15" i="15" s="1"/>
  <c r="E16" i="15"/>
  <c r="E15" i="15" s="1"/>
  <c r="E29" i="15"/>
  <c r="B38" i="15"/>
  <c r="C49" i="15"/>
  <c r="D49" i="15"/>
  <c r="D48" i="15" s="1"/>
  <c r="E49" i="15"/>
  <c r="E48" i="15" s="1"/>
  <c r="C62" i="15"/>
  <c r="D62" i="15"/>
  <c r="B1" i="14"/>
  <c r="B5" i="14"/>
  <c r="C17" i="14"/>
  <c r="C18" i="14" s="1"/>
  <c r="D8" i="14"/>
  <c r="E8" i="14"/>
  <c r="E17" i="14" s="1"/>
  <c r="E16" i="14" s="1"/>
  <c r="B38" i="14"/>
  <c r="C50" i="14"/>
  <c r="C51" i="14" s="1"/>
  <c r="D50" i="14"/>
  <c r="D49" i="14" s="1"/>
  <c r="E50" i="14"/>
  <c r="E49" i="14" s="1"/>
  <c r="D62" i="14"/>
  <c r="E62" i="14"/>
  <c r="B1" i="13"/>
  <c r="D32" i="13"/>
  <c r="C59" i="13"/>
  <c r="D72" i="13"/>
  <c r="B1" i="12"/>
  <c r="C19" i="12"/>
  <c r="C59" i="12"/>
  <c r="D72" i="12"/>
  <c r="B1" i="11"/>
  <c r="D32" i="11"/>
  <c r="C59" i="11"/>
  <c r="B1" i="10"/>
  <c r="C19" i="10"/>
  <c r="C32" i="10"/>
  <c r="D72" i="10"/>
  <c r="B1" i="8"/>
  <c r="D32" i="8"/>
  <c r="D72" i="8"/>
  <c r="B1" i="34"/>
  <c r="D32" i="34"/>
  <c r="A1" i="9"/>
  <c r="A68" i="9" s="1"/>
  <c r="D1" i="9"/>
  <c r="B1" i="7"/>
  <c r="B5" i="7"/>
  <c r="B61" i="7"/>
  <c r="B65" i="7"/>
  <c r="B1" i="23"/>
  <c r="I1" i="23"/>
  <c r="G9" i="23" s="1"/>
  <c r="H28" i="23"/>
  <c r="I28" i="23"/>
  <c r="B1" i="22"/>
  <c r="M1" i="22"/>
  <c r="J6" i="22" s="1"/>
  <c r="J20" i="22"/>
  <c r="K20" i="22"/>
  <c r="L20" i="22"/>
  <c r="M20" i="22"/>
  <c r="J32" i="22"/>
  <c r="K32" i="22"/>
  <c r="L32" i="22"/>
  <c r="M32" i="22"/>
  <c r="J42" i="22"/>
  <c r="K42" i="22"/>
  <c r="L42" i="22"/>
  <c r="M42" i="22"/>
  <c r="M43" i="22" s="1"/>
  <c r="A1" i="32"/>
  <c r="F1" i="32"/>
  <c r="B1" i="5"/>
  <c r="G1" i="5"/>
  <c r="C7" i="5" s="1"/>
  <c r="B8" i="5"/>
  <c r="B9" i="5"/>
  <c r="C1" i="24"/>
  <c r="C14" i="43"/>
  <c r="G11" i="24" s="1"/>
  <c r="D14" i="43"/>
  <c r="E14" i="24" s="1"/>
  <c r="C15" i="24"/>
  <c r="F14" i="43"/>
  <c r="E15" i="24" s="1"/>
  <c r="E14" i="43"/>
  <c r="G24" i="24" s="1"/>
  <c r="I1" i="3"/>
  <c r="B2" i="3"/>
  <c r="B4" i="3"/>
  <c r="C19" i="3"/>
  <c r="C20" i="3"/>
  <c r="D20" i="3"/>
  <c r="B32" i="3"/>
  <c r="D32" i="3"/>
  <c r="E32" i="3"/>
  <c r="B33" i="3"/>
  <c r="D33" i="3"/>
  <c r="E33" i="3"/>
  <c r="B34" i="3"/>
  <c r="D34" i="3"/>
  <c r="B35" i="3"/>
  <c r="D35" i="3"/>
  <c r="B36" i="3"/>
  <c r="D36" i="3"/>
  <c r="B37" i="3"/>
  <c r="D37" i="3"/>
  <c r="E37" i="3"/>
  <c r="B38" i="3"/>
  <c r="D38" i="3"/>
  <c r="E38" i="3"/>
  <c r="B39" i="3"/>
  <c r="D39" i="3"/>
  <c r="B40" i="3"/>
  <c r="D40" i="3"/>
  <c r="E40" i="3"/>
  <c r="B41" i="3"/>
  <c r="D41" i="3"/>
  <c r="B42" i="3"/>
  <c r="D42" i="3"/>
  <c r="E42" i="3"/>
  <c r="B47" i="3"/>
  <c r="B48" i="3"/>
  <c r="D48" i="3"/>
  <c r="E48" i="3"/>
  <c r="B49" i="3"/>
  <c r="D49" i="3"/>
  <c r="B50" i="3"/>
  <c r="D50" i="3"/>
  <c r="B51" i="3"/>
  <c r="D51" i="3"/>
  <c r="B52" i="3"/>
  <c r="D52" i="3"/>
  <c r="B53" i="3"/>
  <c r="D53" i="3"/>
  <c r="B54" i="3"/>
  <c r="D54" i="3"/>
  <c r="B55" i="3"/>
  <c r="D55" i="3"/>
  <c r="D58" i="3"/>
  <c r="B61" i="3"/>
  <c r="B62" i="3"/>
  <c r="B63" i="3"/>
  <c r="B64" i="3"/>
  <c r="A1" i="43"/>
  <c r="A10" i="43"/>
  <c r="A11" i="43"/>
  <c r="A12" i="43"/>
  <c r="A13" i="43"/>
  <c r="A16" i="43"/>
  <c r="A18" i="43"/>
  <c r="A19" i="43"/>
  <c r="A20" i="43"/>
  <c r="A21" i="43"/>
  <c r="B22" i="43"/>
  <c r="E19" i="24" s="1"/>
  <c r="C22" i="43"/>
  <c r="E20" i="24"/>
  <c r="D22" i="43"/>
  <c r="E21" i="24" s="1"/>
  <c r="A44" i="43"/>
  <c r="A46" i="43"/>
  <c r="A47" i="43"/>
  <c r="A48" i="43"/>
  <c r="A49" i="43"/>
  <c r="A55" i="43"/>
  <c r="A56" i="43"/>
  <c r="A57" i="43"/>
  <c r="A58" i="43"/>
  <c r="A70" i="43"/>
  <c r="B78" i="43"/>
  <c r="A81" i="43"/>
  <c r="A82" i="43"/>
  <c r="A94" i="43"/>
  <c r="A95" i="43"/>
  <c r="A96" i="43"/>
  <c r="A97" i="43"/>
  <c r="A98" i="43"/>
  <c r="A99" i="43"/>
  <c r="A100" i="43"/>
  <c r="A101" i="43"/>
  <c r="A102" i="43"/>
  <c r="A103" i="43"/>
  <c r="A104" i="43"/>
  <c r="A110" i="43"/>
  <c r="A111" i="43"/>
  <c r="A112" i="43"/>
  <c r="A113" i="43"/>
  <c r="A18" i="2"/>
  <c r="A36" i="2"/>
  <c r="A88" i="2"/>
  <c r="D88" i="2"/>
  <c r="B89" i="2"/>
  <c r="B90" i="2"/>
  <c r="A107" i="2"/>
  <c r="D108" i="2"/>
  <c r="E108" i="2"/>
  <c r="L6" i="22"/>
  <c r="B49" i="36"/>
  <c r="B49" i="38"/>
  <c r="B75" i="11"/>
  <c r="C40" i="11"/>
  <c r="G7" i="22"/>
  <c r="C16" i="14"/>
  <c r="C15" i="16"/>
  <c r="C48" i="17"/>
  <c r="C15" i="18"/>
  <c r="C48" i="19"/>
  <c r="B75" i="12"/>
  <c r="B35" i="12"/>
  <c r="B75" i="8"/>
  <c r="B35" i="8"/>
  <c r="D6" i="5"/>
  <c r="C40" i="13"/>
  <c r="B32" i="19"/>
  <c r="B7" i="5"/>
  <c r="C33" i="16"/>
  <c r="C33" i="17"/>
  <c r="C50" i="35"/>
  <c r="C50" i="37"/>
  <c r="C15" i="55"/>
  <c r="C15" i="54"/>
  <c r="C48" i="54"/>
  <c r="D7" i="43"/>
  <c r="A77" i="43"/>
  <c r="A71" i="43"/>
  <c r="A24" i="43"/>
  <c r="A6" i="43"/>
  <c r="C40" i="8"/>
  <c r="B35" i="11"/>
  <c r="C40" i="12"/>
  <c r="B35" i="34"/>
  <c r="J125" i="7"/>
  <c r="C29" i="54"/>
  <c r="C62" i="55"/>
  <c r="C18" i="36"/>
  <c r="C66" i="55"/>
  <c r="E62" i="55"/>
  <c r="C29" i="55"/>
  <c r="F42" i="21"/>
  <c r="E29" i="54"/>
  <c r="F40" i="21"/>
  <c r="F39" i="21"/>
  <c r="D92" i="10"/>
  <c r="C72" i="34"/>
  <c r="D72" i="34"/>
  <c r="D93" i="34"/>
  <c r="D91" i="34"/>
  <c r="E6" i="44"/>
  <c r="E108" i="7" s="1"/>
  <c r="D16" i="44"/>
  <c r="E16" i="44"/>
  <c r="E70" i="12" s="1"/>
  <c r="E73" i="12" s="1"/>
  <c r="D17" i="44"/>
  <c r="E17" i="44"/>
  <c r="E30" i="13" s="1"/>
  <c r="E33" i="13" s="1"/>
  <c r="D15" i="44"/>
  <c r="E15" i="44"/>
  <c r="E30" i="12" s="1"/>
  <c r="E33" i="12" s="1"/>
  <c r="D14" i="44"/>
  <c r="E14" i="44"/>
  <c r="D13" i="44"/>
  <c r="E13" i="44"/>
  <c r="E30" i="11" s="1"/>
  <c r="E33" i="11" s="1"/>
  <c r="D12" i="44"/>
  <c r="E12" i="44"/>
  <c r="E70" i="10" s="1"/>
  <c r="E73" i="10" s="1"/>
  <c r="D11" i="44"/>
  <c r="E11" i="44"/>
  <c r="E30" i="10" s="1"/>
  <c r="E33" i="10" s="1"/>
  <c r="D10" i="44"/>
  <c r="E10" i="44"/>
  <c r="E70" i="8" s="1"/>
  <c r="E73" i="8" s="1"/>
  <c r="D9" i="44"/>
  <c r="E9" i="44"/>
  <c r="E30" i="8" s="1"/>
  <c r="E33" i="8" s="1"/>
  <c r="D8" i="44"/>
  <c r="E8" i="44"/>
  <c r="E70" i="34" s="1"/>
  <c r="E73" i="34" s="1"/>
  <c r="D7" i="44"/>
  <c r="E7" i="44"/>
  <c r="E33" i="34" s="1"/>
  <c r="D18" i="44"/>
  <c r="E18" i="44"/>
  <c r="E70" i="13" s="1"/>
  <c r="E73" i="13" s="1"/>
  <c r="C40" i="34"/>
  <c r="C80" i="34"/>
  <c r="J52" i="21"/>
  <c r="K28" i="40"/>
  <c r="B12" i="3"/>
  <c r="F57" i="21"/>
  <c r="G27" i="58" s="1"/>
  <c r="D27" i="21"/>
  <c r="E70" i="11"/>
  <c r="E73" i="11" s="1"/>
  <c r="F76" i="11" s="1"/>
  <c r="G29" i="3"/>
  <c r="G27" i="3"/>
  <c r="G24" i="3"/>
  <c r="G22" i="3"/>
  <c r="G19" i="3"/>
  <c r="D22" i="44"/>
  <c r="D24" i="44" s="1"/>
  <c r="D4" i="9"/>
  <c r="D71" i="9" s="1"/>
  <c r="D68" i="9"/>
  <c r="J103" i="56"/>
  <c r="G21" i="52"/>
  <c r="G19" i="52" s="1"/>
  <c r="G23" i="52"/>
  <c r="D120" i="7"/>
  <c r="B133" i="9"/>
  <c r="B65" i="19"/>
  <c r="C5" i="35"/>
  <c r="E5" i="35"/>
  <c r="D5" i="36"/>
  <c r="D5" i="38"/>
  <c r="C80" i="11"/>
  <c r="C5" i="36"/>
  <c r="C5" i="38"/>
  <c r="B65" i="55"/>
  <c r="B65" i="54"/>
  <c r="D5" i="19"/>
  <c r="D38" i="19" s="1"/>
  <c r="C5" i="19"/>
  <c r="C38" i="19" s="1"/>
  <c r="C5" i="18"/>
  <c r="C38" i="18" s="1"/>
  <c r="E5" i="18"/>
  <c r="E38" i="18" s="1"/>
  <c r="B32" i="18"/>
  <c r="B65" i="16"/>
  <c r="D5" i="15"/>
  <c r="D38" i="15" s="1"/>
  <c r="D5" i="13"/>
  <c r="D44" i="13" s="1"/>
  <c r="C5" i="13"/>
  <c r="C44" i="13" s="1"/>
  <c r="C80" i="12"/>
  <c r="C5" i="12"/>
  <c r="C44" i="12" s="1"/>
  <c r="E5" i="12"/>
  <c r="E44" i="12" s="1"/>
  <c r="D5" i="11"/>
  <c r="D44" i="11" s="1"/>
  <c r="C5" i="11"/>
  <c r="C44" i="11" s="1"/>
  <c r="C5" i="10"/>
  <c r="C44" i="10" s="1"/>
  <c r="E5" i="10"/>
  <c r="E44" i="10" s="1"/>
  <c r="D5" i="8"/>
  <c r="D44" i="8" s="1"/>
  <c r="C80" i="8"/>
  <c r="C5" i="8"/>
  <c r="C44" i="8" s="1"/>
  <c r="B75" i="34"/>
  <c r="D5" i="34"/>
  <c r="D44" i="34" s="1"/>
  <c r="C5" i="34"/>
  <c r="C44" i="34" s="1"/>
  <c r="C5" i="7"/>
  <c r="C65" i="7" s="1"/>
  <c r="E5" i="7"/>
  <c r="E65" i="7" s="1"/>
  <c r="E20" i="5"/>
  <c r="E50" i="13" s="1"/>
  <c r="E19" i="5"/>
  <c r="E11" i="13" s="1"/>
  <c r="E18" i="5"/>
  <c r="E50" i="12" s="1"/>
  <c r="E17" i="5"/>
  <c r="E11" i="12" s="1"/>
  <c r="E16" i="5"/>
  <c r="E50" i="11" s="1"/>
  <c r="E15" i="5"/>
  <c r="E11" i="11" s="1"/>
  <c r="E14" i="5"/>
  <c r="E50" i="10" s="1"/>
  <c r="E13" i="5"/>
  <c r="E11" i="10" s="1"/>
  <c r="D19" i="5"/>
  <c r="E10" i="13" s="1"/>
  <c r="D20" i="5"/>
  <c r="E49" i="13" s="1"/>
  <c r="F17" i="5"/>
  <c r="E12" i="12" s="1"/>
  <c r="F18" i="5"/>
  <c r="E51" i="12" s="1"/>
  <c r="D17" i="5"/>
  <c r="E10" i="12" s="1"/>
  <c r="D18" i="5"/>
  <c r="E49" i="12" s="1"/>
  <c r="D15" i="5"/>
  <c r="E10" i="11" s="1"/>
  <c r="D16" i="5"/>
  <c r="E49" i="11" s="1"/>
  <c r="D13" i="5"/>
  <c r="E10" i="10" s="1"/>
  <c r="D14" i="5"/>
  <c r="E49" i="10" s="1"/>
  <c r="F13" i="5"/>
  <c r="E12" i="10" s="1"/>
  <c r="F14" i="5"/>
  <c r="E51" i="10" s="1"/>
  <c r="H121" i="7"/>
  <c r="G28" i="34"/>
  <c r="H33" i="34"/>
  <c r="H35" i="34"/>
  <c r="H38" i="34"/>
  <c r="H43" i="34"/>
  <c r="H45" i="34"/>
  <c r="G24" i="8"/>
  <c r="G31" i="8"/>
  <c r="H34" i="8"/>
  <c r="H36" i="8"/>
  <c r="H39" i="8"/>
  <c r="H44" i="8"/>
  <c r="H46" i="8"/>
  <c r="H35" i="10"/>
  <c r="H38" i="10"/>
  <c r="G24" i="11"/>
  <c r="G31" i="11"/>
  <c r="H34" i="11"/>
  <c r="H36" i="11"/>
  <c r="H39" i="11"/>
  <c r="H44" i="11"/>
  <c r="H46" i="11"/>
  <c r="H33" i="13"/>
  <c r="H35" i="13"/>
  <c r="H45" i="13"/>
  <c r="G64" i="34"/>
  <c r="G71" i="34"/>
  <c r="H74" i="34"/>
  <c r="H76" i="34"/>
  <c r="H79" i="34"/>
  <c r="H84" i="34"/>
  <c r="H86" i="34"/>
  <c r="G68" i="8"/>
  <c r="H73" i="8"/>
  <c r="H75" i="8"/>
  <c r="H78" i="8"/>
  <c r="H83" i="8"/>
  <c r="H85" i="8"/>
  <c r="H74" i="10"/>
  <c r="H76" i="10"/>
  <c r="H86" i="10"/>
  <c r="G68" i="11"/>
  <c r="H73" i="11"/>
  <c r="H75" i="11"/>
  <c r="H78" i="11"/>
  <c r="H83" i="11"/>
  <c r="H85" i="11"/>
  <c r="H73" i="13"/>
  <c r="H75" i="13"/>
  <c r="H85" i="13"/>
  <c r="H115" i="7"/>
  <c r="G24" i="34"/>
  <c r="G31" i="34"/>
  <c r="H34" i="34"/>
  <c r="H36" i="34"/>
  <c r="H39" i="34"/>
  <c r="H44" i="34"/>
  <c r="H46" i="34"/>
  <c r="G28" i="8"/>
  <c r="H33" i="8"/>
  <c r="H35" i="8"/>
  <c r="H38" i="8"/>
  <c r="H43" i="8"/>
  <c r="H45" i="8"/>
  <c r="H34" i="10"/>
  <c r="H36" i="10"/>
  <c r="H46" i="10"/>
  <c r="G28" i="11"/>
  <c r="H33" i="11"/>
  <c r="H35" i="11"/>
  <c r="H38" i="11"/>
  <c r="H43" i="11"/>
  <c r="H45" i="11"/>
  <c r="G31" i="13"/>
  <c r="H34" i="13"/>
  <c r="H44" i="13"/>
  <c r="H46" i="13"/>
  <c r="G68" i="34"/>
  <c r="H73" i="34"/>
  <c r="H75" i="34"/>
  <c r="H78" i="34"/>
  <c r="H83" i="34"/>
  <c r="G64" i="8"/>
  <c r="G71" i="8"/>
  <c r="H74" i="8"/>
  <c r="H76" i="8"/>
  <c r="H79" i="8"/>
  <c r="H84" i="8"/>
  <c r="G68" i="10"/>
  <c r="H78" i="10"/>
  <c r="H83" i="10"/>
  <c r="G64" i="11"/>
  <c r="G71" i="11"/>
  <c r="H74" i="11"/>
  <c r="H76" i="11"/>
  <c r="H79" i="11"/>
  <c r="H84" i="11"/>
  <c r="G64" i="13"/>
  <c r="G71" i="13"/>
  <c r="H74" i="13"/>
  <c r="H79" i="13"/>
  <c r="H84" i="13"/>
  <c r="G64" i="12"/>
  <c r="D33" i="14"/>
  <c r="D66" i="17"/>
  <c r="F19" i="5"/>
  <c r="E12" i="13" s="1"/>
  <c r="B66" i="9"/>
  <c r="E15" i="58"/>
  <c r="E22" i="58" s="1"/>
  <c r="D60" i="34"/>
  <c r="D59" i="34" s="1"/>
  <c r="G84" i="34"/>
  <c r="F16" i="5"/>
  <c r="E51" i="11" s="1"/>
  <c r="F15" i="5"/>
  <c r="F20" i="5"/>
  <c r="E51" i="13" s="1"/>
  <c r="C66" i="14"/>
  <c r="C66" i="17"/>
  <c r="C50" i="38"/>
  <c r="D92" i="12"/>
  <c r="C15" i="19"/>
  <c r="D29" i="41"/>
  <c r="D30" i="41" s="1"/>
  <c r="F29" i="42"/>
  <c r="F30" i="42" s="1"/>
  <c r="E27" i="3"/>
  <c r="C34" i="18"/>
  <c r="D29" i="42"/>
  <c r="D30" i="42" s="1"/>
  <c r="B49" i="21"/>
  <c r="J29" i="39"/>
  <c r="J30" i="39" s="1"/>
  <c r="C31" i="55"/>
  <c r="C34" i="55" s="1"/>
  <c r="D6" i="55"/>
  <c r="D17" i="55" s="1"/>
  <c r="D31" i="55" s="1"/>
  <c r="C67" i="54"/>
  <c r="D39" i="54"/>
  <c r="D50" i="54" s="1"/>
  <c r="D64" i="54" s="1"/>
  <c r="D62" i="54"/>
  <c r="D29" i="54"/>
  <c r="B40" i="21"/>
  <c r="C67" i="18"/>
  <c r="B19" i="21"/>
  <c r="C93" i="34"/>
  <c r="B77" i="34" s="1"/>
  <c r="G78" i="34"/>
  <c r="C91" i="34"/>
  <c r="B37" i="34" s="1"/>
  <c r="B21" i="21"/>
  <c r="C34" i="10"/>
  <c r="C91" i="10" s="1"/>
  <c r="B20" i="21"/>
  <c r="G38" i="11"/>
  <c r="C74" i="11"/>
  <c r="C93" i="11"/>
  <c r="B23" i="21"/>
  <c r="C90" i="12"/>
  <c r="C32" i="12"/>
  <c r="C52" i="21"/>
  <c r="D5" i="12"/>
  <c r="D44" i="12" s="1"/>
  <c r="G28" i="12"/>
  <c r="H33" i="12"/>
  <c r="H34" i="12"/>
  <c r="H36" i="12"/>
  <c r="H39" i="12"/>
  <c r="H44" i="12"/>
  <c r="H46" i="12"/>
  <c r="G68" i="12"/>
  <c r="H73" i="12"/>
  <c r="H75" i="12"/>
  <c r="H76" i="12"/>
  <c r="H79" i="12"/>
  <c r="H84" i="12"/>
  <c r="E52" i="21"/>
  <c r="G86" i="13" s="1"/>
  <c r="G24" i="12"/>
  <c r="G31" i="12"/>
  <c r="H35" i="12"/>
  <c r="H38" i="12"/>
  <c r="H43" i="12"/>
  <c r="H45" i="12"/>
  <c r="G71" i="12"/>
  <c r="H74" i="12"/>
  <c r="H78" i="12"/>
  <c r="H83" i="12"/>
  <c r="H85" i="12"/>
  <c r="B25" i="21"/>
  <c r="B24" i="21"/>
  <c r="C34" i="12"/>
  <c r="D6" i="12" s="1"/>
  <c r="B27" i="21"/>
  <c r="E12" i="11"/>
  <c r="E79" i="13"/>
  <c r="E79" i="8"/>
  <c r="J68" i="8"/>
  <c r="J69" i="8"/>
  <c r="J68" i="10"/>
  <c r="J69" i="10"/>
  <c r="E39" i="10"/>
  <c r="E39" i="11"/>
  <c r="D45" i="11"/>
  <c r="D61" i="11" s="1"/>
  <c r="D74" i="11" s="1"/>
  <c r="G73" i="11" s="1"/>
  <c r="G86" i="11"/>
  <c r="G86" i="10"/>
  <c r="G46" i="11"/>
  <c r="G46" i="13"/>
  <c r="G86" i="12"/>
  <c r="G46" i="10"/>
  <c r="G46" i="12"/>
  <c r="M45" i="21"/>
  <c r="M53" i="21" s="1"/>
  <c r="E39" i="12"/>
  <c r="E39" i="13"/>
  <c r="E39" i="34"/>
  <c r="J68" i="13"/>
  <c r="J69" i="13"/>
  <c r="J67" i="8"/>
  <c r="J27" i="34"/>
  <c r="E39" i="8"/>
  <c r="J67" i="10"/>
  <c r="E79" i="11"/>
  <c r="J67" i="13"/>
  <c r="J68" i="34"/>
  <c r="J69" i="34"/>
  <c r="J67" i="34"/>
  <c r="E79" i="12"/>
  <c r="J27" i="11"/>
  <c r="J27" i="10"/>
  <c r="J27" i="13"/>
  <c r="J105" i="7"/>
  <c r="J106" i="7"/>
  <c r="J27" i="8"/>
  <c r="J68" i="11"/>
  <c r="J69" i="11"/>
  <c r="J67" i="11"/>
  <c r="J68" i="12"/>
  <c r="J69" i="12"/>
  <c r="J67" i="12"/>
  <c r="J104" i="7"/>
  <c r="D19" i="11"/>
  <c r="G18" i="52"/>
  <c r="H29" i="41" l="1"/>
  <c r="H30" i="41" s="1"/>
  <c r="K18" i="41"/>
  <c r="D6" i="54"/>
  <c r="D17" i="54" s="1"/>
  <c r="D31" i="54" s="1"/>
  <c r="C34" i="54"/>
  <c r="E5" i="14"/>
  <c r="E38" i="14" s="1"/>
  <c r="D5" i="14"/>
  <c r="D38" i="14" s="1"/>
  <c r="C5" i="14"/>
  <c r="C38" i="14" s="1"/>
  <c r="B30" i="21"/>
  <c r="C29" i="15"/>
  <c r="C33" i="15"/>
  <c r="F31" i="21"/>
  <c r="E35" i="3"/>
  <c r="E62" i="15"/>
  <c r="F32" i="21"/>
  <c r="E29" i="16"/>
  <c r="E5" i="17"/>
  <c r="E38" i="17" s="1"/>
  <c r="B32" i="17"/>
  <c r="B65" i="17"/>
  <c r="C5" i="17"/>
  <c r="C38" i="17" s="1"/>
  <c r="D29" i="18"/>
  <c r="D33" i="18"/>
  <c r="D36" i="21"/>
  <c r="G78" i="13"/>
  <c r="C92" i="13"/>
  <c r="G38" i="13"/>
  <c r="C32" i="13"/>
  <c r="B26" i="21"/>
  <c r="C61" i="8"/>
  <c r="C59" i="8"/>
  <c r="C21" i="8"/>
  <c r="C34" i="8" s="1"/>
  <c r="D6" i="8" s="1"/>
  <c r="D21" i="8" s="1"/>
  <c r="D34" i="8" s="1"/>
  <c r="E6" i="8" s="1"/>
  <c r="C19" i="8"/>
  <c r="D42" i="21"/>
  <c r="D29" i="55"/>
  <c r="E72" i="11"/>
  <c r="K17" i="42"/>
  <c r="C33" i="14"/>
  <c r="B32" i="14"/>
  <c r="C72" i="13"/>
  <c r="E5" i="44"/>
  <c r="C7" i="32"/>
  <c r="D7" i="32"/>
  <c r="E7" i="32"/>
  <c r="C19" i="11"/>
  <c r="C29" i="14"/>
  <c r="D17" i="18"/>
  <c r="D31" i="18" s="1"/>
  <c r="B12" i="21"/>
  <c r="A9" i="21"/>
  <c r="J60" i="21"/>
  <c r="J45" i="21"/>
  <c r="J29" i="41"/>
  <c r="J30" i="41" s="1"/>
  <c r="F28" i="21"/>
  <c r="E29" i="14"/>
  <c r="F30" i="21"/>
  <c r="E34" i="3"/>
  <c r="E5" i="15"/>
  <c r="E38" i="15" s="1"/>
  <c r="C5" i="15"/>
  <c r="C38" i="15" s="1"/>
  <c r="D29" i="16"/>
  <c r="D33" i="16"/>
  <c r="D33" i="17"/>
  <c r="C29" i="17"/>
  <c r="B34" i="21"/>
  <c r="E39" i="3"/>
  <c r="E62" i="17"/>
  <c r="B36" i="21"/>
  <c r="C33" i="18"/>
  <c r="B47" i="21"/>
  <c r="C46" i="38"/>
  <c r="H122" i="7"/>
  <c r="G108" i="7"/>
  <c r="H113" i="7"/>
  <c r="H110" i="7"/>
  <c r="G38" i="34"/>
  <c r="B16" i="21"/>
  <c r="C32" i="34"/>
  <c r="H85" i="10"/>
  <c r="B75" i="10"/>
  <c r="G28" i="10"/>
  <c r="H43" i="10"/>
  <c r="G64" i="10"/>
  <c r="H79" i="10"/>
  <c r="D5" i="10"/>
  <c r="D44" i="10" s="1"/>
  <c r="G24" i="10"/>
  <c r="H39" i="10"/>
  <c r="H73" i="10"/>
  <c r="B35" i="10"/>
  <c r="C40" i="10"/>
  <c r="C80" i="10"/>
  <c r="H33" i="10"/>
  <c r="H45" i="10"/>
  <c r="G71" i="10"/>
  <c r="H84" i="10"/>
  <c r="G31" i="10"/>
  <c r="H44" i="10"/>
  <c r="H75" i="10"/>
  <c r="H86" i="13"/>
  <c r="B75" i="13"/>
  <c r="H38" i="13"/>
  <c r="H78" i="13"/>
  <c r="H36" i="13"/>
  <c r="C80" i="13"/>
  <c r="G28" i="13"/>
  <c r="H43" i="13"/>
  <c r="G68" i="13"/>
  <c r="H83" i="13"/>
  <c r="G24" i="13"/>
  <c r="H39" i="13"/>
  <c r="H76" i="13"/>
  <c r="C74" i="13"/>
  <c r="G78" i="8"/>
  <c r="C72" i="8"/>
  <c r="G38" i="8"/>
  <c r="B18" i="21"/>
  <c r="C91" i="8"/>
  <c r="B64" i="9"/>
  <c r="B130" i="9" s="1"/>
  <c r="G30" i="3"/>
  <c r="G23" i="3"/>
  <c r="G31" i="3"/>
  <c r="G28" i="3"/>
  <c r="G21" i="3"/>
  <c r="C61" i="34"/>
  <c r="C74" i="34" s="1"/>
  <c r="C94" i="34" s="1"/>
  <c r="C59" i="34"/>
  <c r="D66" i="19"/>
  <c r="B78" i="58"/>
  <c r="B91" i="58"/>
  <c r="C66" i="3"/>
  <c r="E8" i="3"/>
  <c r="C74" i="3"/>
  <c r="F9" i="3"/>
  <c r="B6" i="3"/>
  <c r="K29" i="42"/>
  <c r="B29" i="41"/>
  <c r="B30" i="41" s="1"/>
  <c r="D6" i="38"/>
  <c r="D20" i="38" s="1"/>
  <c r="D48" i="38" s="1"/>
  <c r="E6" i="38" s="1"/>
  <c r="E20" i="38" s="1"/>
  <c r="E48" i="38" s="1"/>
  <c r="E49" i="38" s="1"/>
  <c r="C34" i="13"/>
  <c r="D5" i="17"/>
  <c r="D38" i="17" s="1"/>
  <c r="B5" i="44"/>
  <c r="E36" i="3"/>
  <c r="C59" i="10"/>
  <c r="D72" i="11"/>
  <c r="K17" i="41"/>
  <c r="K30" i="41" s="1"/>
  <c r="F61" i="21"/>
  <c r="F64" i="21" s="1"/>
  <c r="G43" i="22"/>
  <c r="B38" i="21"/>
  <c r="B18" i="24"/>
  <c r="B13" i="24"/>
  <c r="B24" i="24"/>
  <c r="B5" i="24"/>
  <c r="B28" i="24"/>
  <c r="C46" i="36"/>
  <c r="C50" i="36"/>
  <c r="D5" i="37"/>
  <c r="C5" i="37"/>
  <c r="E5" i="37"/>
  <c r="C57" i="7"/>
  <c r="C66" i="7" s="1"/>
  <c r="C55" i="7"/>
  <c r="C21" i="34"/>
  <c r="C19" i="34"/>
  <c r="C66" i="54"/>
  <c r="C62" i="54"/>
  <c r="G46" i="34"/>
  <c r="G86" i="8"/>
  <c r="E19" i="44"/>
  <c r="C90" i="13"/>
  <c r="C66" i="16"/>
  <c r="A32" i="44"/>
  <c r="J61" i="21"/>
  <c r="D92" i="11"/>
  <c r="B41" i="21"/>
  <c r="D62" i="55"/>
  <c r="D66" i="55"/>
  <c r="B7" i="3"/>
  <c r="C48" i="55"/>
  <c r="C15" i="17"/>
  <c r="C15" i="15"/>
  <c r="B49" i="37"/>
  <c r="E49" i="3"/>
  <c r="B9" i="24"/>
  <c r="C32" i="8"/>
  <c r="C64" i="14"/>
  <c r="C67" i="14" s="1"/>
  <c r="B45" i="21"/>
  <c r="D39" i="21"/>
  <c r="D44" i="21"/>
  <c r="D46" i="35"/>
  <c r="D50" i="35"/>
  <c r="D47" i="21"/>
  <c r="D46" i="38"/>
  <c r="D5" i="54"/>
  <c r="D38" i="54" s="1"/>
  <c r="B32" i="54"/>
  <c r="C5" i="54"/>
  <c r="C38" i="54" s="1"/>
  <c r="E5" i="54"/>
  <c r="E38" i="54" s="1"/>
  <c r="C47" i="59"/>
  <c r="D17" i="14"/>
  <c r="D16" i="14" s="1"/>
  <c r="F29" i="41"/>
  <c r="F30" i="41" s="1"/>
  <c r="C31" i="14"/>
  <c r="C31" i="19"/>
  <c r="J29" i="40"/>
  <c r="J30" i="40" s="1"/>
  <c r="K28" i="42"/>
  <c r="B51" i="21" s="1"/>
  <c r="D64" i="9"/>
  <c r="D130" i="9" s="1"/>
  <c r="D47" i="59"/>
  <c r="B77" i="12"/>
  <c r="B47" i="59"/>
  <c r="B43" i="60"/>
  <c r="C43" i="60"/>
  <c r="C67" i="19"/>
  <c r="D39" i="19"/>
  <c r="D50" i="19" s="1"/>
  <c r="D64" i="19" s="1"/>
  <c r="D67" i="18"/>
  <c r="E39" i="18"/>
  <c r="E50" i="18" s="1"/>
  <c r="E64" i="18" s="1"/>
  <c r="E65" i="18" s="1"/>
  <c r="E6" i="55"/>
  <c r="E17" i="55" s="1"/>
  <c r="E31" i="55" s="1"/>
  <c r="E32" i="55" s="1"/>
  <c r="D34" i="55"/>
  <c r="E6" i="18"/>
  <c r="E17" i="18" s="1"/>
  <c r="E31" i="18" s="1"/>
  <c r="E32" i="18" s="1"/>
  <c r="D34" i="18"/>
  <c r="D51" i="38"/>
  <c r="E6" i="54"/>
  <c r="E17" i="54" s="1"/>
  <c r="E31" i="54" s="1"/>
  <c r="E32" i="54" s="1"/>
  <c r="D34" i="54"/>
  <c r="E39" i="54"/>
  <c r="E50" i="54" s="1"/>
  <c r="E64" i="54" s="1"/>
  <c r="E65" i="54" s="1"/>
  <c r="D67" i="54"/>
  <c r="D45" i="12"/>
  <c r="D61" i="12" s="1"/>
  <c r="D74" i="12" s="1"/>
  <c r="G73" i="12" s="1"/>
  <c r="C93" i="12"/>
  <c r="C91" i="11"/>
  <c r="D6" i="11"/>
  <c r="D21" i="11" s="1"/>
  <c r="D34" i="11" s="1"/>
  <c r="D91" i="11" s="1"/>
  <c r="B38" i="11" s="1"/>
  <c r="C67" i="55"/>
  <c r="D39" i="55"/>
  <c r="D50" i="55" s="1"/>
  <c r="D64" i="55" s="1"/>
  <c r="G123" i="7"/>
  <c r="G86" i="34"/>
  <c r="G46" i="8"/>
  <c r="D6" i="10"/>
  <c r="C93" i="10"/>
  <c r="E60" i="12"/>
  <c r="G74" i="12" s="1"/>
  <c r="C4" i="9"/>
  <c r="C71" i="9" s="1"/>
  <c r="B4" i="9"/>
  <c r="B71" i="9" s="1"/>
  <c r="C19" i="13"/>
  <c r="J46" i="21"/>
  <c r="G13" i="21"/>
  <c r="J39" i="21"/>
  <c r="J59" i="21"/>
  <c r="D59" i="21"/>
  <c r="F59" i="21"/>
  <c r="D28" i="21"/>
  <c r="D29" i="14"/>
  <c r="D30" i="21"/>
  <c r="D29" i="15"/>
  <c r="D33" i="21"/>
  <c r="D62" i="16"/>
  <c r="D66" i="18"/>
  <c r="D37" i="21"/>
  <c r="E29" i="19"/>
  <c r="F38" i="21"/>
  <c r="D5" i="35"/>
  <c r="B49" i="35"/>
  <c r="C20" i="37"/>
  <c r="C48" i="37" s="1"/>
  <c r="D6" i="37" s="1"/>
  <c r="D20" i="37" s="1"/>
  <c r="D48" i="37" s="1"/>
  <c r="C18" i="37"/>
  <c r="E79" i="7"/>
  <c r="E84" i="7" s="1"/>
  <c r="E111" i="7" s="1"/>
  <c r="D129" i="9"/>
  <c r="D131" i="9" s="1"/>
  <c r="C50" i="16"/>
  <c r="C64" i="16" s="1"/>
  <c r="D39" i="16" s="1"/>
  <c r="D50" i="16" s="1"/>
  <c r="D64" i="16" s="1"/>
  <c r="C48" i="16"/>
  <c r="K29" i="41"/>
  <c r="C91" i="12"/>
  <c r="K18" i="42"/>
  <c r="E20" i="12"/>
  <c r="G34" i="12" s="1"/>
  <c r="C50" i="15"/>
  <c r="C64" i="15" s="1"/>
  <c r="D39" i="15" s="1"/>
  <c r="D50" i="15" s="1"/>
  <c r="D64" i="15" s="1"/>
  <c r="C48" i="15"/>
  <c r="A22" i="44"/>
  <c r="C5" i="44"/>
  <c r="D5" i="44"/>
  <c r="G78" i="12"/>
  <c r="C72" i="12"/>
  <c r="D24" i="21"/>
  <c r="D32" i="12"/>
  <c r="D22" i="21"/>
  <c r="D90" i="11"/>
  <c r="B37" i="11" s="1"/>
  <c r="G78" i="10"/>
  <c r="C72" i="10"/>
  <c r="C92" i="10"/>
  <c r="B77" i="10" s="1"/>
  <c r="E45" i="3"/>
  <c r="E62" i="54"/>
  <c r="F41" i="21"/>
  <c r="E46" i="38"/>
  <c r="F47" i="21"/>
  <c r="E51" i="3"/>
  <c r="D80" i="7"/>
  <c r="D84" i="7" s="1"/>
  <c r="D111" i="7" s="1"/>
  <c r="D110" i="7" s="1"/>
  <c r="C129" i="9"/>
  <c r="B129" i="9"/>
  <c r="B131" i="9" s="1"/>
  <c r="F46" i="21"/>
  <c r="E46" i="37"/>
  <c r="G78" i="11"/>
  <c r="C92" i="11"/>
  <c r="B77" i="11" s="1"/>
  <c r="B22" i="21"/>
  <c r="C32" i="11"/>
  <c r="C90" i="11"/>
  <c r="D20" i="21"/>
  <c r="D32" i="10"/>
  <c r="D90" i="10"/>
  <c r="B37" i="10" s="1"/>
  <c r="E47" i="3"/>
  <c r="F43" i="21"/>
  <c r="G25" i="3"/>
  <c r="G26" i="3"/>
  <c r="G20" i="3"/>
  <c r="D55" i="21"/>
  <c r="J5" i="24"/>
  <c r="J7" i="24" s="1"/>
  <c r="D90" i="13"/>
  <c r="B37" i="13" s="1"/>
  <c r="K17" i="39"/>
  <c r="D29" i="39"/>
  <c r="D30" i="39" s="1"/>
  <c r="B35" i="13"/>
  <c r="C74" i="8"/>
  <c r="D45" i="8" s="1"/>
  <c r="D61" i="8" s="1"/>
  <c r="D74" i="8" s="1"/>
  <c r="D66" i="54"/>
  <c r="C66" i="19"/>
  <c r="D90" i="12"/>
  <c r="B37" i="12" s="1"/>
  <c r="B77" i="13"/>
  <c r="F29" i="39"/>
  <c r="F30" i="39" s="1"/>
  <c r="C33" i="19"/>
  <c r="D33" i="55"/>
  <c r="D33" i="54"/>
  <c r="L43" i="22"/>
  <c r="F29" i="40"/>
  <c r="F30" i="40" s="1"/>
  <c r="K17" i="40"/>
  <c r="K30" i="40" s="1"/>
  <c r="B29" i="40"/>
  <c r="K18" i="40"/>
  <c r="K28" i="39"/>
  <c r="B48" i="21" s="1"/>
  <c r="H29" i="39"/>
  <c r="H30" i="39" s="1"/>
  <c r="K30" i="39"/>
  <c r="K18" i="39"/>
  <c r="B29" i="39"/>
  <c r="C48" i="36"/>
  <c r="D6" i="36" s="1"/>
  <c r="D20" i="36" s="1"/>
  <c r="D48" i="36" s="1"/>
  <c r="C48" i="35"/>
  <c r="D6" i="35" s="1"/>
  <c r="D20" i="35" s="1"/>
  <c r="D48" i="35" s="1"/>
  <c r="C51" i="37"/>
  <c r="C67" i="17"/>
  <c r="D39" i="17"/>
  <c r="D50" i="17" s="1"/>
  <c r="D64" i="17" s="1"/>
  <c r="C34" i="17"/>
  <c r="D6" i="17"/>
  <c r="D17" i="17" s="1"/>
  <c r="D31" i="17" s="1"/>
  <c r="E6" i="17" s="1"/>
  <c r="E17" i="17" s="1"/>
  <c r="E31" i="17" s="1"/>
  <c r="E32" i="17" s="1"/>
  <c r="C67" i="16"/>
  <c r="D6" i="16"/>
  <c r="D17" i="16" s="1"/>
  <c r="D31" i="16" s="1"/>
  <c r="C34" i="16"/>
  <c r="D66" i="15"/>
  <c r="C67" i="15"/>
  <c r="D6" i="15"/>
  <c r="D17" i="15" s="1"/>
  <c r="D31" i="15" s="1"/>
  <c r="C34" i="15"/>
  <c r="D66" i="14"/>
  <c r="C49" i="14"/>
  <c r="D39" i="14"/>
  <c r="D51" i="14" s="1"/>
  <c r="D64" i="14" s="1"/>
  <c r="D6" i="14"/>
  <c r="D18" i="14" s="1"/>
  <c r="D31" i="14" s="1"/>
  <c r="C34" i="14"/>
  <c r="K43" i="22"/>
  <c r="J43" i="22"/>
  <c r="E28" i="58"/>
  <c r="G16" i="24"/>
  <c r="F76" i="34"/>
  <c r="F17" i="21"/>
  <c r="E77" i="34"/>
  <c r="E77" i="8"/>
  <c r="F76" i="8"/>
  <c r="F19" i="21"/>
  <c r="M41" i="21"/>
  <c r="C93" i="8"/>
  <c r="B77" i="8" s="1"/>
  <c r="C94" i="8"/>
  <c r="D91" i="8"/>
  <c r="B37" i="8" s="1"/>
  <c r="D45" i="34"/>
  <c r="D61" i="34" s="1"/>
  <c r="D74" i="34" s="1"/>
  <c r="C34" i="34"/>
  <c r="C92" i="34" s="1"/>
  <c r="C64" i="9"/>
  <c r="C130" i="9" s="1"/>
  <c r="C131" i="9" s="1"/>
  <c r="D7" i="52"/>
  <c r="E26" i="3"/>
  <c r="E37" i="11"/>
  <c r="D5" i="7"/>
  <c r="D65" i="7" s="1"/>
  <c r="E32" i="10"/>
  <c r="F20" i="21"/>
  <c r="D19" i="10"/>
  <c r="D21" i="10"/>
  <c r="D34" i="10" s="1"/>
  <c r="D91" i="10" s="1"/>
  <c r="B38" i="10" s="1"/>
  <c r="E77" i="13"/>
  <c r="F27" i="21"/>
  <c r="F36" i="13"/>
  <c r="E30" i="3"/>
  <c r="E32" i="13"/>
  <c r="M60" i="21"/>
  <c r="E5" i="34"/>
  <c r="E44" i="34" s="1"/>
  <c r="E5" i="8"/>
  <c r="E44" i="8" s="1"/>
  <c r="E5" i="13"/>
  <c r="E44" i="13" s="1"/>
  <c r="E20" i="11"/>
  <c r="G34" i="11" s="1"/>
  <c r="F16" i="21"/>
  <c r="E37" i="34"/>
  <c r="F76" i="10"/>
  <c r="E25" i="3"/>
  <c r="E77" i="10"/>
  <c r="E77" i="12"/>
  <c r="F76" i="12"/>
  <c r="F25" i="21"/>
  <c r="E20" i="10"/>
  <c r="G34" i="10" s="1"/>
  <c r="G33" i="10"/>
  <c r="G73" i="10"/>
  <c r="D93" i="10"/>
  <c r="B78" i="10" s="1"/>
  <c r="E45" i="10"/>
  <c r="E37" i="8"/>
  <c r="E32" i="8"/>
  <c r="E28" i="3"/>
  <c r="F24" i="21"/>
  <c r="D21" i="12"/>
  <c r="D34" i="12" s="1"/>
  <c r="D19" i="12"/>
  <c r="E60" i="10"/>
  <c r="G74" i="10" s="1"/>
  <c r="D19" i="44"/>
  <c r="E60" i="13"/>
  <c r="G74" i="13" s="1"/>
  <c r="C84" i="7"/>
  <c r="C111" i="7" s="1"/>
  <c r="G115" i="7" s="1"/>
  <c r="C21" i="5"/>
  <c r="E6" i="11"/>
  <c r="G33" i="11"/>
  <c r="D93" i="11"/>
  <c r="B78" i="11" s="1"/>
  <c r="E45" i="11"/>
  <c r="F23" i="21"/>
  <c r="E77" i="11"/>
  <c r="F76" i="13"/>
  <c r="E72" i="13"/>
  <c r="E31" i="3"/>
  <c r="E72" i="34"/>
  <c r="E21" i="3"/>
  <c r="F36" i="10"/>
  <c r="E37" i="10"/>
  <c r="E24" i="3"/>
  <c r="F36" i="11"/>
  <c r="E32" i="11"/>
  <c r="F22" i="21"/>
  <c r="E37" i="13"/>
  <c r="F26" i="21"/>
  <c r="D93" i="12"/>
  <c r="B78" i="12" s="1"/>
  <c r="E20" i="13"/>
  <c r="G22" i="24"/>
  <c r="D130" i="7"/>
  <c r="E72" i="8"/>
  <c r="E23" i="3"/>
  <c r="F36" i="34"/>
  <c r="E20" i="3"/>
  <c r="E32" i="34"/>
  <c r="F36" i="8"/>
  <c r="E22" i="3"/>
  <c r="F18" i="21"/>
  <c r="E72" i="10"/>
  <c r="F21" i="21"/>
  <c r="F36" i="12"/>
  <c r="E37" i="12"/>
  <c r="E32" i="12"/>
  <c r="E72" i="12"/>
  <c r="E29" i="3"/>
  <c r="E60" i="11"/>
  <c r="H120" i="7"/>
  <c r="H112" i="7"/>
  <c r="G105" i="7"/>
  <c r="H123" i="7"/>
  <c r="H116" i="7"/>
  <c r="H111" i="7"/>
  <c r="G101" i="7"/>
  <c r="B32" i="15"/>
  <c r="E5" i="16"/>
  <c r="E38" i="16" s="1"/>
  <c r="C5" i="16"/>
  <c r="C38" i="16" s="1"/>
  <c r="C5" i="55"/>
  <c r="C38" i="55" s="1"/>
  <c r="D5" i="55"/>
  <c r="D38" i="55" s="1"/>
  <c r="B46" i="58"/>
  <c r="B84" i="58"/>
  <c r="B59" i="21"/>
  <c r="F7" i="43"/>
  <c r="J53" i="21"/>
  <c r="J43" i="21"/>
  <c r="J58" i="21"/>
  <c r="J50" i="21"/>
  <c r="C118" i="7"/>
  <c r="E7" i="43"/>
  <c r="A52" i="43"/>
  <c r="A73" i="43"/>
  <c r="B7" i="43"/>
  <c r="C78" i="43"/>
  <c r="B32" i="55"/>
  <c r="H9" i="23"/>
  <c r="I9" i="23"/>
  <c r="B65" i="15"/>
  <c r="D12" i="21"/>
  <c r="F12" i="21"/>
  <c r="B113" i="7"/>
  <c r="B32" i="16"/>
  <c r="A72" i="43"/>
  <c r="A54" i="43"/>
  <c r="A27" i="43"/>
  <c r="B38" i="24"/>
  <c r="C14" i="24"/>
  <c r="B11" i="24"/>
  <c r="B6" i="24"/>
  <c r="A3" i="24"/>
  <c r="B65" i="14"/>
  <c r="D94" i="8" l="1"/>
  <c r="G73" i="8"/>
  <c r="E45" i="8"/>
  <c r="C93" i="13"/>
  <c r="D45" i="13"/>
  <c r="D61" i="13" s="1"/>
  <c r="D74" i="13" s="1"/>
  <c r="K30" i="42"/>
  <c r="E6" i="10"/>
  <c r="E21" i="10" s="1"/>
  <c r="E38" i="10" s="1"/>
  <c r="E40" i="10" s="1"/>
  <c r="D6" i="19"/>
  <c r="D17" i="19" s="1"/>
  <c r="D31" i="19" s="1"/>
  <c r="C34" i="19"/>
  <c r="D15" i="21"/>
  <c r="D6" i="13"/>
  <c r="D21" i="13" s="1"/>
  <c r="D34" i="13" s="1"/>
  <c r="C91" i="13"/>
  <c r="B31" i="32"/>
  <c r="G56" i="3"/>
  <c r="E19" i="3"/>
  <c r="E56" i="3" s="1"/>
  <c r="F15" i="21"/>
  <c r="F52" i="21" s="1"/>
  <c r="F54" i="21" s="1"/>
  <c r="F114" i="7"/>
  <c r="E115" i="7"/>
  <c r="E110" i="7"/>
  <c r="D52" i="21"/>
  <c r="D54" i="21" s="1"/>
  <c r="G26" i="24"/>
  <c r="G30" i="24" s="1"/>
  <c r="G32" i="24" s="1"/>
  <c r="J34" i="24" s="1"/>
  <c r="J36" i="24" s="1"/>
  <c r="E21" i="11"/>
  <c r="E38" i="11" s="1"/>
  <c r="E40" i="11" s="1"/>
  <c r="E45" i="12"/>
  <c r="E61" i="12" s="1"/>
  <c r="E78" i="12" s="1"/>
  <c r="E80" i="12" s="1"/>
  <c r="D67" i="55"/>
  <c r="E39" i="55"/>
  <c r="E50" i="55" s="1"/>
  <c r="E64" i="55" s="1"/>
  <c r="E65" i="55" s="1"/>
  <c r="E39" i="19"/>
  <c r="E50" i="19" s="1"/>
  <c r="E64" i="19" s="1"/>
  <c r="E65" i="19" s="1"/>
  <c r="D67" i="19"/>
  <c r="B30" i="40"/>
  <c r="K29" i="40"/>
  <c r="B30" i="39"/>
  <c r="K29" i="39"/>
  <c r="D34" i="17"/>
  <c r="C51" i="36"/>
  <c r="D51" i="36"/>
  <c r="E6" i="36"/>
  <c r="E20" i="36" s="1"/>
  <c r="E48" i="36" s="1"/>
  <c r="E49" i="36" s="1"/>
  <c r="C51" i="35"/>
  <c r="E6" i="35"/>
  <c r="E20" i="35" s="1"/>
  <c r="E48" i="35" s="1"/>
  <c r="E49" i="35" s="1"/>
  <c r="D51" i="35"/>
  <c r="E6" i="37"/>
  <c r="E20" i="37" s="1"/>
  <c r="E48" i="37" s="1"/>
  <c r="E49" i="37" s="1"/>
  <c r="D51" i="37"/>
  <c r="E39" i="17"/>
  <c r="E50" i="17" s="1"/>
  <c r="E64" i="17" s="1"/>
  <c r="E65" i="17" s="1"/>
  <c r="D67" i="17"/>
  <c r="E39" i="16"/>
  <c r="E50" i="16" s="1"/>
  <c r="E64" i="16" s="1"/>
  <c r="E65" i="16" s="1"/>
  <c r="D67" i="16"/>
  <c r="D34" i="16"/>
  <c r="E6" i="16"/>
  <c r="E17" i="16" s="1"/>
  <c r="E31" i="16" s="1"/>
  <c r="E32" i="16" s="1"/>
  <c r="D67" i="15"/>
  <c r="E39" i="15"/>
  <c r="E50" i="15" s="1"/>
  <c r="E64" i="15" s="1"/>
  <c r="E65" i="15" s="1"/>
  <c r="D34" i="15"/>
  <c r="E6" i="15"/>
  <c r="E17" i="15" s="1"/>
  <c r="E31" i="15" s="1"/>
  <c r="E32" i="15" s="1"/>
  <c r="D67" i="14"/>
  <c r="E39" i="14"/>
  <c r="E51" i="14" s="1"/>
  <c r="E64" i="14" s="1"/>
  <c r="E65" i="14" s="1"/>
  <c r="D34" i="14"/>
  <c r="E6" i="14"/>
  <c r="E18" i="14" s="1"/>
  <c r="E31" i="14" s="1"/>
  <c r="E32" i="14" s="1"/>
  <c r="B78" i="8"/>
  <c r="C92" i="8"/>
  <c r="G33" i="8"/>
  <c r="D92" i="8"/>
  <c r="G73" i="34"/>
  <c r="D94" i="34"/>
  <c r="B78" i="34" s="1"/>
  <c r="E45" i="34"/>
  <c r="D6" i="34"/>
  <c r="D21" i="34" s="1"/>
  <c r="D34" i="34" s="1"/>
  <c r="D92" i="34" s="1"/>
  <c r="B38" i="34" s="1"/>
  <c r="C130" i="7"/>
  <c r="B115" i="7" s="1"/>
  <c r="D30" i="5"/>
  <c r="E31" i="5"/>
  <c r="F32" i="5"/>
  <c r="D91" i="12"/>
  <c r="B38" i="12" s="1"/>
  <c r="E6" i="12"/>
  <c r="E21" i="12" s="1"/>
  <c r="G33" i="12"/>
  <c r="E38" i="12"/>
  <c r="E40" i="12" s="1"/>
  <c r="H24" i="21" s="1"/>
  <c r="G43" i="12" s="1"/>
  <c r="C110" i="7"/>
  <c r="B15" i="21"/>
  <c r="B52" i="21" s="1"/>
  <c r="B54" i="21" s="1"/>
  <c r="C112" i="7"/>
  <c r="E61" i="10"/>
  <c r="E78" i="10" s="1"/>
  <c r="E80" i="10" s="1"/>
  <c r="G74" i="11"/>
  <c r="G35" i="12"/>
  <c r="G34" i="13"/>
  <c r="E19" i="11"/>
  <c r="G22" i="21"/>
  <c r="H22" i="21"/>
  <c r="G43" i="11" s="1"/>
  <c r="F26" i="3"/>
  <c r="G35" i="11"/>
  <c r="K35" i="11" s="1"/>
  <c r="E61" i="11"/>
  <c r="E78" i="11" s="1"/>
  <c r="E80" i="11" s="1"/>
  <c r="D91" i="13" l="1"/>
  <c r="B38" i="13" s="1"/>
  <c r="E6" i="13"/>
  <c r="E21" i="13" s="1"/>
  <c r="E38" i="13" s="1"/>
  <c r="E40" i="13" s="1"/>
  <c r="G26" i="21" s="1"/>
  <c r="G33" i="13"/>
  <c r="F28" i="3"/>
  <c r="E6" i="19"/>
  <c r="E17" i="19" s="1"/>
  <c r="E31" i="19" s="1"/>
  <c r="E32" i="19" s="1"/>
  <c r="D34" i="19"/>
  <c r="G73" i="13"/>
  <c r="D93" i="13"/>
  <c r="B78" i="13" s="1"/>
  <c r="E45" i="13"/>
  <c r="E61" i="13" s="1"/>
  <c r="E78" i="13" s="1"/>
  <c r="E80" i="13" s="1"/>
  <c r="G33" i="34"/>
  <c r="E19" i="12"/>
  <c r="B38" i="8"/>
  <c r="E6" i="34"/>
  <c r="E11" i="5"/>
  <c r="E11" i="8" s="1"/>
  <c r="E12" i="5"/>
  <c r="E50" i="8" s="1"/>
  <c r="F11" i="5"/>
  <c r="E12" i="8" s="1"/>
  <c r="F12" i="5"/>
  <c r="E51" i="8" s="1"/>
  <c r="D11" i="5"/>
  <c r="E10" i="8" s="1"/>
  <c r="D12" i="5"/>
  <c r="E49" i="8" s="1"/>
  <c r="E60" i="8" s="1"/>
  <c r="E20" i="8"/>
  <c r="F9" i="5"/>
  <c r="F10" i="5"/>
  <c r="E51" i="34" s="1"/>
  <c r="G18" i="58" s="1"/>
  <c r="D9" i="5"/>
  <c r="E10" i="34" s="1"/>
  <c r="D10" i="5"/>
  <c r="E49" i="34" s="1"/>
  <c r="E9" i="5"/>
  <c r="E10" i="5"/>
  <c r="E50" i="34" s="1"/>
  <c r="G17" i="58" s="1"/>
  <c r="E12" i="34"/>
  <c r="E11" i="34"/>
  <c r="G20" i="21"/>
  <c r="G35" i="10"/>
  <c r="K35" i="10" s="1"/>
  <c r="H20" i="21"/>
  <c r="G43" i="10" s="1"/>
  <c r="F24" i="3"/>
  <c r="E19" i="10"/>
  <c r="F30" i="3"/>
  <c r="G75" i="10"/>
  <c r="F25" i="3"/>
  <c r="E59" i="10"/>
  <c r="H21" i="21"/>
  <c r="G83" i="10" s="1"/>
  <c r="G21" i="21"/>
  <c r="G25" i="21"/>
  <c r="G75" i="12"/>
  <c r="F29" i="3"/>
  <c r="E59" i="12"/>
  <c r="H25" i="21"/>
  <c r="G83" i="12" s="1"/>
  <c r="D6" i="7"/>
  <c r="D57" i="7" s="1"/>
  <c r="C131" i="7"/>
  <c r="G24" i="21"/>
  <c r="F27" i="3"/>
  <c r="G75" i="11"/>
  <c r="K75" i="11" s="1"/>
  <c r="G23" i="21"/>
  <c r="H23" i="21"/>
  <c r="G83" i="11" s="1"/>
  <c r="E59" i="11"/>
  <c r="K35" i="12"/>
  <c r="G36" i="12"/>
  <c r="G39" i="12" s="1"/>
  <c r="G36" i="11"/>
  <c r="G39" i="11" s="1"/>
  <c r="G35" i="13" l="1"/>
  <c r="E19" i="13"/>
  <c r="D8" i="5"/>
  <c r="E10" i="7" s="1"/>
  <c r="H26" i="21"/>
  <c r="G43" i="13" s="1"/>
  <c r="F31" i="3"/>
  <c r="H27" i="21"/>
  <c r="G83" i="13" s="1"/>
  <c r="E59" i="13"/>
  <c r="G27" i="21"/>
  <c r="G75" i="13"/>
  <c r="K75" i="13" s="1"/>
  <c r="G76" i="11"/>
  <c r="G79" i="11" s="1"/>
  <c r="E8" i="5"/>
  <c r="E11" i="7" s="1"/>
  <c r="F8" i="5"/>
  <c r="E12" i="7" s="1"/>
  <c r="G36" i="10"/>
  <c r="G39" i="10" s="1"/>
  <c r="G74" i="8"/>
  <c r="E61" i="8"/>
  <c r="E78" i="8" s="1"/>
  <c r="E80" i="8" s="1"/>
  <c r="E59" i="8" s="1"/>
  <c r="G34" i="8"/>
  <c r="E21" i="8"/>
  <c r="E38" i="8" s="1"/>
  <c r="E40" i="8" s="1"/>
  <c r="E19" i="8" s="1"/>
  <c r="G16" i="58"/>
  <c r="E60" i="34"/>
  <c r="E20" i="34"/>
  <c r="D21" i="5"/>
  <c r="F21" i="5"/>
  <c r="D66" i="7"/>
  <c r="D112" i="7"/>
  <c r="K75" i="12"/>
  <c r="G76" i="12"/>
  <c r="G79" i="12" s="1"/>
  <c r="K75" i="10"/>
  <c r="G76" i="10"/>
  <c r="G79" i="10" s="1"/>
  <c r="E21" i="5" l="1"/>
  <c r="K35" i="13"/>
  <c r="G36" i="13"/>
  <c r="G39" i="13" s="1"/>
  <c r="G76" i="13"/>
  <c r="G79" i="13" s="1"/>
  <c r="G75" i="8"/>
  <c r="K75" i="8" s="1"/>
  <c r="G19" i="21"/>
  <c r="H19" i="21" s="1"/>
  <c r="G83" i="8" s="1"/>
  <c r="F23" i="3"/>
  <c r="G35" i="8"/>
  <c r="K35" i="8" s="1"/>
  <c r="G18" i="21"/>
  <c r="H18" i="21" s="1"/>
  <c r="G43" i="8" s="1"/>
  <c r="F22" i="3"/>
  <c r="G74" i="34"/>
  <c r="E61" i="34"/>
  <c r="E78" i="34" s="1"/>
  <c r="E80" i="34" s="1"/>
  <c r="E59" i="34" s="1"/>
  <c r="G34" i="34"/>
  <c r="E21" i="34"/>
  <c r="E38" i="34" s="1"/>
  <c r="E40" i="34" s="1"/>
  <c r="E56" i="7"/>
  <c r="G111" i="7" s="1"/>
  <c r="G110" i="7"/>
  <c r="E6" i="7"/>
  <c r="D131" i="7"/>
  <c r="B116" i="7" s="1"/>
  <c r="G76" i="8" l="1"/>
  <c r="G79" i="8" s="1"/>
  <c r="G36" i="8"/>
  <c r="G39" i="8" s="1"/>
  <c r="E57" i="7"/>
  <c r="E116" i="7" s="1"/>
  <c r="E118" i="7" s="1"/>
  <c r="F21" i="3"/>
  <c r="G17" i="21"/>
  <c r="H17" i="21" s="1"/>
  <c r="G15" i="58"/>
  <c r="G22" i="58" s="1"/>
  <c r="G75" i="34"/>
  <c r="K75" i="34" s="1"/>
  <c r="E19" i="34"/>
  <c r="J38" i="24"/>
  <c r="J40" i="24" s="1"/>
  <c r="F20" i="3"/>
  <c r="G16" i="21"/>
  <c r="H16" i="21" s="1"/>
  <c r="G43" i="34" s="1"/>
  <c r="G35" i="34"/>
  <c r="K35" i="34" s="1"/>
  <c r="E66" i="7" l="1"/>
  <c r="D24" i="58"/>
  <c r="E23" i="58"/>
  <c r="G83" i="34"/>
  <c r="G29" i="58"/>
  <c r="E30" i="58" s="1"/>
  <c r="D31" i="58" s="1"/>
  <c r="G76" i="34"/>
  <c r="G79" i="34" s="1"/>
  <c r="G36" i="34"/>
  <c r="G39" i="34" s="1"/>
  <c r="F19" i="3"/>
  <c r="F56" i="3" s="1"/>
  <c r="F57" i="3" s="1"/>
  <c r="G15" i="21"/>
  <c r="G52" i="21" s="1"/>
  <c r="G112" i="7"/>
  <c r="E55" i="7"/>
  <c r="H15" i="21" l="1"/>
  <c r="H52" i="21" s="1"/>
  <c r="F33" i="58"/>
  <c r="F80" i="34" s="1"/>
  <c r="K112" i="7"/>
  <c r="G113" i="7"/>
  <c r="G116" i="7" s="1"/>
  <c r="M61" i="21"/>
  <c r="M52" i="21"/>
  <c r="M54" i="21" s="1"/>
  <c r="G120" i="7" l="1"/>
  <c r="G45" i="8"/>
  <c r="M58" i="21"/>
  <c r="G85" i="10"/>
  <c r="G45" i="34"/>
  <c r="G85" i="8"/>
  <c r="G45" i="12"/>
  <c r="G45" i="10"/>
  <c r="G45" i="13"/>
  <c r="G85" i="12"/>
  <c r="G122" i="7"/>
  <c r="G85" i="11"/>
  <c r="G45" i="11"/>
  <c r="G85" i="13"/>
  <c r="G85" i="34"/>
  <c r="M48" i="21"/>
  <c r="J48" i="21" s="1"/>
  <c r="M47" i="21"/>
  <c r="J47" i="21" s="1"/>
</calcChain>
</file>

<file path=xl/sharedStrings.xml><?xml version="1.0" encoding="utf-8"?>
<sst xmlns="http://schemas.openxmlformats.org/spreadsheetml/2006/main" count="2570" uniqueCount="1185">
  <si>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</si>
  <si>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</si>
  <si>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</si>
  <si>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</si>
  <si>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</si>
  <si>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</si>
  <si>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</si>
  <si>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</si>
  <si>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</si>
  <si>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</si>
  <si>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</si>
  <si>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</si>
  <si>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</si>
  <si>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</si>
  <si>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</si>
  <si>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</si>
  <si>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</si>
  <si>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</si>
  <si>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</si>
  <si>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</si>
  <si>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</si>
  <si>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</si>
  <si>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</si>
  <si>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</si>
  <si>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</si>
  <si>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</si>
  <si>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</si>
  <si>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</si>
  <si>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</si>
  <si>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</si>
  <si>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</si>
  <si>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</si>
  <si>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</si>
  <si>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</si>
  <si>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</si>
  <si>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</si>
  <si>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</si>
  <si>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</si>
  <si>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</si>
  <si>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</si>
  <si>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</si>
  <si>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</si>
  <si>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</si>
  <si>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</si>
  <si>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</si>
  <si>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</si>
  <si>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</si>
  <si>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</si>
  <si>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</si>
  <si>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</si>
  <si>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</si>
  <si>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</si>
  <si>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</si>
  <si>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</si>
  <si>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</si>
  <si>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</si>
  <si>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</si>
  <si>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</si>
  <si>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</si>
  <si>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</si>
  <si>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</si>
  <si>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</si>
  <si>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</si>
  <si>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</si>
  <si>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</si>
  <si>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</si>
  <si>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</si>
  <si>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</si>
  <si>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</si>
  <si>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</si>
  <si>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</si>
  <si>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</si>
  <si>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</si>
  <si>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</si>
  <si>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</si>
  <si>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</si>
  <si>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</si>
  <si>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</si>
  <si>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</si>
  <si>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</si>
  <si>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</si>
  <si>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</si>
  <si>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</si>
  <si>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</si>
  <si>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</si>
  <si>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</si>
  <si>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</si>
  <si>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</si>
  <si>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</si>
  <si>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</si>
  <si>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</si>
  <si>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</si>
  <si>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</si>
  <si>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</si>
  <si>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</si>
  <si>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</si>
  <si>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LAVTR</t>
  </si>
  <si>
    <t>City and County Revenue Sharing</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</si>
  <si>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</si>
  <si>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</si>
  <si>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</si>
  <si>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</si>
  <si>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</si>
  <si>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</si>
  <si>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</si>
  <si>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</si>
  <si>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</si>
  <si>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</si>
  <si>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</si>
  <si>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</si>
  <si>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</si>
  <si>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</si>
  <si>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</si>
  <si>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</si>
  <si>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</si>
  <si>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</si>
  <si>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</si>
  <si>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</si>
  <si>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</si>
  <si>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</si>
  <si>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</si>
  <si>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</si>
  <si>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</si>
  <si>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</si>
  <si>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</si>
  <si>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</si>
  <si>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</si>
  <si>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</si>
  <si>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</si>
  <si>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</si>
  <si>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</si>
  <si>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</si>
  <si>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</si>
  <si>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</si>
  <si>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</si>
  <si>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</si>
  <si>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</si>
  <si>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</si>
  <si>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</si>
  <si>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</si>
  <si>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</si>
  <si>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</si>
  <si>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</si>
  <si>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</si>
  <si>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</si>
  <si>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</si>
  <si>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</si>
  <si>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</si>
  <si>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</si>
  <si>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</si>
  <si>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</si>
  <si>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</si>
  <si>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</si>
  <si>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</si>
  <si>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</si>
  <si>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</si>
  <si>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</si>
  <si>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</si>
  <si>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</si>
  <si>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</si>
  <si>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</si>
  <si>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</si>
  <si>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</si>
  <si>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</si>
  <si>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</si>
  <si>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</si>
  <si>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</si>
  <si>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</si>
  <si>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</si>
  <si>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</si>
  <si>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</si>
  <si>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</si>
  <si>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</si>
  <si>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</si>
  <si>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Enter City Name ( City of )</t>
  </si>
  <si>
    <t>1st</t>
  </si>
  <si>
    <t>2nd</t>
  </si>
  <si>
    <t>3rd</t>
  </si>
  <si>
    <t>Enter Other Counties' Name:</t>
  </si>
  <si>
    <t>Assessed Valuation:</t>
  </si>
  <si>
    <t>Total Assessed Valuation</t>
  </si>
  <si>
    <t>certify that: (1) the hearing mentioned in the attached publication was held; (2) after the Budget Hearing this budget</t>
  </si>
  <si>
    <t>Attest:_____________________,</t>
  </si>
  <si>
    <t xml:space="preserve">  Real               Estate</t>
  </si>
  <si>
    <t>Recreational Vehicle</t>
  </si>
  <si>
    <t xml:space="preserve">16\20 M Vehicle </t>
  </si>
  <si>
    <t xml:space="preserve">Motor              Vehicle </t>
  </si>
  <si>
    <t>Total Vehicle Tax Estimates</t>
  </si>
  <si>
    <r>
      <t>**</t>
    </r>
    <r>
      <rPr>
        <b/>
        <u/>
        <sz val="12"/>
        <rFont val="Times New Roman"/>
        <family val="1"/>
      </rPr>
      <t>Note</t>
    </r>
    <r>
      <rPr>
        <sz val="12"/>
        <rFont val="Times New Roman"/>
        <family val="1"/>
      </rPr>
      <t>: The delinquency rate can be up to 5% more than the actual delinquency rate from the previous year.</t>
    </r>
  </si>
  <si>
    <t xml:space="preserve">Neighborhood Revitalization </t>
  </si>
  <si>
    <t>City4 Spreadsheet Instructions</t>
  </si>
  <si>
    <t xml:space="preserve">Cities can use the city.xls, city1.xls, city2, city3 or city4.xls files.   You must choose a form that meets the needs for the number of funds.  If you don't need all the funds, just leave the pages blank and number the completed pages sequentially. </t>
  </si>
  <si>
    <t>Input sheet for City4.XLS budget form</t>
  </si>
  <si>
    <t>Funds</t>
  </si>
  <si>
    <t xml:space="preserve">expenditure amounts should reflect the amended </t>
  </si>
  <si>
    <t>expenditure amounts.</t>
  </si>
  <si>
    <t>Neigborhood Revitalization Rebate</t>
  </si>
  <si>
    <t>Neighborhood Revitalization Rebate</t>
  </si>
  <si>
    <t>Miscellaneous</t>
  </si>
  <si>
    <t>Does miscellaneous exceed 10% of Total Expenditure</t>
  </si>
  <si>
    <t>Does miscellaneous exceed 10% of Total Receipts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</si>
  <si>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</si>
  <si>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</si>
  <si>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</si>
  <si>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37. Change Certificate page total for mil rates from 0 to blank.</t>
  </si>
  <si>
    <t>Enter Home County Name followed by "County"</t>
  </si>
  <si>
    <t>Cash Balance Jan 1</t>
  </si>
  <si>
    <t>39. Added 'excluding oil, gas, and mobile homes' on Clerks budget info on tab inputoth.</t>
  </si>
  <si>
    <t>***If you are merely leasing/renting with no intent to purchase, do not list--such transactions are not lease-purchases.</t>
  </si>
  <si>
    <t>Employee Benefits</t>
  </si>
  <si>
    <t>21. Added four single no levy fund pages and 4 non-budgeted pages.</t>
  </si>
  <si>
    <t>22. Added question on Certificate page about the ordinance.</t>
  </si>
  <si>
    <t xml:space="preserve">Ad Valorem Tax </t>
  </si>
  <si>
    <t>23. Added note to the non-budgeted fund pages to ensure the amounts agree.</t>
  </si>
  <si>
    <t>24. Added to instructions about non-appropriated balances being limited to 5%.</t>
  </si>
  <si>
    <t>25. Added warning "Exceeds 5%" on all fund pages for the non-appropirated balance.</t>
  </si>
  <si>
    <t>26. Added three additional spaces for Counties information on the input pages.</t>
  </si>
  <si>
    <t>27. Added line on instruction page for the three additional Counties information.</t>
  </si>
  <si>
    <t>28. Added Neighborhood Revitalization table and added links to all tax levy fund pages.</t>
  </si>
  <si>
    <t>29. Added to the instructions about neighborhood revitalization and made new line for transfers.</t>
  </si>
  <si>
    <t xml:space="preserve">30. Added Slider to the Vehicle Allocation table and linked to the fund pages. </t>
  </si>
  <si>
    <t>31. Added to all budgeted fund pages the budget authority for the actual year, budget violation, and cash violation.</t>
  </si>
  <si>
    <t>32. Added instruction on the addition for item 32.</t>
  </si>
  <si>
    <t>38. Expanded on the preparation of budget note 11 for instructions for the Notice of Budget Hearing.</t>
  </si>
  <si>
    <t>The following were changed to this spreadsheet on 5/08/2008</t>
  </si>
  <si>
    <t>1. Instruction page #9a change from 'shown be shown' to read 'should be shown'.</t>
  </si>
  <si>
    <t>2. Change Transfers tab footer from 'Page No. 5' to read 'Page No. 4'.</t>
  </si>
  <si>
    <r>
      <t>3. Change all Non-Budgeted Funds forms from 'Only the actual budget year shown' to '</t>
    </r>
    <r>
      <rPr>
        <i/>
        <sz val="12"/>
        <rFont val="Times New Roman"/>
        <family val="1"/>
      </rPr>
      <t>Only the actual budget year for YYYY is to be shown</t>
    </r>
    <r>
      <rPr>
        <sz val="12"/>
        <rFont val="Times New Roman"/>
        <family val="1"/>
      </rPr>
      <t>'.</t>
    </r>
  </si>
  <si>
    <t>4. Change Budget Summary from 'Proposed Budget Expenditures' to read 'Proposed Budget YYYY Expenditures'.</t>
  </si>
  <si>
    <t>5. Change Legend #38 from 'note 10' to 'note 11'.</t>
  </si>
  <si>
    <t>6. All pages revision date was changed.</t>
  </si>
  <si>
    <t>The following were changed to this spreadsheet on 6/30/08</t>
  </si>
  <si>
    <t>1. Changed the link on Non-BudD to have the correct fund names picked up from inputpryr.</t>
  </si>
  <si>
    <t>The following were changed to this spreadsheet on 7/11/08</t>
  </si>
  <si>
    <t>1. Changed the formula on the 'summ tab' cell c20 to c29 to correct duplication on cell c20 and renumber c21-c29.</t>
  </si>
  <si>
    <t>Debt Service</t>
  </si>
  <si>
    <t xml:space="preserve">           General Fund - Detail Expend</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</si>
  <si>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</si>
  <si>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</si>
  <si>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</si>
  <si>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</si>
  <si>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</si>
  <si>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</si>
  <si>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</si>
  <si>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</si>
  <si>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</si>
  <si>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</si>
  <si>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</si>
  <si>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</si>
  <si>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</si>
  <si>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</si>
  <si>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</si>
  <si>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</si>
  <si>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</si>
  <si>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Changed 9a to reflect General Fund Detail (GenDetail) is linked to the General Fund (general) and that detail 'Page Total' amounts should agree to 'Sub-Total' on the General Fund page.</t>
  </si>
  <si>
    <t>13. Added 9j to 9l for additional edits for budget authority.</t>
  </si>
  <si>
    <t>The following were changed to this spreadsheet on 8/25/08</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</si>
  <si>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</si>
  <si>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</si>
  <si>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</si>
  <si>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</si>
  <si>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</si>
  <si>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</si>
  <si>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4. Changed foot note to reflect the changes maded on 7/1/08 to the above tabs.</t>
  </si>
  <si>
    <t>1b. First County block is for the Home County and the other three blocks are for counties that proves valuation and vehicle/slider information.</t>
  </si>
  <si>
    <t>1c. Dates for the entire budget workbook is controlled by the year entered into the "Enter year being budgeted (YYYY)" field.  If you find a date that is not correct for the budget being submitted, please contact us for assistance.</t>
  </si>
  <si>
    <t>7. Added four single page for no tax levy fund page.</t>
  </si>
  <si>
    <t>11. Added Neighborhood Revitalization, LAVTR, City and County Revenue Sharing, and Slider to the input page and to the General Fund page. Also each tax levy fund pages has the NR.</t>
  </si>
  <si>
    <t>33.  Added miscellanous category to both receipt and expenditure and set warning on fund pages.</t>
  </si>
  <si>
    <t>34. Added instruction concerning the miscellaneous category and how to fix warning.</t>
  </si>
  <si>
    <t xml:space="preserve">35. Added page number for neighborhood revit on the Certificate page. </t>
  </si>
  <si>
    <t>36. Added three spaces for additional counties on the inputpryr, clerk's info, and certificate page.</t>
  </si>
  <si>
    <t xml:space="preserve">General Instructions </t>
  </si>
  <si>
    <t>Fund Names:</t>
  </si>
  <si>
    <t>Statute</t>
  </si>
  <si>
    <t>General</t>
  </si>
  <si>
    <t>Fund name for all funds with a tax levy:</t>
  </si>
  <si>
    <t>Total</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</si>
  <si>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</si>
  <si>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</si>
  <si>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</si>
  <si>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</si>
  <si>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</si>
  <si>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</si>
  <si>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</si>
  <si>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</si>
  <si>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</si>
  <si>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</si>
  <si>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</si>
  <si>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</si>
  <si>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</si>
  <si>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</si>
  <si>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</si>
  <si>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</si>
  <si>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</si>
  <si>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</si>
  <si>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</si>
  <si>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</si>
  <si>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</si>
  <si>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</si>
  <si>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</si>
  <si>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</si>
  <si>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</si>
  <si>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</si>
  <si>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</si>
  <si>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</si>
  <si>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</si>
  <si>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</si>
  <si>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</si>
  <si>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</si>
  <si>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</si>
  <si>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</si>
  <si>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</si>
  <si>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</si>
  <si>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</si>
  <si>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</si>
  <si>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</si>
  <si>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</si>
  <si>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</si>
  <si>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</si>
  <si>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</si>
  <si>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</si>
  <si>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</si>
  <si>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</si>
  <si>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</si>
  <si>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</si>
  <si>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</si>
  <si>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</si>
  <si>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</si>
  <si>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</si>
  <si>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</si>
  <si>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</si>
  <si>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</si>
  <si>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</si>
  <si>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</si>
  <si>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</si>
  <si>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</si>
  <si>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</si>
  <si>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</si>
  <si>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</si>
  <si>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</si>
  <si>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</si>
  <si>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</si>
  <si>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</si>
  <si>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</si>
  <si>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</si>
  <si>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</si>
  <si>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</si>
  <si>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</si>
  <si>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</si>
  <si>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</si>
  <si>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</si>
  <si>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</si>
  <si>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</si>
  <si>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</si>
  <si>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</si>
  <si>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</si>
  <si>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</si>
  <si>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</si>
  <si>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</si>
  <si>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</si>
  <si>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</si>
  <si>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</si>
  <si>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</si>
  <si>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</si>
  <si>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</si>
  <si>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77 change from Budget Summary to Budget Certificate.</t>
  </si>
  <si>
    <t>The following were changed to this spreadsheet on 6/16/09</t>
  </si>
  <si>
    <t>1. Mvalloc tab, 'Budget Tax Levy Amount for -1' links for amounts from 'inputPrYr' were changed to reflect column 'D' to column 'E'.</t>
  </si>
  <si>
    <t>forms in the appropriate locations. If any of the numbers are wrong, change them on this input sheet.</t>
  </si>
  <si>
    <t xml:space="preserve">Enter the following information from the sources shown.  This information will be entered on the budget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</si>
  <si>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</si>
  <si>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</si>
  <si>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Budget Tax Levy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</si>
  <si>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</si>
  <si>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</si>
  <si>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</si>
  <si>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</si>
  <si>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</si>
  <si>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</si>
  <si>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</si>
  <si>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</si>
  <si>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</si>
  <si>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</si>
  <si>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</si>
  <si>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</si>
  <si>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</si>
  <si>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</si>
  <si>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</si>
  <si>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</si>
  <si>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</si>
  <si>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</si>
  <si>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</si>
  <si>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</si>
  <si>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</si>
  <si>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</si>
  <si>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</si>
  <si>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</si>
  <si>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</si>
  <si>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</si>
  <si>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</si>
  <si>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</si>
  <si>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</si>
  <si>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</si>
  <si>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</si>
  <si>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</si>
  <si>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</si>
  <si>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</si>
  <si>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</si>
  <si>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</si>
  <si>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</si>
  <si>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</si>
  <si>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</si>
  <si>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</si>
  <si>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</si>
  <si>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</si>
  <si>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 xml:space="preserve">           General Fund - Detail Page 2</t>
  </si>
  <si>
    <t>Page 2 -Total</t>
  </si>
  <si>
    <t>Page 1 -Total</t>
  </si>
  <si>
    <t xml:space="preserve">Grand Total </t>
  </si>
  <si>
    <t>The following were changed to this spreadsheet on 10/6/09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</si>
  <si>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</si>
  <si>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</si>
  <si>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</si>
  <si>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</si>
  <si>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</si>
  <si>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</si>
  <si>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</si>
  <si>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</si>
  <si>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Gen tab added eight additional detail lines and linked to the detail page</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</si>
  <si>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</si>
  <si>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</si>
  <si>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</si>
  <si>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</si>
  <si>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</si>
  <si>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City Hall</t>
  </si>
  <si>
    <t>Available at:</t>
  </si>
  <si>
    <t>Examples</t>
  </si>
  <si>
    <t>August 12, 2010</t>
  </si>
  <si>
    <t>7:00 PM or 7:00 AM</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</si>
  <si>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</si>
  <si>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</si>
  <si>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</si>
  <si>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</si>
  <si>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</si>
  <si>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</si>
  <si>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</si>
  <si>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</si>
  <si>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</si>
  <si>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</si>
  <si>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</si>
  <si>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</si>
  <si>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</si>
  <si>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</si>
  <si>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</si>
  <si>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</si>
  <si>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</si>
  <si>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</si>
  <si>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</si>
  <si>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</si>
  <si>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</si>
  <si>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</si>
  <si>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</si>
  <si>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</si>
  <si>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</si>
  <si>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</si>
  <si>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</si>
  <si>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</si>
  <si>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</si>
  <si>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</si>
  <si>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</si>
  <si>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</si>
  <si>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</si>
  <si>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</si>
  <si>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</si>
  <si>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</si>
  <si>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</si>
  <si>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</si>
  <si>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</si>
  <si>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</si>
  <si>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</si>
  <si>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</si>
  <si>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</si>
  <si>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</si>
  <si>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</si>
  <si>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</si>
  <si>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</si>
  <si>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</si>
  <si>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</si>
  <si>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</si>
  <si>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</si>
  <si>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</si>
  <si>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</si>
  <si>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</si>
  <si>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</si>
  <si>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</si>
  <si>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</si>
  <si>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</si>
  <si>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</si>
  <si>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</si>
  <si>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</si>
  <si>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</si>
  <si>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</si>
  <si>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</si>
  <si>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</si>
  <si>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</si>
  <si>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</si>
  <si>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</si>
  <si>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</si>
  <si>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</si>
  <si>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</si>
  <si>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</si>
  <si>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</si>
  <si>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</si>
  <si>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</si>
  <si>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</si>
  <si>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</si>
  <si>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</si>
  <si>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</si>
  <si>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</si>
  <si>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</si>
  <si>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</si>
  <si>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</si>
  <si>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</si>
  <si>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</si>
  <si>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</si>
  <si>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</si>
  <si>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</si>
  <si>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</si>
  <si>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</si>
  <si>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</si>
  <si>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</si>
  <si>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</si>
  <si>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</si>
  <si>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</si>
  <si>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</si>
  <si>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</si>
  <si>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</si>
  <si>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</si>
  <si>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</si>
  <si>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</si>
  <si>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</si>
  <si>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</si>
  <si>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</si>
  <si>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</si>
  <si>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</si>
  <si>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</si>
  <si>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</si>
  <si>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</si>
  <si>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</si>
  <si>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</si>
  <si>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</si>
  <si>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</si>
  <si>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</si>
  <si>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</si>
  <si>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</si>
  <si>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</si>
  <si>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</si>
  <si>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</si>
  <si>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</si>
  <si>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</si>
  <si>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</si>
  <si>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</si>
  <si>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</si>
  <si>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</si>
  <si>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</si>
  <si>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</si>
  <si>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</si>
  <si>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</si>
  <si>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</si>
  <si>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</si>
  <si>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</si>
  <si>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</si>
  <si>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</si>
  <si>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</si>
  <si>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</si>
  <si>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</si>
  <si>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</si>
  <si>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</si>
  <si>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</si>
  <si>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</si>
  <si>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</si>
  <si>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</si>
  <si>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</si>
  <si>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</si>
  <si>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</si>
  <si>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</si>
  <si>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</si>
  <si>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</si>
  <si>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</si>
  <si>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</si>
  <si>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</si>
  <si>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</si>
  <si>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</si>
  <si>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</si>
  <si>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</si>
  <si>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</si>
  <si>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</si>
  <si>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</si>
  <si>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</si>
  <si>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</si>
  <si>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</si>
  <si>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</si>
  <si>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</si>
  <si>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</si>
  <si>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</si>
  <si>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</si>
  <si>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</si>
  <si>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</si>
  <si>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</si>
  <si>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</si>
  <si>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</si>
  <si>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</si>
  <si>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</si>
  <si>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</si>
  <si>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</si>
  <si>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</si>
  <si>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</si>
  <si>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</si>
  <si>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</si>
  <si>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</si>
  <si>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</si>
  <si>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</si>
  <si>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</si>
  <si>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</si>
  <si>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</si>
  <si>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</si>
  <si>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</si>
  <si>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</si>
  <si>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</si>
  <si>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</si>
  <si>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</si>
  <si>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</si>
  <si>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</si>
  <si>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</si>
  <si>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</si>
  <si>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</si>
  <si>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</si>
  <si>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</si>
  <si>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</si>
  <si>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</si>
  <si>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</si>
  <si>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</si>
  <si>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</si>
  <si>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</si>
  <si>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</si>
  <si>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</si>
  <si>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</si>
  <si>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</si>
  <si>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</si>
  <si>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</si>
  <si>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</si>
  <si>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</si>
  <si>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</si>
  <si>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</si>
  <si>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</si>
  <si>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</si>
  <si>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</si>
  <si>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</si>
  <si>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</si>
  <si>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</si>
  <si>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</si>
  <si>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</si>
  <si>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</si>
  <si>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</si>
  <si>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</si>
  <si>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</si>
  <si>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</si>
  <si>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r>
      <t>Adjustments</t>
    </r>
    <r>
      <rPr>
        <b/>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</si>
  <si>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</si>
  <si>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</si>
  <si>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</si>
  <si>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</si>
  <si>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</si>
  <si>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</si>
  <si>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</si>
  <si>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</si>
  <si>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</si>
  <si>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</si>
  <si>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</si>
  <si>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The following were changed to this spreadsheet on 6/29/10</t>
  </si>
  <si>
    <t>1. Computation Tab - Item #9 Total Estimated Valuation July 1, -1 changed cell E28 ref from D48 to B13</t>
  </si>
  <si>
    <t>2. GenDetail Tab - changed print area to print both 7b and 7c pages versus 7b only</t>
  </si>
  <si>
    <t>Official Title:</t>
  </si>
  <si>
    <t>City Clerk, City Treasurer, Mayor</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</si>
  <si>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</si>
  <si>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</si>
  <si>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</si>
  <si>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</si>
  <si>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</si>
  <si>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</si>
  <si>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</si>
  <si>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</si>
  <si>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</si>
  <si>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</si>
  <si>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Compensating Use Tax</t>
  </si>
  <si>
    <t>Local Sales Tax</t>
  </si>
  <si>
    <t>Non-Appropriated Balance</t>
  </si>
  <si>
    <t>Total Expenditure/Non-Appr Balance</t>
  </si>
  <si>
    <t>Delinquent Comp Rate:</t>
  </si>
  <si>
    <t>Desired Carryover Amount:</t>
  </si>
  <si>
    <t>Estimated Mill Rate Impact:</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</si>
  <si>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</si>
  <si>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</si>
  <si>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</si>
  <si>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</si>
  <si>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</si>
  <si>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</si>
  <si>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</si>
  <si>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</si>
  <si>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</si>
  <si>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</si>
  <si>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</si>
  <si>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</si>
  <si>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</si>
  <si>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</si>
  <si>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</si>
  <si>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</si>
  <si>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</si>
  <si>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</si>
  <si>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</si>
  <si>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</si>
  <si>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</si>
  <si>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</si>
  <si>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</si>
  <si>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</si>
  <si>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</si>
  <si>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</si>
  <si>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</si>
  <si>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</si>
  <si>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</si>
  <si>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</si>
  <si>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</si>
  <si>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</si>
  <si>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</si>
  <si>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</si>
  <si>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</si>
  <si>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</si>
  <si>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</si>
  <si>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</si>
  <si>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</si>
  <si>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</si>
  <si>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</si>
  <si>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</si>
  <si>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</si>
  <si>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</si>
  <si>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</si>
  <si>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</si>
  <si>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</si>
  <si>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</si>
  <si>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</si>
  <si>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</si>
  <si>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</si>
  <si>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</si>
  <si>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</si>
  <si>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</si>
  <si>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</si>
  <si>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</si>
  <si>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</si>
  <si>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</si>
  <si>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</si>
  <si>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</si>
  <si>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</si>
  <si>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</si>
  <si>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</si>
  <si>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</si>
  <si>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</si>
  <si>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</si>
  <si>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</si>
  <si>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</si>
  <si>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</si>
  <si>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</si>
  <si>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</si>
  <si>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</si>
  <si>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</si>
  <si>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</si>
  <si>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</si>
  <si>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</si>
  <si>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</si>
  <si>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</si>
  <si>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</si>
  <si>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</si>
  <si>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the actual year column of the current budget).  After the information has been entered, please verify the data is correct. </t>
  </si>
  <si>
    <t>4c. The Certificate page allows for up to four counties assessed valuation.</t>
  </si>
  <si>
    <t>1. All pages removed the revision date</t>
  </si>
  <si>
    <t>2. All tax levy fund pages reduced the columns and revised the bottom of pages for see tabs</t>
  </si>
  <si>
    <t>3. Instruction tab added lines 4d (cert-rec), 11b (fund-rec), 14(project carryover), 14a (Desired Carryover), and 15 (protection)</t>
  </si>
  <si>
    <t>The following were changed to this spreadsheet on 9/7/10</t>
  </si>
  <si>
    <t xml:space="preserve">Totals </t>
  </si>
  <si>
    <t>4. Inputpryr tab added lines 25 and 26 for 'Other Fund Not Considered' and Recreation fund</t>
  </si>
  <si>
    <t>5. Certificate tab change the 'Expenditure' heading by adding  'Budget Authority for Expenditures'</t>
  </si>
  <si>
    <t>6. Certificate tab change 'Total' to 'Totals for City' and added another line for 'Totals Includes Recreation'</t>
  </si>
  <si>
    <t>7. Certificate tab added line for 'Recreation', statute, expenditure, ad valorem, and levy</t>
  </si>
  <si>
    <t>8. Certificate tab created check to determine if levy for recreation is exceeded</t>
  </si>
  <si>
    <t xml:space="preserve">9. Certificate tab added additional lines for the governing body signatures </t>
  </si>
  <si>
    <t>10. Certificate tab add the year in the block for 'County Clerk Use Only'</t>
  </si>
  <si>
    <t>11. Certificate tab moved the 'County Clerk's Use Only' from center to right</t>
  </si>
  <si>
    <t>12. Debt tab expand the 'Date' columns and removed two lines from the 'Other Section'</t>
  </si>
  <si>
    <t>13. Gen tab added revenue line for 'Compensation Use'</t>
  </si>
  <si>
    <t>14. Gen tab added table for 'Projection of Cash Carryover'</t>
  </si>
  <si>
    <t>15. Gen tab added table for 'Desired Carryover'</t>
  </si>
  <si>
    <t>16. Gen tab redefine print que to not include tables</t>
  </si>
  <si>
    <t>17. Gen tab hid the comp for see tabs</t>
  </si>
  <si>
    <t>18. DebtService tab reduced the Debt Service fund page and added the Recreation fund</t>
  </si>
  <si>
    <t>19. DebtService tab added table for 'Projected Carryover'</t>
  </si>
  <si>
    <t>20. DebtService tab redefine print que and hid comp for see tabs</t>
  </si>
  <si>
    <t>21. Levy page9 to page13 tab hid comp for see tabs</t>
  </si>
  <si>
    <t>22. Summ tab added line after total for Recreation fund and put a check to determine if levy was exceeded</t>
  </si>
  <si>
    <t>23. Summ tab merged cells above the 'City Official Title' and center a name if used</t>
  </si>
  <si>
    <t>24. Summ tab link the City Official Title to inputBudSum tab</t>
  </si>
  <si>
    <t>25. Summ tab changed proposed year expenditure column to 'Budget Authority (Includes Carryover)</t>
  </si>
  <si>
    <t>26. Summ tab added four tables to the right of the form</t>
  </si>
  <si>
    <t>27. InputBudSum tab added line for City Official Title and provided an example</t>
  </si>
  <si>
    <t>28. Revised TransferStatutes and NonBudFunds tabs</t>
  </si>
  <si>
    <t>29. Added Mill Rate Computation tab</t>
  </si>
  <si>
    <t>30. Summ tab redefine print que</t>
  </si>
  <si>
    <t>31. Add Helpful Links tab</t>
  </si>
  <si>
    <t>32. Certificate page deleted state block</t>
  </si>
  <si>
    <t>33. Added four more no tax levy fund pages</t>
  </si>
  <si>
    <t>34.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</si>
  <si>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</si>
  <si>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</si>
  <si>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</si>
  <si>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</si>
  <si>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</si>
  <si>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</si>
  <si>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</si>
  <si>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</si>
  <si>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</si>
  <si>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3/21/11</t>
  </si>
  <si>
    <t>1. Debt Service tab corrected cell G34 from E21 to E20</t>
  </si>
  <si>
    <t>The following were changed to this spreadsheet on 4/19/11</t>
  </si>
  <si>
    <t>1. Summ tab changed proposed year expenditure column to 'Budget Authority for Expenditures'</t>
  </si>
  <si>
    <t xml:space="preserve">Prior Year </t>
  </si>
  <si>
    <t>Current Year</t>
  </si>
  <si>
    <t xml:space="preserve">Proposed Budget </t>
  </si>
  <si>
    <t xml:space="preserve">Current Year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</si>
  <si>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</si>
  <si>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</si>
  <si>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</si>
  <si>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</si>
  <si>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</si>
  <si>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</si>
  <si>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</si>
  <si>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</si>
  <si>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</si>
  <si>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</si>
  <si>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</si>
  <si>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</si>
  <si>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</si>
  <si>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</si>
  <si>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</si>
  <si>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</si>
  <si>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</si>
  <si>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</si>
  <si>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</si>
  <si>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</si>
  <si>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</si>
  <si>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</si>
  <si>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</si>
  <si>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</si>
  <si>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</si>
  <si>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</si>
  <si>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</si>
  <si>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</si>
  <si>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</si>
  <si>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</si>
  <si>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</si>
  <si>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</si>
  <si>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</si>
  <si>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</si>
  <si>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</si>
  <si>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</si>
  <si>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</si>
  <si>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</si>
  <si>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</si>
  <si>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</si>
  <si>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</si>
  <si>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</si>
  <si>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</si>
  <si>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</si>
  <si>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</si>
  <si>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</si>
  <si>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</si>
  <si>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</si>
  <si>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</si>
  <si>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</si>
  <si>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</si>
  <si>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Items</t>
  </si>
  <si>
    <t xml:space="preserve"> Purchased</t>
  </si>
  <si>
    <t xml:space="preserve">Type of </t>
  </si>
  <si>
    <t xml:space="preserve"> Debt</t>
  </si>
  <si>
    <t xml:space="preserve">Allocation of Motor, Recreational, 16/20M Vehicle Tax </t>
  </si>
  <si>
    <t>12-1220</t>
  </si>
  <si>
    <t>Library</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</si>
  <si>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</si>
  <si>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</si>
  <si>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</si>
  <si>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</si>
  <si>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</si>
  <si>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</si>
  <si>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</si>
  <si>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</si>
  <si>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</si>
  <si>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</si>
  <si>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</si>
  <si>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</si>
  <si>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</si>
  <si>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</si>
  <si>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</si>
  <si>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</si>
  <si>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</si>
  <si>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</si>
  <si>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</si>
  <si>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</si>
  <si>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</si>
  <si>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</si>
  <si>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Email:</t>
  </si>
  <si>
    <t>_____________________  ______________________</t>
  </si>
  <si>
    <t>Expenditures Must Be Changed by:</t>
  </si>
  <si>
    <t>Mill Rate Comparison</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</si>
  <si>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</si>
  <si>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</si>
  <si>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</si>
  <si>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</si>
  <si>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</si>
  <si>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</si>
  <si>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</si>
  <si>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</si>
  <si>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</si>
  <si>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</si>
  <si>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</si>
  <si>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</si>
  <si>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</si>
  <si>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</si>
  <si>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</si>
  <si>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</si>
  <si>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</si>
  <si>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</si>
  <si>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</si>
  <si>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</si>
  <si>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</si>
  <si>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</si>
  <si>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</si>
  <si>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</si>
  <si>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</si>
  <si>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</si>
  <si>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</si>
  <si>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</si>
  <si>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</si>
  <si>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</si>
  <si>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</si>
  <si>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</si>
  <si>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</si>
  <si>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</si>
  <si>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</si>
  <si>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</si>
  <si>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</si>
  <si>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</si>
  <si>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was designed for a City having up to four counties providing budget information. The City4 spreadsheets has General Fund page (general), Debt Service and Library fund (DebtSvs-Library), 10 tax levy pages (levy page9 to levy page13), Special Highway page (Sp Hiway), 15 no levy fund pages (nolevypage15 to nolevypage21 with one under the Sp Hiway tab), 4 single no levy pages (SinNoLevy18-SinNolevy21), and 20 non-budgeted fund pages (NonBudA to NonBudD).</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</si>
  <si>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</si>
  <si>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</si>
  <si>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5. The information for the Computation to Determine Limit Page (computation) comes from data on the Input Page (inputOth) and Debt Service Page (DebtSvs-Library). If there is incorrect information on the Computation Page, please correct the source of the information from either the Input Page or Debt Service fund page. If you can not correct the error, please call us for assistance.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</si>
  <si>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</si>
  <si>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</si>
  <si>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(DebtSvs-Library), ten levy pages (levy page8 and levy page13), Special Highway Fund (SpecHwy), fifteen no levy fund pages (no levy page15 to no levy page21, and one fund below on Special Highway), four single no levy fund page (SinNoLevy18 to 21), and four non-budgeted fund pages (NonBudA thru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</si>
  <si>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</si>
  <si>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</si>
  <si>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</si>
  <si>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</si>
  <si>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</si>
  <si>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</si>
  <si>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</si>
  <si>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</si>
  <si>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</si>
  <si>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</si>
  <si>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</si>
  <si>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</si>
  <si>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</si>
  <si>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</si>
  <si>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</si>
  <si>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</si>
  <si>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</si>
  <si>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</si>
  <si>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</si>
  <si>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</si>
  <si>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</si>
  <si>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</si>
  <si>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</si>
  <si>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</si>
  <si>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</si>
  <si>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</si>
  <si>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</si>
  <si>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</si>
  <si>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</si>
  <si>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Allocation of MVT, RVT, 16/20M Vehicle Tax</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</si>
  <si>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</si>
  <si>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</si>
  <si>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#4d to show Certificate page new schedule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</si>
  <si>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</si>
  <si>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</si>
  <si>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</si>
  <si>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</si>
  <si>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</si>
  <si>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City of Herington</t>
  </si>
  <si>
    <t>Dickinson County</t>
  </si>
  <si>
    <t>Morris County</t>
  </si>
  <si>
    <t>Employee Benefit</t>
  </si>
  <si>
    <t>Hospital</t>
  </si>
  <si>
    <t>12-16,102</t>
  </si>
  <si>
    <t>14-696</t>
  </si>
  <si>
    <t>Convention &amp; Tourism</t>
  </si>
  <si>
    <t>Special Park</t>
  </si>
  <si>
    <t>Solid Waste</t>
  </si>
  <si>
    <t>Airport</t>
  </si>
  <si>
    <t>2006 Sales Tax</t>
  </si>
  <si>
    <t>2010 Sales Tax</t>
  </si>
  <si>
    <t>Storm Water</t>
  </si>
  <si>
    <t>Light</t>
  </si>
  <si>
    <t>Water</t>
  </si>
  <si>
    <t>Sewer</t>
  </si>
  <si>
    <t>Sewer Bond &amp; Interest</t>
  </si>
  <si>
    <t>Revolving Loan Fund</t>
  </si>
  <si>
    <t>Cemetery Perpetual</t>
  </si>
  <si>
    <t>Light Bond Prin &amp; Int</t>
  </si>
  <si>
    <t>Light Bond Reserves</t>
  </si>
  <si>
    <t>Light Bond Construction</t>
  </si>
  <si>
    <t>Equipment Reserves</t>
  </si>
  <si>
    <t>Hilltop/Homestead Deposits</t>
  </si>
  <si>
    <t>Debra Wendt, City Clerk</t>
  </si>
  <si>
    <t>August 21, 2012</t>
  </si>
  <si>
    <t>4:30 p.m.</t>
  </si>
  <si>
    <t>Sales Tax</t>
  </si>
  <si>
    <t>County Sales Tax</t>
  </si>
  <si>
    <t>Payment in Lieu of Taxes Housing Authority</t>
  </si>
  <si>
    <t>Special Assessments</t>
  </si>
  <si>
    <t>Rural Fire Contracts</t>
  </si>
  <si>
    <t>Highway Connecting Links</t>
  </si>
  <si>
    <t>Franchise Fees</t>
  </si>
  <si>
    <t>Dog and Cat Licenses</t>
  </si>
  <si>
    <t>Misc. Permits &amp; Licenses</t>
  </si>
  <si>
    <t>Liquor &amp; CMB Licenses</t>
  </si>
  <si>
    <t>RV Park Licenses</t>
  </si>
  <si>
    <t>Lake Licenses</t>
  </si>
  <si>
    <t>Building Permits</t>
  </si>
  <si>
    <t>Cemetery</t>
  </si>
  <si>
    <t>Pool</t>
  </si>
  <si>
    <t>Fines</t>
  </si>
  <si>
    <t>Court Fees</t>
  </si>
  <si>
    <t>Other Court Charges</t>
  </si>
  <si>
    <t>Community Building</t>
  </si>
  <si>
    <t>Rental Income</t>
  </si>
  <si>
    <t>Reimbursed Expense</t>
  </si>
  <si>
    <t>Reimbursed Wildlife &amp; Parks</t>
  </si>
  <si>
    <t>Transfer from Light</t>
  </si>
  <si>
    <t>Hilltop Income</t>
  </si>
  <si>
    <t>Hilltop Bus Income</t>
  </si>
  <si>
    <t>Sale of Property</t>
  </si>
  <si>
    <t>Homestead Village Income</t>
  </si>
  <si>
    <t>General Administration</t>
  </si>
  <si>
    <t>Police</t>
  </si>
  <si>
    <t>Fire</t>
  </si>
  <si>
    <t>Street</t>
  </si>
  <si>
    <t>Parks and Cemetery</t>
  </si>
  <si>
    <t>Municipal Court</t>
  </si>
  <si>
    <t>Lakes</t>
  </si>
  <si>
    <t>Municipal Pool</t>
  </si>
  <si>
    <t>Hilltop Complex</t>
  </si>
  <si>
    <t>Homestead Village</t>
  </si>
  <si>
    <t>Other Expenses</t>
  </si>
  <si>
    <t>Capital Outlay/Overpass Payment</t>
  </si>
  <si>
    <t>Equipment Reserve</t>
  </si>
  <si>
    <t>Refunds and State Fines</t>
  </si>
  <si>
    <t>Hilltop</t>
  </si>
  <si>
    <t>Transfer from 2006 Sales Tax</t>
  </si>
  <si>
    <t>Logan Pointe</t>
  </si>
  <si>
    <t>Principal GO 9-1-00</t>
  </si>
  <si>
    <t>Interest GO 9-1-00</t>
  </si>
  <si>
    <t>Interest GO 9-7-06</t>
  </si>
  <si>
    <t>Principal Logan Pointe 11-4-08</t>
  </si>
  <si>
    <t>Interest Logan Pointe 11-4-08</t>
  </si>
  <si>
    <t>Transfer from Sewer Fund</t>
  </si>
  <si>
    <t>Prioncipal GO 9-7-06</t>
  </si>
  <si>
    <t>Library Appropriation</t>
  </si>
  <si>
    <t>Social Security &amp; Medicare</t>
  </si>
  <si>
    <t>Workers Compensation</t>
  </si>
  <si>
    <t>KPERS</t>
  </si>
  <si>
    <t>KP&amp;F</t>
  </si>
  <si>
    <t>Unemployment Insurance</t>
  </si>
  <si>
    <t>Health Insurance</t>
  </si>
  <si>
    <t>Hospital Appropriation</t>
  </si>
  <si>
    <t>Salaries</t>
  </si>
  <si>
    <t>Contractual</t>
  </si>
  <si>
    <t>Commodities</t>
  </si>
  <si>
    <t>Capital Outlay</t>
  </si>
  <si>
    <t>Transient Guest Tax</t>
  </si>
  <si>
    <t>Captial Outlay</t>
  </si>
  <si>
    <t>User Charges</t>
  </si>
  <si>
    <t>Contractual Services</t>
  </si>
  <si>
    <t>Grant Income</t>
  </si>
  <si>
    <t>Grant Expenses</t>
  </si>
  <si>
    <t>Transfer to Debt Service</t>
  </si>
  <si>
    <t>Community Building Payment</t>
  </si>
  <si>
    <t>Maintenance</t>
  </si>
  <si>
    <t>Collections from County</t>
  </si>
  <si>
    <t>Capital Projects</t>
  </si>
  <si>
    <t>Sales</t>
  </si>
  <si>
    <t>Connects, Reconnects, Transfers</t>
  </si>
  <si>
    <t>Penalties</t>
  </si>
  <si>
    <t>Delinquent Receipts</t>
  </si>
  <si>
    <t>Light Distribution</t>
  </si>
  <si>
    <t>Light Production</t>
  </si>
  <si>
    <t>Light Non-Operating</t>
  </si>
  <si>
    <t>Transfer to General Fund</t>
  </si>
  <si>
    <t>Water Production</t>
  </si>
  <si>
    <t>Water Distribution</t>
  </si>
  <si>
    <t>Water Non-Operating</t>
  </si>
  <si>
    <t>Transfer to Equipment Reserve</t>
  </si>
  <si>
    <t>Delinquent</t>
  </si>
  <si>
    <t>Transfer to Reserves</t>
  </si>
  <si>
    <t>State RLF Payment</t>
  </si>
  <si>
    <t xml:space="preserve">  Equipment Reserve</t>
  </si>
  <si>
    <t xml:space="preserve">  Bond Payment</t>
  </si>
  <si>
    <t>Light Fund</t>
  </si>
  <si>
    <t>General Fund</t>
  </si>
  <si>
    <t>12-825d</t>
  </si>
  <si>
    <t>Sewer Fund</t>
  </si>
  <si>
    <t>12-631o</t>
  </si>
  <si>
    <t>Light Principal&amp; Interest</t>
  </si>
  <si>
    <t>12-195b</t>
  </si>
  <si>
    <t>Sewer Prin &amp; Interest</t>
  </si>
  <si>
    <t>12-1,117</t>
  </si>
  <si>
    <t>Water Fund</t>
  </si>
  <si>
    <t>GO Series 2000</t>
  </si>
  <si>
    <t>4.25-5.5</t>
  </si>
  <si>
    <t>3-1; 9-1</t>
  </si>
  <si>
    <t>GO Sales Tax 2006</t>
  </si>
  <si>
    <t>4-1;10-1</t>
  </si>
  <si>
    <t>4.15-5.0</t>
  </si>
  <si>
    <t>Electric Revenue</t>
  </si>
  <si>
    <t>1.75-4.5</t>
  </si>
  <si>
    <t>3-1;9-1</t>
  </si>
  <si>
    <t>1.5-3.75</t>
  </si>
  <si>
    <t>State Revolving Loan Sewer</t>
  </si>
  <si>
    <t>State Revolving Loan Water</t>
  </si>
  <si>
    <t>2-1;8-1</t>
  </si>
  <si>
    <t>KDOT Revolving Loan</t>
  </si>
  <si>
    <t>CAT Engine</t>
  </si>
  <si>
    <t>Fire Truck</t>
  </si>
  <si>
    <t>Transfers In</t>
  </si>
  <si>
    <t>Principal Payments</t>
  </si>
  <si>
    <t>Transfer Balance</t>
  </si>
  <si>
    <t>Loan Payment</t>
  </si>
  <si>
    <t>Lots Sold</t>
  </si>
  <si>
    <t>Perpetual</t>
  </si>
  <si>
    <t>Transfer Reserves</t>
  </si>
  <si>
    <t>Bond Principal</t>
  </si>
  <si>
    <t>Bond Interest</t>
  </si>
  <si>
    <t>Electrical Improv.</t>
  </si>
  <si>
    <t>Deposits</t>
  </si>
  <si>
    <t>Refund Deposite</t>
  </si>
  <si>
    <t>GO Refunding 2012</t>
  </si>
  <si>
    <t>Herington</t>
  </si>
  <si>
    <t>Light Fund Additional</t>
  </si>
  <si>
    <t>Personal services</t>
  </si>
  <si>
    <t>Contractual services</t>
  </si>
  <si>
    <t>Capital outlay</t>
  </si>
  <si>
    <t>Chamber of Commerce</t>
  </si>
  <si>
    <t>PRODUCTION</t>
  </si>
  <si>
    <t>Transfer to equipment reserve fund</t>
  </si>
  <si>
    <t>DISTRIBUTION</t>
  </si>
  <si>
    <t>NON-OPERATING</t>
  </si>
  <si>
    <t>Insurance</t>
  </si>
  <si>
    <t>Transfer to Bond Reserve</t>
  </si>
  <si>
    <t>Water Fund Additional</t>
  </si>
  <si>
    <t>TRANSMISSION AND DISTRIBUTION</t>
  </si>
  <si>
    <t>NON OPERATING</t>
  </si>
  <si>
    <t>Water Protection/Clean Drinking</t>
  </si>
  <si>
    <t>Water Loan</t>
  </si>
  <si>
    <t>Page No. 18</t>
  </si>
  <si>
    <t>Principal 2012 GO Refinancing</t>
  </si>
  <si>
    <t>Interest 2012 GO Refinancing</t>
  </si>
  <si>
    <t>Roadhouse,Prairie Pan, FRE</t>
  </si>
  <si>
    <t>Sale of Surplus Equipment</t>
  </si>
  <si>
    <t>0.8-1.6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</si>
</sst>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0.000"/>
    <numFmt numFmtId="171" formatCode="#,##0.000_);\(#,##0.000\)"/>
    <numFmt numFmtId="172" formatCode="#,##0.000"/>
    <numFmt numFmtId="173" formatCode="[$-409]mmmm\ d\,\ yyyy;@"/>
    <numFmt numFmtId="174" formatCode="[$-409]h:mm\ AM/PM;@"/>
    <numFmt numFmtId="175" formatCode="&quot;$&quot;#,##0"/>
    <numFmt numFmtId="176" formatCode="&quot;$&quot;#,##0.00"/>
    <numFmt numFmtId="177" formatCode="#,###"/>
    <numFmt numFmtId="178" formatCode="#,##0.000_);[Red]\(#,##0.000\)"/>
    <numFmt numFmtId="179" formatCode="0.0%"/>
  </numFmts>
  <fonts count="63"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name val="Courier"/>
      <family val="3"/>
    </font>
    <font>
      <sz val="12"/>
      <color indexed="10"/>
      <name val="Courier"/>
      <family val="3"/>
    </font>
    <font>
      <i/>
      <sz val="12"/>
      <name val="Times New Roman"/>
      <family val="1"/>
    </font>
    <font>
      <b/>
      <sz val="14"/>
      <name val="Times New Roman"/>
      <family val="1"/>
    </font>
    <font>
      <sz val="12"/>
      <color indexed="8"/>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9"/>
      <name val="Courier"/>
      <family val="3"/>
    </font>
    <font>
      <sz val="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b/>
      <u/>
      <sz val="8"/>
      <name val="Times New Roman"/>
      <family val="1"/>
    </font>
    <font>
      <u/>
      <sz val="12"/>
      <color indexed="10"/>
      <name val="Times New Roman"/>
      <family val="1"/>
    </font>
    <font>
      <sz val="8"/>
      <color indexed="10"/>
      <name val="Times New Roman"/>
      <family val="1"/>
    </font>
    <font>
      <sz val="10"/>
      <name val="Courier"/>
      <family val="3"/>
    </font>
    <font>
      <sz val="10"/>
      <color indexed="10"/>
      <name val="Times New Roman"/>
      <family val="1"/>
    </font>
    <font>
      <sz val="11"/>
      <color theme="1"/>
      <name val="Calibri"/>
      <family val="2"/>
      <scheme val="minor"/>
    </font>
    <font>
      <u/>
      <sz val="12"/>
      <color rgb="FFFF0000"/>
      <name val="Times New Roman"/>
      <family val="1"/>
    </font>
    <font>
      <sz val="11"/>
      <color rgb="FF000000"/>
      <name val="Cambria"/>
      <family val="1"/>
    </font>
    <font>
      <b/>
      <sz val="11"/>
      <color theme="1"/>
      <name val="Cambria"/>
      <family val="1"/>
    </font>
    <font>
      <sz val="10"/>
      <color rgb="FFFF0000"/>
      <name val="Times New Roman"/>
      <family val="1"/>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name val="Arial"/>
    </font>
    <font>
      <sz val="12"/>
      <name val="Arial"/>
      <family val="2"/>
    </font>
    <font>
      <sz val="10"/>
      <name val="Arial"/>
      <family val="2"/>
    </font>
    <font>
      <b/>
      <sz val="10"/>
      <name val="Arial"/>
      <family val="2"/>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34"/>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double">
        <color indexed="0"/>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medium">
        <color indexed="64"/>
      </top>
      <bottom style="double">
        <color indexed="64"/>
      </bottom>
      <diagonal/>
    </border>
  </borders>
  <cellStyleXfs count="33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43" fontId="6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60" fillId="0" borderId="0"/>
    <xf numFmtId="0" fontId="59" fillId="0" borderId="0"/>
    <xf numFmtId="0" fontId="60" fillId="0" borderId="0"/>
    <xf numFmtId="166" fontId="60" fillId="0" borderId="0"/>
    <xf numFmtId="0" fontId="61" fillId="0" borderId="0"/>
    <xf numFmtId="0" fontId="61" fillId="0" borderId="0"/>
  </cellStyleXfs>
  <cellXfs count="985">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0" fontId="4" fillId="2" borderId="1" xfId="0" applyFont="1" applyFill="1" applyBorder="1" applyProtection="1">
      <protection locked="0"/>
    </xf>
    <xf numFmtId="37" fontId="4" fillId="0" borderId="0" xfId="0" applyNumberFormat="1" applyFont="1" applyProtection="1">
      <protection locked="0"/>
    </xf>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37" fontId="4" fillId="3" borderId="0" xfId="0" applyNumberFormat="1" applyFont="1" applyFill="1" applyAlignment="1" applyProtection="1">
      <alignment horizontal="left"/>
    </xf>
    <xf numFmtId="0" fontId="4" fillId="3" borderId="0" xfId="0" applyFont="1" applyFill="1" applyAlignment="1" applyProtection="1">
      <alignment horizontal="centerContinuous"/>
    </xf>
    <xf numFmtId="37" fontId="4" fillId="3" borderId="2" xfId="0" applyNumberFormat="1" applyFont="1" applyFill="1" applyBorder="1" applyAlignment="1" applyProtection="1">
      <alignment horizontal="left"/>
    </xf>
    <xf numFmtId="37" fontId="4" fillId="3" borderId="1" xfId="0" applyNumberFormat="1" applyFont="1" applyFill="1" applyBorder="1" applyProtection="1"/>
    <xf numFmtId="0" fontId="4" fillId="3" borderId="1" xfId="0" applyFont="1" applyFill="1" applyBorder="1" applyProtection="1"/>
    <xf numFmtId="37" fontId="4" fillId="3" borderId="0" xfId="0" applyNumberFormat="1" applyFont="1" applyFill="1" applyProtection="1"/>
    <xf numFmtId="0" fontId="3" fillId="3" borderId="0" xfId="322"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Continuous"/>
    </xf>
    <xf numFmtId="0" fontId="4" fillId="3" borderId="5" xfId="0" applyFont="1" applyFill="1" applyBorder="1" applyAlignment="1" applyProtection="1">
      <alignment horizontal="centerContinuous"/>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1" xfId="0" applyFont="1" applyFill="1" applyBorder="1" applyAlignment="1" applyProtection="1">
      <alignment horizontal="left"/>
    </xf>
    <xf numFmtId="2" fontId="4" fillId="3" borderId="1" xfId="0" applyNumberFormat="1" applyFont="1" applyFill="1" applyBorder="1" applyProtection="1"/>
    <xf numFmtId="3" fontId="4" fillId="3" borderId="1" xfId="0" applyNumberFormat="1" applyFont="1" applyFill="1" applyBorder="1" applyProtection="1"/>
    <xf numFmtId="0" fontId="3" fillId="3" borderId="1" xfId="0" applyFont="1" applyFill="1" applyBorder="1" applyAlignment="1" applyProtection="1">
      <alignment horizontal="left"/>
    </xf>
    <xf numFmtId="0" fontId="4" fillId="3" borderId="8" xfId="0" applyFont="1" applyFill="1" applyBorder="1" applyAlignment="1" applyProtection="1">
      <alignment horizontal="fill"/>
    </xf>
    <xf numFmtId="0" fontId="3" fillId="3" borderId="0" xfId="0" applyFont="1" applyFill="1" applyProtection="1"/>
    <xf numFmtId="0" fontId="4" fillId="4" borderId="0" xfId="0" applyFont="1" applyFill="1" applyAlignment="1" applyProtection="1">
      <alignment horizontal="left"/>
      <protection locked="0"/>
    </xf>
    <xf numFmtId="1" fontId="4" fillId="3" borderId="0" xfId="0" applyNumberFormat="1" applyFont="1" applyFill="1" applyBorder="1" applyAlignment="1" applyProtection="1">
      <alignment horizontal="right"/>
    </xf>
    <xf numFmtId="37" fontId="3" fillId="3" borderId="2" xfId="0" applyNumberFormat="1" applyFont="1" applyFill="1" applyBorder="1" applyAlignment="1" applyProtection="1">
      <alignment horizontal="left"/>
    </xf>
    <xf numFmtId="0" fontId="0" fillId="3" borderId="0" xfId="0" applyFill="1"/>
    <xf numFmtId="166" fontId="4" fillId="3" borderId="8" xfId="0" applyNumberFormat="1" applyFont="1" applyFill="1" applyBorder="1" applyProtection="1"/>
    <xf numFmtId="37" fontId="4" fillId="3" borderId="8" xfId="0" quotePrefix="1" applyNumberFormat="1" applyFont="1" applyFill="1" applyBorder="1" applyAlignment="1" applyProtection="1">
      <alignment horizontal="right"/>
    </xf>
    <xf numFmtId="1" fontId="4" fillId="3" borderId="9" xfId="0" applyNumberFormat="1" applyFont="1" applyFill="1" applyBorder="1" applyAlignment="1" applyProtection="1">
      <alignment horizontal="center"/>
    </xf>
    <xf numFmtId="0" fontId="4" fillId="0" borderId="0" xfId="0" applyFont="1" applyAlignment="1" applyProtection="1">
      <alignment horizontal="left"/>
      <protection locked="0"/>
    </xf>
    <xf numFmtId="0" fontId="3" fillId="3" borderId="1" xfId="0" applyFont="1" applyFill="1" applyBorder="1" applyAlignment="1" applyProtection="1">
      <alignment horizontal="center"/>
    </xf>
    <xf numFmtId="3" fontId="4" fillId="3" borderId="1" xfId="0" applyNumberFormat="1" applyFont="1" applyFill="1" applyBorder="1" applyAlignment="1" applyProtection="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9" fontId="4" fillId="2" borderId="1" xfId="0" applyNumberFormat="1" applyFont="1" applyFill="1" applyBorder="1" applyAlignment="1" applyProtection="1">
      <alignment horizontal="center"/>
      <protection locked="0"/>
    </xf>
    <xf numFmtId="168" fontId="3" fillId="3" borderId="1" xfId="0" applyNumberFormat="1" applyFont="1" applyFill="1" applyBorder="1" applyAlignment="1" applyProtection="1">
      <alignment horizontal="center"/>
    </xf>
    <xf numFmtId="2" fontId="3" fillId="3" borderId="1" xfId="0" applyNumberFormat="1" applyFont="1" applyFill="1" applyBorder="1" applyAlignment="1" applyProtection="1">
      <alignment horizontal="center"/>
    </xf>
    <xf numFmtId="3" fontId="3" fillId="3" borderId="1" xfId="0" applyNumberFormat="1" applyFont="1" applyFill="1" applyBorder="1" applyAlignment="1" applyProtection="1">
      <alignment horizontal="center"/>
    </xf>
    <xf numFmtId="169" fontId="3" fillId="3" borderId="1" xfId="0" applyNumberFormat="1" applyFont="1" applyFill="1" applyBorder="1" applyAlignment="1" applyProtection="1">
      <alignment horizontal="center"/>
    </xf>
    <xf numFmtId="168" fontId="4" fillId="3" borderId="1" xfId="0" applyNumberFormat="1" applyFont="1" applyFill="1" applyBorder="1" applyAlignment="1" applyProtection="1">
      <alignment horizontal="center"/>
    </xf>
    <xf numFmtId="2" fontId="4" fillId="3" borderId="1" xfId="0" applyNumberFormat="1" applyFont="1" applyFill="1" applyBorder="1" applyAlignment="1" applyProtection="1">
      <alignment horizontal="center"/>
    </xf>
    <xf numFmtId="169" fontId="4" fillId="3" borderId="1" xfId="0" applyNumberFormat="1" applyFont="1" applyFill="1" applyBorder="1" applyAlignment="1" applyProtection="1">
      <alignment horizontal="center"/>
    </xf>
    <xf numFmtId="1" fontId="3" fillId="3" borderId="1" xfId="0"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4" fillId="5" borderId="1" xfId="0" applyNumberFormat="1" applyFont="1" applyFill="1" applyBorder="1" applyProtection="1"/>
    <xf numFmtId="3" fontId="3" fillId="5" borderId="1" xfId="0" applyNumberFormat="1" applyFont="1" applyFill="1" applyBorder="1" applyProtection="1"/>
    <xf numFmtId="37" fontId="3" fillId="5" borderId="1" xfId="0" applyNumberFormat="1" applyFont="1" applyFill="1" applyBorder="1" applyAlignment="1" applyProtection="1">
      <alignment horizontal="center"/>
    </xf>
    <xf numFmtId="3" fontId="3" fillId="5" borderId="1" xfId="0" applyNumberFormat="1" applyFont="1" applyFill="1" applyBorder="1" applyAlignment="1" applyProtection="1">
      <alignment horizontal="center"/>
    </xf>
    <xf numFmtId="0" fontId="4" fillId="2" borderId="2" xfId="0" applyFont="1" applyFill="1" applyBorder="1" applyProtection="1">
      <protection locked="0"/>
    </xf>
    <xf numFmtId="0" fontId="4" fillId="4" borderId="2" xfId="0" applyFont="1" applyFill="1" applyBorder="1" applyProtection="1">
      <protection locked="0"/>
    </xf>
    <xf numFmtId="37" fontId="4" fillId="2" borderId="2" xfId="0" applyNumberFormat="1" applyFont="1" applyFill="1" applyBorder="1" applyAlignment="1" applyProtection="1">
      <alignment horizontal="left"/>
      <protection locked="0"/>
    </xf>
    <xf numFmtId="37" fontId="4" fillId="3" borderId="9" xfId="0" applyNumberFormat="1" applyFont="1" applyFill="1" applyBorder="1" applyAlignment="1" applyProtection="1">
      <alignment horizontal="left"/>
    </xf>
    <xf numFmtId="3" fontId="4" fillId="2" borderId="10" xfId="0" applyNumberFormat="1" applyFont="1" applyFill="1" applyBorder="1" applyProtection="1">
      <protection locked="0"/>
    </xf>
    <xf numFmtId="0" fontId="4" fillId="3" borderId="2" xfId="0" applyFont="1" applyFill="1" applyBorder="1" applyProtection="1"/>
    <xf numFmtId="3" fontId="15" fillId="6" borderId="4" xfId="0" applyNumberFormat="1" applyFont="1" applyFill="1" applyBorder="1" applyAlignment="1" applyProtection="1">
      <alignment horizontal="center"/>
    </xf>
    <xf numFmtId="0" fontId="5" fillId="0" borderId="0" xfId="0" applyFont="1"/>
    <xf numFmtId="0" fontId="4" fillId="3" borderId="3" xfId="0" applyFont="1" applyFill="1" applyBorder="1" applyAlignment="1" applyProtection="1">
      <alignment horizontal="center" shrinkToFit="1"/>
    </xf>
    <xf numFmtId="0" fontId="4" fillId="3" borderId="6" xfId="0" applyFont="1" applyFill="1" applyBorder="1" applyAlignment="1" applyProtection="1">
      <alignment horizontal="center" shrinkToFi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8"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12" fillId="3" borderId="0" xfId="0" applyNumberFormat="1" applyFont="1" applyFill="1" applyAlignment="1" applyProtection="1">
      <alignment horizontal="left" vertical="center"/>
    </xf>
    <xf numFmtId="0" fontId="0" fillId="3" borderId="0" xfId="0" applyFill="1" applyAlignment="1">
      <alignment horizontal="left" vertical="center"/>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vertical="center"/>
    </xf>
    <xf numFmtId="37" fontId="4" fillId="4" borderId="11" xfId="0" applyNumberFormat="1" applyFont="1" applyFill="1" applyBorder="1" applyAlignment="1" applyProtection="1">
      <alignment horizontal="left" vertical="center"/>
      <protection locked="0"/>
    </xf>
    <xf numFmtId="0" fontId="4" fillId="4" borderId="11" xfId="0" applyFont="1" applyFill="1" applyBorder="1" applyAlignment="1" applyProtection="1">
      <alignment vertical="center"/>
    </xf>
    <xf numFmtId="0" fontId="12" fillId="3" borderId="0" xfId="0" applyFont="1" applyFill="1" applyAlignment="1" applyProtection="1">
      <alignment vertical="center"/>
    </xf>
    <xf numFmtId="37" fontId="4" fillId="3" borderId="0" xfId="0" applyNumberFormat="1" applyFont="1" applyFill="1" applyBorder="1" applyAlignment="1" applyProtection="1">
      <alignment horizontal="left" vertical="center"/>
      <protection locked="0"/>
    </xf>
    <xf numFmtId="37" fontId="4" fillId="3" borderId="0" xfId="0" applyNumberFormat="1" applyFont="1" applyFill="1" applyAlignment="1" applyProtection="1">
      <alignment horizontal="left" vertical="center"/>
    </xf>
    <xf numFmtId="0" fontId="3" fillId="4"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9" borderId="0" xfId="0" applyFont="1" applyFill="1" applyAlignment="1" applyProtection="1">
      <alignment vertical="center"/>
    </xf>
    <xf numFmtId="0" fontId="4" fillId="9" borderId="0" xfId="0" applyFont="1" applyFill="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0" fontId="4" fillId="3" borderId="8" xfId="0" applyFont="1" applyFill="1" applyBorder="1" applyAlignment="1" applyProtection="1">
      <alignment vertical="center"/>
    </xf>
    <xf numFmtId="0" fontId="4" fillId="7" borderId="3" xfId="0" applyNumberFormat="1" applyFont="1" applyFill="1" applyBorder="1" applyAlignment="1" applyProtection="1">
      <alignment horizontal="center" vertical="center"/>
    </xf>
    <xf numFmtId="0" fontId="4" fillId="7" borderId="4" xfId="0" applyNumberFormat="1"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37" fontId="4" fillId="7"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vertical="center"/>
    </xf>
    <xf numFmtId="37" fontId="4" fillId="5" borderId="1"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4" fillId="4"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8" xfId="0" applyNumberFormat="1" applyFont="1" applyFill="1" applyBorder="1" applyAlignment="1" applyProtection="1">
      <alignment vertical="center"/>
      <protection locked="0"/>
    </xf>
    <xf numFmtId="3" fontId="4" fillId="5" borderId="1" xfId="0" applyNumberFormat="1" applyFont="1" applyFill="1" applyBorder="1" applyAlignment="1" applyProtection="1">
      <alignment vertical="center"/>
    </xf>
    <xf numFmtId="164" fontId="4" fillId="3" borderId="0"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9" borderId="0" xfId="0" applyNumberFormat="1" applyFont="1" applyFill="1" applyAlignment="1" applyProtection="1">
      <alignment horizontal="center" vertical="center"/>
    </xf>
    <xf numFmtId="0" fontId="4" fillId="9" borderId="8" xfId="0" applyFont="1" applyFill="1" applyBorder="1" applyAlignment="1">
      <alignment horizontal="center" vertical="center"/>
    </xf>
    <xf numFmtId="37" fontId="4" fillId="3" borderId="1" xfId="0" applyNumberFormat="1" applyFont="1" applyFill="1" applyBorder="1" applyAlignment="1" applyProtection="1">
      <alignment vertical="center"/>
    </xf>
    <xf numFmtId="0" fontId="4" fillId="3" borderId="12" xfId="0" applyFont="1" applyFill="1" applyBorder="1" applyAlignment="1" applyProtection="1">
      <alignment vertical="center"/>
    </xf>
    <xf numFmtId="164" fontId="4" fillId="5" borderId="1" xfId="0" applyNumberFormat="1" applyFont="1" applyFill="1" applyBorder="1" applyAlignment="1" applyProtection="1">
      <alignment vertical="center"/>
    </xf>
    <xf numFmtId="37" fontId="4" fillId="7" borderId="8" xfId="0" applyNumberFormat="1" applyFont="1" applyFill="1" applyBorder="1" applyAlignment="1" applyProtection="1">
      <alignment horizontal="left" vertical="center"/>
    </xf>
    <xf numFmtId="0" fontId="4" fillId="7" borderId="8" xfId="0" applyFont="1" applyFill="1" applyBorder="1" applyAlignment="1" applyProtection="1">
      <alignment vertical="center"/>
    </xf>
    <xf numFmtId="37" fontId="4" fillId="7" borderId="11" xfId="0" applyNumberFormat="1" applyFont="1" applyFill="1" applyBorder="1" applyAlignment="1" applyProtection="1">
      <alignment horizontal="left" vertical="center"/>
    </xf>
    <xf numFmtId="0" fontId="4" fillId="7" borderId="11"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0" xfId="0" applyFont="1" applyFill="1" applyBorder="1" applyAlignment="1" applyProtection="1">
      <alignment vertical="center"/>
    </xf>
    <xf numFmtId="37" fontId="12" fillId="9"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center" vertical="center"/>
      <protection locked="0"/>
    </xf>
    <xf numFmtId="0" fontId="4" fillId="9" borderId="8" xfId="0" applyFont="1" applyFill="1" applyBorder="1" applyAlignment="1" applyProtection="1">
      <alignment vertical="center"/>
    </xf>
    <xf numFmtId="0" fontId="4" fillId="3" borderId="12" xfId="0" applyFont="1" applyFill="1" applyBorder="1" applyAlignment="1" applyProtection="1">
      <alignment vertical="center"/>
      <protection locked="0"/>
    </xf>
    <xf numFmtId="0" fontId="4" fillId="9" borderId="11" xfId="0" applyFont="1" applyFill="1" applyBorder="1" applyAlignment="1" applyProtection="1">
      <alignment vertical="center"/>
    </xf>
    <xf numFmtId="0" fontId="4" fillId="3" borderId="10"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4" fillId="3" borderId="0" xfId="0" applyFont="1" applyFill="1" applyAlignment="1">
      <alignment vertical="center"/>
    </xf>
    <xf numFmtId="37" fontId="4" fillId="3" borderId="12"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horizontal="left" vertical="center"/>
    </xf>
    <xf numFmtId="3" fontId="4" fillId="4" borderId="11"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center" vertical="center" wrapText="1"/>
    </xf>
    <xf numFmtId="37" fontId="4" fillId="4" borderId="1" xfId="0" applyNumberFormat="1" applyFont="1" applyFill="1" applyBorder="1" applyAlignment="1" applyProtection="1">
      <alignment horizontal="right" vertical="center" wrapText="1"/>
      <protection locked="0"/>
    </xf>
    <xf numFmtId="37" fontId="4" fillId="5" borderId="1" xfId="0" applyNumberFormat="1" applyFont="1" applyFill="1" applyBorder="1" applyAlignment="1" applyProtection="1">
      <alignment horizontal="right" vertical="center" wrapText="1"/>
    </xf>
    <xf numFmtId="37" fontId="4" fillId="3" borderId="0"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170" fontId="4" fillId="4" borderId="8" xfId="0" applyNumberFormat="1" applyFont="1" applyFill="1" applyBorder="1" applyAlignment="1" applyProtection="1">
      <alignment vertical="center"/>
      <protection locked="0"/>
    </xf>
    <xf numFmtId="170" fontId="4" fillId="4" borderId="11" xfId="0" applyNumberFormat="1" applyFont="1" applyFill="1" applyBorder="1" applyAlignment="1" applyProtection="1">
      <alignment vertical="center"/>
      <protection locked="0"/>
    </xf>
    <xf numFmtId="0" fontId="4" fillId="3" borderId="13" xfId="0" applyFont="1" applyFill="1" applyBorder="1" applyAlignment="1" applyProtection="1">
      <alignment vertical="center"/>
    </xf>
    <xf numFmtId="170" fontId="4" fillId="4" borderId="13" xfId="0" applyNumberFormat="1" applyFont="1" applyFill="1" applyBorder="1" applyAlignment="1" applyProtection="1">
      <alignment vertical="center"/>
      <protection locked="0"/>
    </xf>
    <xf numFmtId="0" fontId="0" fillId="3" borderId="0" xfId="0" applyFill="1" applyAlignment="1" applyProtection="1">
      <alignment vertical="center"/>
    </xf>
    <xf numFmtId="3" fontId="0" fillId="3" borderId="0" xfId="0" applyNumberFormat="1" applyFill="1" applyBorder="1" applyAlignment="1" applyProtection="1">
      <alignment vertical="center"/>
      <protection locked="0"/>
    </xf>
    <xf numFmtId="3" fontId="4" fillId="9" borderId="0" xfId="0" applyNumberFormat="1" applyFont="1" applyFill="1" applyAlignment="1" applyProtection="1">
      <alignment vertical="center"/>
    </xf>
    <xf numFmtId="3" fontId="4" fillId="7"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0" fontId="4" fillId="3" borderId="4" xfId="0" applyFont="1" applyFill="1" applyBorder="1" applyAlignment="1" applyProtection="1">
      <alignment vertical="center"/>
    </xf>
    <xf numFmtId="37" fontId="4" fillId="3" borderId="2" xfId="0" applyNumberFormat="1" applyFont="1" applyFill="1" applyBorder="1" applyAlignment="1">
      <alignment horizontal="left" vertical="center"/>
    </xf>
    <xf numFmtId="37" fontId="4" fillId="3" borderId="2" xfId="0" applyNumberFormat="1" applyFont="1" applyFill="1" applyBorder="1" applyAlignment="1" applyProtection="1">
      <alignment horizontal="left" vertical="center"/>
    </xf>
    <xf numFmtId="3" fontId="4" fillId="4" borderId="10"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3" fontId="4" fillId="3" borderId="1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lignment horizontal="center" vertical="center"/>
    </xf>
    <xf numFmtId="37" fontId="4" fillId="8" borderId="0" xfId="0" applyNumberFormat="1" applyFont="1" applyFill="1" applyBorder="1" applyAlignment="1" applyProtection="1">
      <alignment horizontal="left" vertical="center"/>
    </xf>
    <xf numFmtId="0" fontId="4" fillId="8" borderId="0" xfId="0" applyFont="1" applyFill="1" applyAlignment="1" applyProtection="1">
      <alignment vertical="center"/>
    </xf>
    <xf numFmtId="0" fontId="0" fillId="8" borderId="0" xfId="0" applyFill="1" applyAlignment="1">
      <alignment vertical="center"/>
    </xf>
    <xf numFmtId="0" fontId="3" fillId="9" borderId="14" xfId="0" applyFont="1" applyFill="1" applyBorder="1" applyAlignment="1">
      <alignment vertical="center"/>
    </xf>
    <xf numFmtId="0" fontId="1" fillId="9" borderId="14" xfId="0" applyFont="1" applyFill="1" applyBorder="1" applyAlignment="1">
      <alignment vertical="center"/>
    </xf>
    <xf numFmtId="0" fontId="0" fillId="9" borderId="14" xfId="0" applyFill="1" applyBorder="1" applyAlignment="1" applyProtection="1">
      <alignment vertical="center"/>
      <protection locked="0"/>
    </xf>
    <xf numFmtId="0" fontId="0" fillId="10" borderId="14"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3" fontId="4" fillId="4" borderId="7" xfId="0" applyNumberFormat="1" applyFont="1" applyFill="1" applyBorder="1" applyAlignment="1" applyProtection="1">
      <alignment vertical="center"/>
      <protection locked="0"/>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10" xfId="0" applyFill="1" applyBorder="1" applyAlignment="1">
      <alignment vertical="center"/>
    </xf>
    <xf numFmtId="0" fontId="4" fillId="7" borderId="3" xfId="0" applyFont="1" applyFill="1" applyBorder="1" applyAlignment="1">
      <alignment horizontal="center" vertical="center"/>
    </xf>
    <xf numFmtId="0" fontId="4" fillId="7" borderId="6" xfId="0" applyFont="1" applyFill="1" applyBorder="1" applyAlignment="1">
      <alignment horizontal="center" vertical="center"/>
    </xf>
    <xf numFmtId="0" fontId="15" fillId="3" borderId="0" xfId="0" applyFont="1" applyFill="1" applyAlignment="1">
      <alignment vertical="center"/>
    </xf>
    <xf numFmtId="0" fontId="19" fillId="3" borderId="0" xfId="0" applyFont="1" applyFill="1" applyAlignment="1">
      <alignment vertical="center"/>
    </xf>
    <xf numFmtId="0" fontId="4" fillId="7" borderId="7" xfId="0" applyFont="1" applyFill="1" applyBorder="1" applyAlignment="1">
      <alignment horizontal="center" vertical="center"/>
    </xf>
    <xf numFmtId="0" fontId="15" fillId="0" borderId="0" xfId="0" applyFont="1" applyFill="1" applyAlignment="1">
      <alignment vertical="center"/>
    </xf>
    <xf numFmtId="37" fontId="4" fillId="3" borderId="7" xfId="0" applyNumberFormat="1" applyFont="1" applyFill="1" applyBorder="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Continuous" vertical="center"/>
    </xf>
    <xf numFmtId="37" fontId="4" fillId="3" borderId="2" xfId="0" applyNumberFormat="1" applyFont="1" applyFill="1" applyBorder="1" applyAlignment="1" applyProtection="1">
      <alignment horizontal="centerContinuous" vertical="center"/>
    </xf>
    <xf numFmtId="0" fontId="4" fillId="3" borderId="11" xfId="0" applyFont="1" applyFill="1" applyBorder="1" applyAlignment="1" applyProtection="1">
      <alignment horizontal="centerContinuous" vertical="center"/>
    </xf>
    <xf numFmtId="0" fontId="4" fillId="3" borderId="10" xfId="0" applyFont="1" applyFill="1" applyBorder="1" applyAlignment="1" applyProtection="1">
      <alignment horizontal="centerContinuous" vertical="center"/>
    </xf>
    <xf numFmtId="37" fontId="4" fillId="3" borderId="8"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center" vertical="center"/>
    </xf>
    <xf numFmtId="0" fontId="4" fillId="3" borderId="6" xfId="0" applyFont="1" applyFill="1" applyBorder="1" applyAlignment="1">
      <alignment horizontal="center" vertical="center"/>
    </xf>
    <xf numFmtId="37" fontId="3" fillId="3" borderId="8"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center" vertical="center"/>
    </xf>
    <xf numFmtId="0" fontId="4" fillId="3" borderId="7" xfId="0" applyFont="1" applyFill="1" applyBorder="1" applyAlignment="1">
      <alignment horizontal="center"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6" xfId="0" applyFont="1" applyFill="1" applyBorder="1" applyAlignment="1" applyProtection="1">
      <alignment vertical="center"/>
    </xf>
    <xf numFmtId="37" fontId="12" fillId="3" borderId="2" xfId="0" applyNumberFormat="1" applyFont="1" applyFill="1" applyBorder="1" applyAlignment="1" applyProtection="1">
      <alignment horizontal="left" vertical="center"/>
    </xf>
    <xf numFmtId="37" fontId="12" fillId="3" borderId="10"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vertical="center"/>
    </xf>
    <xf numFmtId="37" fontId="4" fillId="5" borderId="1" xfId="0" applyNumberFormat="1" applyFont="1" applyFill="1" applyBorder="1" applyAlignment="1" applyProtection="1">
      <alignment horizontal="center" vertical="center"/>
    </xf>
    <xf numFmtId="37" fontId="4" fillId="3" borderId="2" xfId="0" applyNumberFormat="1" applyFont="1" applyFill="1" applyBorder="1" applyAlignment="1" applyProtection="1">
      <alignment vertical="center"/>
    </xf>
    <xf numFmtId="0" fontId="4" fillId="3" borderId="10" xfId="0" applyFont="1" applyFill="1" applyBorder="1" applyAlignment="1" applyProtection="1">
      <alignment horizontal="center" vertical="center"/>
    </xf>
    <xf numFmtId="37" fontId="4" fillId="3" borderId="10"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7" fontId="4" fillId="11" borderId="1" xfId="0" applyNumberFormat="1" applyFont="1" applyFill="1" applyBorder="1" applyAlignment="1" applyProtection="1">
      <alignment horizontal="left" vertical="center"/>
    </xf>
    <xf numFmtId="0" fontId="4" fillId="11" borderId="1" xfId="0" applyFont="1" applyFill="1" applyBorder="1" applyAlignment="1" applyProtection="1">
      <alignment vertical="center"/>
    </xf>
    <xf numFmtId="37" fontId="4" fillId="11"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37" fontId="4" fillId="3" borderId="0" xfId="0" applyNumberFormat="1" applyFont="1" applyFill="1" applyAlignment="1" applyProtection="1">
      <alignment horizontal="right" vertical="center"/>
    </xf>
    <xf numFmtId="0" fontId="4" fillId="4" borderId="8"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8" xfId="0" applyNumberFormat="1" applyFont="1" applyFill="1" applyBorder="1" applyAlignment="1">
      <alignment vertical="center"/>
    </xf>
    <xf numFmtId="3" fontId="4" fillId="3" borderId="11"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11" xfId="0" applyNumberFormat="1" applyFont="1" applyFill="1" applyBorder="1" applyAlignment="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11" xfId="0" applyNumberFormat="1" applyFont="1" applyFill="1" applyBorder="1" applyAlignment="1" applyProtection="1">
      <alignment vertical="center"/>
    </xf>
    <xf numFmtId="3" fontId="4" fillId="3" borderId="13" xfId="0" applyNumberFormat="1" applyFont="1" applyFill="1" applyBorder="1" applyAlignment="1">
      <alignment vertical="center"/>
    </xf>
    <xf numFmtId="0" fontId="4" fillId="3" borderId="13" xfId="0" applyFont="1" applyFill="1" applyBorder="1" applyAlignment="1">
      <alignment vertical="center"/>
    </xf>
    <xf numFmtId="0" fontId="4" fillId="3" borderId="0" xfId="0" applyFont="1" applyFill="1" applyBorder="1" applyAlignment="1">
      <alignment vertical="center"/>
    </xf>
    <xf numFmtId="167" fontId="4" fillId="3" borderId="8"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6" xfId="0" applyNumberFormat="1" applyFont="1" applyFill="1" applyBorder="1" applyAlignment="1">
      <alignment vertical="center"/>
    </xf>
    <xf numFmtId="3" fontId="4" fillId="3" borderId="8"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8"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3" fontId="4" fillId="5" borderId="17"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8"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5" fontId="4" fillId="5" borderId="8"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1" fontId="4" fillId="3" borderId="7" xfId="0" applyNumberFormat="1" applyFont="1" applyFill="1" applyBorder="1" applyAlignment="1" applyProtection="1">
      <alignment horizontal="center" vertical="center"/>
    </xf>
    <xf numFmtId="0" fontId="4" fillId="4" borderId="7" xfId="0" applyFont="1" applyFill="1" applyBorder="1" applyAlignment="1" applyProtection="1">
      <alignment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xf>
    <xf numFmtId="3" fontId="4" fillId="5"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3" borderId="0" xfId="0" applyNumberFormat="1" applyFont="1" applyFill="1" applyAlignment="1" applyProtection="1">
      <alignment horizontal="right" vertical="center"/>
    </xf>
    <xf numFmtId="0" fontId="3" fillId="3" borderId="0" xfId="322" applyFont="1" applyFill="1" applyAlignment="1" applyProtection="1">
      <alignment horizontal="centerContinuous" vertical="center"/>
    </xf>
    <xf numFmtId="0" fontId="4" fillId="3" borderId="8" xfId="0" applyFont="1" applyFill="1" applyBorder="1" applyAlignment="1" applyProtection="1">
      <alignment horizontal="fill" vertical="center"/>
    </xf>
    <xf numFmtId="0" fontId="4"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4" fontId="4" fillId="3" borderId="7" xfId="0" quotePrefix="1"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5" borderId="17" xfId="0" applyNumberFormat="1" applyFont="1" applyFill="1" applyBorder="1" applyAlignment="1" applyProtection="1">
      <alignment horizontal="center" vertical="center"/>
    </xf>
    <xf numFmtId="0" fontId="4" fillId="8" borderId="0" xfId="321" applyFont="1" applyFill="1" applyAlignment="1" applyProtection="1">
      <alignment vertical="center"/>
    </xf>
    <xf numFmtId="0" fontId="4" fillId="0" borderId="0" xfId="0" applyFont="1" applyAlignment="1">
      <alignment horizontal="centerContinuous" vertical="center"/>
    </xf>
    <xf numFmtId="37" fontId="4" fillId="3" borderId="0" xfId="0" applyNumberFormat="1" applyFont="1" applyFill="1" applyBorder="1" applyAlignment="1" applyProtection="1">
      <alignment horizontal="fill" vertical="center"/>
    </xf>
    <xf numFmtId="1" fontId="4" fillId="3" borderId="2" xfId="0" applyNumberFormat="1" applyFont="1" applyFill="1" applyBorder="1" applyAlignment="1" applyProtection="1">
      <alignment horizontal="centerContinuous" vertical="center"/>
    </xf>
    <xf numFmtId="1" fontId="4" fillId="3" borderId="3"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8" xfId="0" applyNumberFormat="1" applyFont="1" applyFill="1" applyBorder="1" applyAlignment="1" applyProtection="1">
      <alignment horizontal="center" vertical="center"/>
    </xf>
    <xf numFmtId="0" fontId="4" fillId="4" borderId="0" xfId="0" applyFont="1" applyFill="1" applyAlignment="1" applyProtection="1">
      <alignment horizontal="left" vertical="center"/>
      <protection locked="0"/>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 fontId="4" fillId="4" borderId="3"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xf>
    <xf numFmtId="172" fontId="4" fillId="3" borderId="17" xfId="0" applyNumberFormat="1" applyFont="1" applyFill="1" applyBorder="1" applyAlignment="1" applyProtection="1">
      <alignment horizontal="center" vertical="center"/>
    </xf>
    <xf numFmtId="172" fontId="4" fillId="3" borderId="8"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8" xfId="0" applyNumberFormat="1" applyFont="1" applyFill="1" applyBorder="1" applyAlignment="1">
      <alignment horizontal="center" vertical="center"/>
    </xf>
    <xf numFmtId="0" fontId="0" fillId="3" borderId="0" xfId="0" applyFill="1" applyAlignment="1">
      <alignment horizontal="center" vertical="center"/>
    </xf>
    <xf numFmtId="172" fontId="4" fillId="3" borderId="8" xfId="0" applyNumberFormat="1" applyFont="1" applyFill="1" applyBorder="1" applyAlignment="1">
      <alignment horizontal="center" vertical="center"/>
    </xf>
    <xf numFmtId="170" fontId="4" fillId="3"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3" borderId="0" xfId="0" applyFont="1" applyFill="1" applyAlignment="1">
      <alignment horizontal="center" vertical="center"/>
    </xf>
    <xf numFmtId="0" fontId="4" fillId="3" borderId="10" xfId="0" applyFont="1" applyFill="1" applyBorder="1" applyAlignment="1">
      <alignment horizontal="center" vertical="center"/>
    </xf>
    <xf numFmtId="0" fontId="11" fillId="3" borderId="3" xfId="0" applyFont="1" applyFill="1" applyBorder="1" applyAlignment="1">
      <alignment vertical="center"/>
    </xf>
    <xf numFmtId="0" fontId="11" fillId="3" borderId="10" xfId="0" applyFont="1" applyFill="1" applyBorder="1" applyAlignment="1">
      <alignment horizontal="center" vertical="center"/>
    </xf>
    <xf numFmtId="0" fontId="11" fillId="3" borderId="4" xfId="0" applyFont="1" applyFill="1" applyBorder="1" applyAlignment="1">
      <alignment vertical="center"/>
    </xf>
    <xf numFmtId="0" fontId="11" fillId="3" borderId="1" xfId="0" applyFont="1" applyFill="1" applyBorder="1" applyAlignment="1">
      <alignment horizontal="center" vertical="center"/>
    </xf>
    <xf numFmtId="0" fontId="4" fillId="3" borderId="10" xfId="0" applyFont="1" applyFill="1" applyBorder="1" applyAlignment="1">
      <alignment vertical="center"/>
    </xf>
    <xf numFmtId="0" fontId="4" fillId="3" borderId="1" xfId="0" applyFont="1" applyFill="1" applyBorder="1" applyAlignment="1">
      <alignment horizontal="center" vertical="center"/>
    </xf>
    <xf numFmtId="0" fontId="11" fillId="3" borderId="9" xfId="0" applyFont="1" applyFill="1" applyBorder="1" applyAlignment="1">
      <alignment vertical="center"/>
    </xf>
    <xf numFmtId="3" fontId="11" fillId="4" borderId="1" xfId="0" applyNumberFormat="1" applyFont="1" applyFill="1" applyBorder="1" applyAlignment="1" applyProtection="1">
      <alignment horizontal="center" vertical="center"/>
      <protection locked="0"/>
    </xf>
    <xf numFmtId="0" fontId="11" fillId="3" borderId="8" xfId="0" applyFont="1" applyFill="1" applyBorder="1" applyAlignment="1">
      <alignment vertical="center"/>
    </xf>
    <xf numFmtId="3" fontId="11" fillId="5"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4" borderId="1" xfId="0" applyFont="1" applyFill="1" applyBorder="1" applyAlignment="1" applyProtection="1">
      <alignment vertical="center"/>
      <protection locked="0"/>
    </xf>
    <xf numFmtId="3" fontId="11" fillId="4" borderId="4" xfId="0" applyNumberFormat="1"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3" fontId="17" fillId="11" borderId="1" xfId="0" applyNumberFormat="1" applyFont="1" applyFill="1" applyBorder="1" applyAlignment="1">
      <alignment horizontal="center" vertical="center"/>
    </xf>
    <xf numFmtId="3" fontId="27" fillId="11" borderId="0" xfId="0" applyNumberFormat="1" applyFont="1" applyFill="1" applyAlignment="1">
      <alignment horizontal="center" vertical="center"/>
    </xf>
    <xf numFmtId="3" fontId="4" fillId="0" borderId="0" xfId="0" applyNumberFormat="1" applyFont="1" applyAlignment="1">
      <alignment vertical="center"/>
    </xf>
    <xf numFmtId="0" fontId="4" fillId="5" borderId="0" xfId="0" applyFont="1" applyFill="1" applyAlignment="1">
      <alignment vertical="center"/>
    </xf>
    <xf numFmtId="1" fontId="4" fillId="3"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166" fontId="4" fillId="3" borderId="8" xfId="0" applyNumberFormat="1" applyFont="1" applyFill="1" applyBorder="1" applyAlignment="1" applyProtection="1">
      <alignment vertical="center"/>
    </xf>
    <xf numFmtId="37" fontId="4" fillId="3" borderId="8" xfId="0" quotePrefix="1" applyNumberFormat="1" applyFont="1" applyFill="1" applyBorder="1" applyAlignment="1" applyProtection="1">
      <alignment horizontal="right" vertical="center"/>
    </xf>
    <xf numFmtId="3" fontId="4" fillId="2" borderId="10" xfId="0" applyNumberFormat="1" applyFont="1" applyFill="1" applyBorder="1" applyAlignment="1" applyProtection="1">
      <alignment vertical="center"/>
      <protection locked="0"/>
    </xf>
    <xf numFmtId="3" fontId="4" fillId="3" borderId="1" xfId="0" applyNumberFormat="1" applyFont="1" applyFill="1" applyBorder="1" applyAlignment="1" applyProtection="1">
      <alignment vertical="center"/>
    </xf>
    <xf numFmtId="37" fontId="4" fillId="3" borderId="9" xfId="0" applyNumberFormat="1" applyFont="1" applyFill="1" applyBorder="1" applyAlignment="1" applyProtection="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0" fontId="4" fillId="3" borderId="2" xfId="0" applyFont="1" applyFill="1" applyBorder="1" applyAlignment="1" applyProtection="1">
      <alignment vertical="center"/>
    </xf>
    <xf numFmtId="3" fontId="15" fillId="6"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37" fontId="3" fillId="5" borderId="1" xfId="0" applyNumberFormat="1" applyFont="1" applyFill="1" applyBorder="1" applyAlignment="1" applyProtection="1">
      <alignment vertical="center"/>
    </xf>
    <xf numFmtId="3" fontId="3" fillId="5" borderId="1"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protection locked="0"/>
    </xf>
    <xf numFmtId="3" fontId="4" fillId="3" borderId="8" xfId="0" applyNumberFormat="1" applyFont="1" applyFill="1" applyBorder="1" applyAlignment="1" applyProtection="1">
      <alignment horizontal="fill" vertical="center"/>
    </xf>
    <xf numFmtId="3" fontId="4" fillId="3" borderId="1" xfId="0" applyNumberFormat="1"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1" fontId="4" fillId="3" borderId="0" xfId="0" applyNumberFormat="1" applyFont="1" applyFill="1" applyAlignment="1" applyProtection="1">
      <alignment horizontal="right" vertical="center"/>
    </xf>
    <xf numFmtId="3" fontId="4" fillId="3" borderId="1" xfId="0" applyNumberFormat="1" applyFont="1" applyFill="1" applyBorder="1" applyAlignment="1" applyProtection="1">
      <alignment horizontal="fill" vertical="center"/>
    </xf>
    <xf numFmtId="0" fontId="15" fillId="0" borderId="0" xfId="0" applyFont="1" applyAlignment="1" applyProtection="1">
      <alignment vertical="center"/>
    </xf>
    <xf numFmtId="3" fontId="4" fillId="0" borderId="0" xfId="0" applyNumberFormat="1" applyFont="1" applyAlignment="1" applyProtection="1">
      <alignment horizontal="fill" vertical="center"/>
      <protection locked="0"/>
    </xf>
    <xf numFmtId="37" fontId="3" fillId="5" borderId="2" xfId="0" applyNumberFormat="1" applyFont="1" applyFill="1" applyBorder="1" applyAlignment="1" applyProtection="1">
      <alignment horizontal="left" vertical="center"/>
    </xf>
    <xf numFmtId="3" fontId="4" fillId="11" borderId="17" xfId="0" applyNumberFormat="1" applyFont="1" applyFill="1" applyBorder="1" applyAlignment="1" applyProtection="1">
      <alignment vertical="center"/>
    </xf>
    <xf numFmtId="37" fontId="4" fillId="3" borderId="0" xfId="0" quotePrefix="1" applyNumberFormat="1" applyFont="1" applyFill="1" applyAlignment="1" applyProtection="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left" vertical="center"/>
      <protection locked="0"/>
    </xf>
    <xf numFmtId="0" fontId="4" fillId="2" borderId="5" xfId="0" applyNumberFormat="1" applyFont="1" applyFill="1" applyBorder="1" applyAlignment="1" applyProtection="1">
      <alignment horizontal="left" vertical="center"/>
      <protection locked="0"/>
    </xf>
    <xf numFmtId="3" fontId="15" fillId="6" borderId="1"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0" fontId="4" fillId="3" borderId="0" xfId="0" applyFont="1" applyFill="1" applyBorder="1" applyAlignment="1" applyProtection="1">
      <alignment horizontal="fill" vertical="center"/>
    </xf>
    <xf numFmtId="37" fontId="4" fillId="3"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vertical="center"/>
      <protection locked="0"/>
    </xf>
    <xf numFmtId="0" fontId="3" fillId="3" borderId="2" xfId="0" applyFont="1" applyFill="1" applyBorder="1" applyAlignment="1" applyProtection="1">
      <alignment horizontal="left" vertical="center"/>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vertical="center"/>
    </xf>
    <xf numFmtId="0" fontId="4" fillId="3" borderId="0" xfId="0" applyFont="1" applyFill="1" applyAlignment="1" applyProtection="1">
      <alignment horizontal="fill" vertical="center"/>
    </xf>
    <xf numFmtId="0" fontId="4" fillId="3"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37" fontId="3" fillId="11" borderId="17" xfId="0" applyNumberFormat="1" applyFont="1" applyFill="1" applyBorder="1" applyAlignment="1" applyProtection="1">
      <alignment vertical="center"/>
    </xf>
    <xf numFmtId="0" fontId="15" fillId="3" borderId="0" xfId="0" applyFont="1" applyFill="1" applyAlignment="1" applyProtection="1">
      <alignment vertical="center"/>
    </xf>
    <xf numFmtId="0" fontId="4" fillId="12" borderId="0" xfId="0" applyNumberFormat="1" applyFont="1" applyFill="1" applyBorder="1" applyAlignment="1" applyProtection="1">
      <alignment vertical="center"/>
    </xf>
    <xf numFmtId="37" fontId="4" fillId="12" borderId="0" xfId="0" applyNumberFormat="1" applyFont="1" applyFill="1" applyBorder="1" applyAlignment="1" applyProtection="1">
      <alignment vertical="center"/>
    </xf>
    <xf numFmtId="0" fontId="4" fillId="12" borderId="0" xfId="0" applyNumberFormat="1" applyFont="1" applyFill="1" applyBorder="1" applyAlignment="1" applyProtection="1">
      <alignment horizontal="left" vertical="center"/>
    </xf>
    <xf numFmtId="0" fontId="4" fillId="12" borderId="18" xfId="0" applyNumberFormat="1" applyFont="1" applyFill="1" applyBorder="1" applyAlignment="1" applyProtection="1">
      <alignment horizontal="left" vertical="center"/>
    </xf>
    <xf numFmtId="37" fontId="4" fillId="12" borderId="18" xfId="0" applyNumberFormat="1" applyFont="1" applyFill="1" applyBorder="1" applyAlignment="1" applyProtection="1">
      <alignment vertical="center"/>
    </xf>
    <xf numFmtId="0" fontId="4" fillId="13" borderId="18" xfId="0" applyNumberFormat="1" applyFont="1" applyFill="1" applyBorder="1" applyAlignment="1" applyProtection="1">
      <alignment horizontal="left" vertical="center"/>
      <protection locked="0"/>
    </xf>
    <xf numFmtId="37" fontId="4" fillId="13" borderId="18" xfId="0" applyNumberFormat="1" applyFont="1" applyFill="1" applyBorder="1" applyAlignment="1" applyProtection="1">
      <alignment vertical="center"/>
      <protection locked="0"/>
    </xf>
    <xf numFmtId="0" fontId="4" fillId="13" borderId="18" xfId="0" applyNumberFormat="1" applyFont="1" applyFill="1" applyBorder="1" applyAlignment="1" applyProtection="1">
      <alignment vertical="center"/>
      <protection locked="0"/>
    </xf>
    <xf numFmtId="37" fontId="3" fillId="14" borderId="18" xfId="0" applyNumberFormat="1" applyFont="1" applyFill="1" applyBorder="1" applyAlignment="1" applyProtection="1">
      <alignment vertical="center"/>
    </xf>
    <xf numFmtId="0" fontId="4" fillId="13" borderId="0" xfId="0" applyNumberFormat="1" applyFont="1" applyFill="1" applyBorder="1" applyAlignment="1" applyProtection="1">
      <alignment horizontal="left" vertical="center"/>
      <protection locked="0"/>
    </xf>
    <xf numFmtId="0" fontId="4" fillId="12" borderId="18" xfId="0" applyNumberFormat="1" applyFont="1" applyFill="1" applyBorder="1" applyAlignment="1" applyProtection="1">
      <alignment vertical="center"/>
    </xf>
    <xf numFmtId="37" fontId="4" fillId="14" borderId="18" xfId="0" applyNumberFormat="1" applyFont="1" applyFill="1" applyBorder="1" applyAlignment="1" applyProtection="1">
      <alignment vertical="center"/>
    </xf>
    <xf numFmtId="0" fontId="15" fillId="12" borderId="0" xfId="0" applyNumberFormat="1" applyFont="1" applyFill="1" applyBorder="1" applyAlignment="1" applyProtection="1">
      <alignment vertical="center"/>
    </xf>
    <xf numFmtId="37" fontId="3" fillId="15" borderId="19" xfId="0" applyNumberFormat="1" applyFont="1" applyFill="1" applyBorder="1" applyAlignment="1" applyProtection="1">
      <alignment vertical="center"/>
    </xf>
    <xf numFmtId="0" fontId="4" fillId="0" borderId="0" xfId="317" applyFont="1" applyAlignment="1">
      <alignment vertical="center"/>
    </xf>
    <xf numFmtId="0" fontId="4" fillId="0" borderId="0" xfId="317" applyFont="1" applyAlignment="1">
      <alignment vertical="center" wrapText="1"/>
    </xf>
    <xf numFmtId="0" fontId="4" fillId="0" borderId="0" xfId="311" applyFont="1" applyAlignment="1">
      <alignment vertical="center"/>
    </xf>
    <xf numFmtId="0" fontId="4" fillId="0" borderId="0" xfId="10" applyFont="1" applyAlignment="1">
      <alignment vertical="center"/>
    </xf>
    <xf numFmtId="0" fontId="4" fillId="0" borderId="0" xfId="24" applyFont="1" applyAlignment="1">
      <alignment vertical="center"/>
    </xf>
    <xf numFmtId="0" fontId="28" fillId="0" borderId="0" xfId="313"/>
    <xf numFmtId="0" fontId="4" fillId="0" borderId="0" xfId="313" applyFont="1" applyAlignment="1">
      <alignment horizontal="left" vertical="center"/>
    </xf>
    <xf numFmtId="173" fontId="11" fillId="0" borderId="0" xfId="313" applyNumberFormat="1" applyFont="1" applyAlignment="1">
      <alignment horizontal="left" vertical="center"/>
    </xf>
    <xf numFmtId="49" fontId="4" fillId="0" borderId="0" xfId="313" applyNumberFormat="1" applyFont="1" applyAlignment="1">
      <alignment horizontal="left" vertical="center"/>
    </xf>
    <xf numFmtId="0" fontId="11" fillId="0" borderId="0" xfId="313" applyFont="1" applyAlignment="1">
      <alignment horizontal="left" vertical="center"/>
    </xf>
    <xf numFmtId="174" fontId="11" fillId="0" borderId="0" xfId="313" applyNumberFormat="1" applyFont="1" applyAlignment="1">
      <alignment horizontal="left" vertical="center"/>
    </xf>
    <xf numFmtId="0" fontId="14"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30" applyFont="1"/>
    <xf numFmtId="0" fontId="2" fillId="0" borderId="0" xfId="130"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61" applyFont="1" applyAlignment="1">
      <alignment vertical="center"/>
    </xf>
    <xf numFmtId="0" fontId="5" fillId="0" borderId="0" xfId="65" applyFont="1" applyAlignment="1">
      <alignment vertical="center"/>
    </xf>
    <xf numFmtId="0" fontId="4" fillId="0" borderId="0" xfId="129" applyFont="1" applyAlignment="1">
      <alignment vertical="center" wrapText="1"/>
    </xf>
    <xf numFmtId="0" fontId="4" fillId="0" borderId="0" xfId="73" applyFont="1" applyAlignment="1">
      <alignment vertical="center" wrapText="1"/>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protection locked="0"/>
    </xf>
    <xf numFmtId="3" fontId="11" fillId="5" borderId="7" xfId="0" applyNumberFormat="1" applyFont="1" applyFill="1" applyBorder="1" applyAlignment="1">
      <alignment horizontal="center" vertical="center"/>
    </xf>
    <xf numFmtId="37" fontId="13" fillId="3" borderId="0" xfId="0" applyNumberFormat="1" applyFont="1" applyFill="1" applyAlignment="1" applyProtection="1">
      <alignment horizontal="center" vertical="center"/>
    </xf>
    <xf numFmtId="3" fontId="4" fillId="2" borderId="2" xfId="0" applyNumberFormat="1" applyFont="1" applyFill="1" applyBorder="1" applyAlignment="1" applyProtection="1">
      <alignment vertical="center"/>
      <protection locked="0"/>
    </xf>
    <xf numFmtId="3" fontId="15" fillId="6" borderId="2" xfId="0" applyNumberFormat="1" applyFont="1" applyFill="1" applyBorder="1" applyAlignment="1" applyProtection="1">
      <alignment horizontal="center" vertical="center"/>
    </xf>
    <xf numFmtId="3" fontId="4" fillId="5" borderId="2" xfId="0" applyNumberFormat="1" applyFont="1" applyFill="1" applyBorder="1" applyAlignment="1" applyProtection="1">
      <alignment vertical="center"/>
    </xf>
    <xf numFmtId="0" fontId="4" fillId="3" borderId="9" xfId="0" applyNumberFormat="1" applyFont="1" applyFill="1" applyBorder="1" applyAlignment="1" applyProtection="1">
      <alignment horizontal="center" vertical="center"/>
    </xf>
    <xf numFmtId="3" fontId="3" fillId="5"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0" fontId="4" fillId="3" borderId="0"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protection locked="0"/>
    </xf>
    <xf numFmtId="1" fontId="4" fillId="3" borderId="9"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right" vertical="center"/>
    </xf>
    <xf numFmtId="3" fontId="3" fillId="5" borderId="9" xfId="0" applyNumberFormat="1" applyFont="1" applyFill="1" applyBorder="1" applyAlignment="1" applyProtection="1">
      <alignment horizontal="right" vertical="center"/>
    </xf>
    <xf numFmtId="3" fontId="3" fillId="5" borderId="2"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171" fontId="4" fillId="3" borderId="0" xfId="0" applyNumberFormat="1" applyFont="1" applyFill="1" applyBorder="1" applyAlignment="1" applyProtection="1">
      <alignment vertical="center"/>
    </xf>
    <xf numFmtId="0" fontId="8" fillId="12" borderId="0" xfId="0" applyFont="1" applyFill="1" applyBorder="1" applyAlignment="1" applyProtection="1">
      <alignment vertical="center" shrinkToFit="1"/>
    </xf>
    <xf numFmtId="3" fontId="4" fillId="12" borderId="0" xfId="1" applyNumberFormat="1" applyFont="1" applyFill="1" applyBorder="1" applyAlignment="1" applyProtection="1">
      <alignment vertical="center"/>
      <protection locked="0"/>
    </xf>
    <xf numFmtId="0" fontId="4" fillId="3" borderId="20" xfId="0" applyFont="1" applyFill="1" applyBorder="1" applyAlignment="1" applyProtection="1">
      <alignment horizontal="center" vertical="center"/>
    </xf>
    <xf numFmtId="0" fontId="4" fillId="2" borderId="2" xfId="11" applyNumberFormat="1" applyFont="1" applyFill="1" applyBorder="1" applyAlignment="1" applyProtection="1">
      <alignment horizontal="left" vertical="center"/>
      <protection locked="0"/>
    </xf>
    <xf numFmtId="0" fontId="35" fillId="12" borderId="21" xfId="0" applyFont="1" applyFill="1" applyBorder="1"/>
    <xf numFmtId="175" fontId="35" fillId="12" borderId="0" xfId="0" applyNumberFormat="1" applyFont="1" applyFill="1"/>
    <xf numFmtId="0" fontId="35" fillId="12" borderId="22" xfId="0" applyFont="1" applyFill="1" applyBorder="1"/>
    <xf numFmtId="0" fontId="35" fillId="12" borderId="23" xfId="0" applyFont="1" applyFill="1" applyBorder="1"/>
    <xf numFmtId="175" fontId="35" fillId="13" borderId="24" xfId="0" applyNumberFormat="1" applyFont="1" applyFill="1" applyBorder="1" applyAlignment="1" applyProtection="1">
      <alignment horizontal="center"/>
      <protection locked="0"/>
    </xf>
    <xf numFmtId="172" fontId="35" fillId="12" borderId="0" xfId="0" applyNumberFormat="1" applyFont="1" applyFill="1" applyBorder="1" applyAlignment="1">
      <alignment horizontal="center"/>
    </xf>
    <xf numFmtId="0" fontId="48" fillId="0" borderId="0" xfId="0" applyFont="1" applyBorder="1"/>
    <xf numFmtId="0" fontId="35" fillId="0" borderId="0" xfId="0" applyFont="1" applyBorder="1"/>
    <xf numFmtId="0" fontId="49" fillId="0" borderId="0" xfId="0" applyFont="1" applyBorder="1" applyAlignment="1">
      <alignment horizontal="centerContinuous"/>
    </xf>
    <xf numFmtId="0" fontId="35" fillId="0" borderId="0" xfId="0" applyFont="1" applyBorder="1" applyAlignment="1">
      <alignment horizontal="centerContinuous"/>
    </xf>
    <xf numFmtId="0" fontId="35" fillId="16" borderId="0" xfId="0" applyFont="1" applyFill="1" applyBorder="1"/>
    <xf numFmtId="0" fontId="35" fillId="12" borderId="25" xfId="0" applyFont="1" applyFill="1" applyBorder="1"/>
    <xf numFmtId="0" fontId="35" fillId="12" borderId="13" xfId="0" applyFont="1" applyFill="1" applyBorder="1"/>
    <xf numFmtId="0" fontId="35" fillId="12" borderId="26" xfId="0" applyFont="1" applyFill="1" applyBorder="1"/>
    <xf numFmtId="5" fontId="35" fillId="12" borderId="14" xfId="0" applyNumberFormat="1" applyFont="1" applyFill="1" applyBorder="1" applyAlignment="1">
      <alignment horizontal="center"/>
    </xf>
    <xf numFmtId="0" fontId="35" fillId="12" borderId="14" xfId="0" applyFont="1" applyFill="1" applyBorder="1" applyAlignment="1">
      <alignment horizontal="center"/>
    </xf>
    <xf numFmtId="172" fontId="35" fillId="12" borderId="14" xfId="0" applyNumberFormat="1" applyFont="1" applyFill="1" applyBorder="1" applyAlignment="1">
      <alignment horizontal="center"/>
    </xf>
    <xf numFmtId="176" fontId="35" fillId="12" borderId="14" xfId="0" applyNumberFormat="1" applyFont="1" applyFill="1" applyBorder="1" applyAlignment="1">
      <alignment horizontal="center"/>
    </xf>
    <xf numFmtId="0" fontId="35" fillId="12" borderId="0" xfId="0" applyFont="1" applyFill="1" applyAlignment="1">
      <alignment horizontal="center" wrapText="1"/>
    </xf>
    <xf numFmtId="0" fontId="49" fillId="12" borderId="22" xfId="0" applyFont="1" applyFill="1" applyBorder="1" applyAlignment="1"/>
    <xf numFmtId="0" fontId="35" fillId="12" borderId="27" xfId="0" applyFont="1" applyFill="1" applyBorder="1" applyAlignment="1"/>
    <xf numFmtId="0" fontId="35" fillId="12" borderId="28" xfId="0" applyFont="1" applyFill="1" applyBorder="1" applyAlignment="1"/>
    <xf numFmtId="0" fontId="35" fillId="12" borderId="23" xfId="0" applyFont="1" applyFill="1" applyBorder="1" applyAlignment="1"/>
    <xf numFmtId="0" fontId="35" fillId="12" borderId="29" xfId="0" applyFont="1" applyFill="1" applyBorder="1" applyAlignment="1"/>
    <xf numFmtId="0" fontId="35" fillId="12" borderId="25" xfId="0" applyFont="1" applyFill="1" applyBorder="1" applyAlignment="1"/>
    <xf numFmtId="0" fontId="35" fillId="12" borderId="13" xfId="0" applyFont="1" applyFill="1" applyBorder="1" applyAlignment="1"/>
    <xf numFmtId="0" fontId="35" fillId="12" borderId="26" xfId="0" applyFont="1" applyFill="1" applyBorder="1" applyAlignment="1"/>
    <xf numFmtId="170" fontId="35" fillId="12" borderId="0" xfId="0" applyNumberFormat="1" applyFont="1" applyFill="1" applyBorder="1" applyAlignment="1">
      <alignment horizontal="center"/>
    </xf>
    <xf numFmtId="0" fontId="35" fillId="12" borderId="21" xfId="0" applyFont="1" applyFill="1" applyBorder="1" applyAlignment="1"/>
    <xf numFmtId="5" fontId="35" fillId="12" borderId="0" xfId="0" applyNumberFormat="1" applyFont="1" applyFill="1" applyBorder="1" applyAlignment="1">
      <alignment horizontal="center"/>
    </xf>
    <xf numFmtId="0" fontId="35" fillId="16" borderId="0" xfId="0" applyFont="1" applyFill="1" applyAlignment="1"/>
    <xf numFmtId="172" fontId="35" fillId="13" borderId="8" xfId="0" applyNumberFormat="1" applyFont="1" applyFill="1" applyBorder="1" applyAlignment="1" applyProtection="1">
      <alignment horizontal="center"/>
      <protection locked="0"/>
    </xf>
    <xf numFmtId="176" fontId="35" fillId="12" borderId="0" xfId="0" applyNumberFormat="1" applyFont="1" applyFill="1" applyBorder="1"/>
    <xf numFmtId="0" fontId="35" fillId="17" borderId="0" xfId="0" applyFont="1" applyFill="1"/>
    <xf numFmtId="0" fontId="4" fillId="3" borderId="0" xfId="0" applyFont="1" applyFill="1" applyBorder="1" applyAlignment="1" applyProtection="1">
      <alignment horizontal="center" vertical="center"/>
    </xf>
    <xf numFmtId="164" fontId="4" fillId="3" borderId="1" xfId="0" applyNumberFormat="1" applyFont="1" applyFill="1" applyBorder="1" applyAlignment="1" applyProtection="1">
      <alignment horizontal="center" vertical="center"/>
    </xf>
    <xf numFmtId="166" fontId="4" fillId="3" borderId="0" xfId="0" applyNumberFormat="1" applyFont="1" applyFill="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0" fontId="50" fillId="0" borderId="0" xfId="0" applyFont="1" applyAlignment="1">
      <alignment vertical="center"/>
    </xf>
    <xf numFmtId="0" fontId="4" fillId="15" borderId="12" xfId="0" applyFont="1" applyFill="1" applyBorder="1" applyAlignment="1" applyProtection="1">
      <alignment vertical="center"/>
    </xf>
    <xf numFmtId="0" fontId="4" fillId="12" borderId="15"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30" xfId="0" applyFont="1" applyFill="1" applyBorder="1" applyAlignment="1" applyProtection="1">
      <alignment vertical="center"/>
    </xf>
    <xf numFmtId="0" fontId="4" fillId="3" borderId="0" xfId="32" applyFont="1" applyFill="1" applyAlignment="1" applyProtection="1">
      <alignment horizontal="right" vertical="center"/>
    </xf>
    <xf numFmtId="0" fontId="35" fillId="12" borderId="31" xfId="0" applyFont="1" applyFill="1" applyBorder="1"/>
    <xf numFmtId="0" fontId="35" fillId="12" borderId="14" xfId="0" applyFont="1" applyFill="1" applyBorder="1"/>
    <xf numFmtId="3" fontId="4" fillId="3" borderId="2" xfId="1" applyNumberFormat="1" applyFont="1" applyFill="1" applyBorder="1" applyAlignment="1" applyProtection="1">
      <alignment horizontal="right" vertical="center"/>
    </xf>
    <xf numFmtId="0" fontId="3" fillId="3" borderId="0" xfId="11" applyFont="1" applyFill="1" applyAlignment="1" applyProtection="1">
      <alignment vertical="center"/>
    </xf>
    <xf numFmtId="0" fontId="35" fillId="12" borderId="29" xfId="0" applyFont="1" applyFill="1" applyBorder="1"/>
    <xf numFmtId="175" fontId="35" fillId="12" borderId="8" xfId="0" applyNumberFormat="1" applyFont="1" applyFill="1" applyBorder="1" applyAlignment="1">
      <alignment horizontal="center"/>
    </xf>
    <xf numFmtId="0" fontId="35" fillId="12" borderId="0" xfId="0" applyFont="1" applyFill="1" applyBorder="1"/>
    <xf numFmtId="175" fontId="35" fillId="12" borderId="24" xfId="0" applyNumberFormat="1" applyFont="1" applyFill="1" applyBorder="1"/>
    <xf numFmtId="0" fontId="35" fillId="12" borderId="28" xfId="0" applyFont="1" applyFill="1" applyBorder="1"/>
    <xf numFmtId="0" fontId="35" fillId="12" borderId="27" xfId="0" applyFont="1" applyFill="1" applyBorder="1"/>
    <xf numFmtId="0" fontId="49" fillId="12" borderId="22" xfId="0" applyFont="1" applyFill="1" applyBorder="1"/>
    <xf numFmtId="0" fontId="35" fillId="12" borderId="0" xfId="0" applyFont="1" applyFill="1" applyAlignment="1">
      <alignment horizontal="center"/>
    </xf>
    <xf numFmtId="0" fontId="49" fillId="12" borderId="0" xfId="0" applyFont="1" applyFill="1"/>
    <xf numFmtId="0" fontId="49" fillId="16" borderId="0" xfId="0" applyFont="1" applyFill="1" applyAlignment="1">
      <alignment horizontal="center" wrapText="1"/>
    </xf>
    <xf numFmtId="0" fontId="35" fillId="12" borderId="0" xfId="0" applyFont="1" applyFill="1"/>
    <xf numFmtId="0" fontId="35" fillId="0" borderId="0" xfId="0" applyFont="1"/>
    <xf numFmtId="0" fontId="35" fillId="16" borderId="0" xfId="0" applyFont="1" applyFill="1"/>
    <xf numFmtId="0" fontId="37" fillId="0" borderId="0" xfId="0" applyFont="1" applyAlignment="1">
      <alignment horizontal="center"/>
    </xf>
    <xf numFmtId="3" fontId="4" fillId="3" borderId="3" xfId="0" applyNumberFormat="1" applyFont="1" applyFill="1" applyBorder="1" applyAlignment="1" applyProtection="1">
      <alignment horizontal="center" vertical="center"/>
    </xf>
    <xf numFmtId="0" fontId="11" fillId="15" borderId="8" xfId="0" applyFont="1" applyFill="1" applyBorder="1" applyAlignment="1" applyProtection="1">
      <alignment vertical="center"/>
    </xf>
    <xf numFmtId="175" fontId="11" fillId="15" borderId="9" xfId="0" applyNumberFormat="1" applyFont="1" applyFill="1" applyBorder="1" applyAlignment="1" applyProtection="1">
      <alignment horizontal="center" vertical="center"/>
    </xf>
    <xf numFmtId="175" fontId="11" fillId="12" borderId="30" xfId="0" applyNumberFormat="1" applyFont="1" applyFill="1" applyBorder="1" applyAlignment="1" applyProtection="1">
      <alignment vertical="center"/>
    </xf>
    <xf numFmtId="175" fontId="11" fillId="12" borderId="9" xfId="0" applyNumberFormat="1" applyFont="1" applyFill="1" applyBorder="1" applyAlignment="1" applyProtection="1">
      <alignment horizontal="center" vertical="center"/>
    </xf>
    <xf numFmtId="0" fontId="11" fillId="12" borderId="0" xfId="0" applyFont="1" applyFill="1" applyBorder="1" applyAlignment="1" applyProtection="1">
      <alignment vertical="center"/>
    </xf>
    <xf numFmtId="175" fontId="11" fillId="12" borderId="30" xfId="0" applyNumberFormat="1" applyFont="1" applyFill="1" applyBorder="1" applyAlignment="1" applyProtection="1">
      <alignment horizontal="center" vertical="center"/>
    </xf>
    <xf numFmtId="0" fontId="38" fillId="0" borderId="0" xfId="8" applyFont="1" applyAlignment="1" applyProtection="1"/>
    <xf numFmtId="0" fontId="4" fillId="0" borderId="0" xfId="11" applyFont="1" applyFill="1" applyBorder="1" applyAlignment="1" applyProtection="1">
      <alignment vertical="center"/>
    </xf>
    <xf numFmtId="0" fontId="34" fillId="12" borderId="30" xfId="29" applyFont="1" applyFill="1" applyBorder="1" applyProtection="1"/>
    <xf numFmtId="0" fontId="4" fillId="12" borderId="0" xfId="29" applyFont="1" applyFill="1" applyBorder="1" applyProtection="1"/>
    <xf numFmtId="175" fontId="4" fillId="12" borderId="15" xfId="29" applyNumberFormat="1" applyFont="1" applyFill="1" applyBorder="1" applyAlignment="1" applyProtection="1">
      <alignment horizontal="center"/>
    </xf>
    <xf numFmtId="0" fontId="4" fillId="12" borderId="9" xfId="29" applyFont="1" applyFill="1" applyBorder="1" applyProtection="1"/>
    <xf numFmtId="0" fontId="4" fillId="12" borderId="8" xfId="29" applyFont="1" applyFill="1" applyBorder="1" applyProtection="1"/>
    <xf numFmtId="175" fontId="4" fillId="15" borderId="12" xfId="29" applyNumberFormat="1" applyFont="1" applyFill="1" applyBorder="1" applyAlignment="1" applyProtection="1">
      <alignment horizontal="center"/>
    </xf>
    <xf numFmtId="0" fontId="4" fillId="0" borderId="0" xfId="29" applyFont="1" applyFill="1" applyBorder="1" applyProtection="1"/>
    <xf numFmtId="0" fontId="4" fillId="12" borderId="30" xfId="29" applyFont="1" applyFill="1" applyBorder="1" applyProtection="1"/>
    <xf numFmtId="0" fontId="4" fillId="12" borderId="15" xfId="29" applyFont="1" applyFill="1" applyBorder="1" applyProtection="1"/>
    <xf numFmtId="170" fontId="4" fillId="12" borderId="15" xfId="29" applyNumberFormat="1" applyFont="1" applyFill="1" applyBorder="1" applyAlignment="1" applyProtection="1">
      <alignment horizontal="center"/>
    </xf>
    <xf numFmtId="0" fontId="4" fillId="15" borderId="30" xfId="29" applyFont="1" applyFill="1" applyBorder="1" applyProtection="1"/>
    <xf numFmtId="0" fontId="4" fillId="15" borderId="0" xfId="29" applyFont="1" applyFill="1" applyBorder="1" applyProtection="1"/>
    <xf numFmtId="0" fontId="4" fillId="15" borderId="9" xfId="29" applyFont="1" applyFill="1" applyBorder="1" applyProtection="1"/>
    <xf numFmtId="0" fontId="4" fillId="15" borderId="8" xfId="29" applyFont="1" applyFill="1" applyBorder="1" applyProtection="1"/>
    <xf numFmtId="0" fontId="4" fillId="0" borderId="0" xfId="29" applyFont="1" applyProtection="1"/>
    <xf numFmtId="175" fontId="4" fillId="12" borderId="12" xfId="29" applyNumberFormat="1" applyFont="1" applyFill="1" applyBorder="1" applyAlignment="1" applyProtection="1">
      <alignment horizontal="center"/>
    </xf>
    <xf numFmtId="172" fontId="4" fillId="13" borderId="15" xfId="29" applyNumberFormat="1" applyFont="1" applyFill="1" applyBorder="1" applyAlignment="1" applyProtection="1">
      <alignment horizontal="center"/>
      <protection locked="0"/>
    </xf>
    <xf numFmtId="3" fontId="4" fillId="2" borderId="1" xfId="0" applyNumberFormat="1" applyFont="1" applyFill="1" applyBorder="1" applyProtection="1">
      <protection locked="0"/>
    </xf>
    <xf numFmtId="3" fontId="4" fillId="4" borderId="1" xfId="0" applyNumberFormat="1" applyFont="1" applyFill="1" applyBorder="1" applyProtection="1">
      <protection locked="0"/>
    </xf>
    <xf numFmtId="3" fontId="4" fillId="14" borderId="17" xfId="0" applyNumberFormat="1" applyFont="1" applyFill="1" applyBorder="1" applyAlignment="1" applyProtection="1">
      <alignment horizontal="center" vertical="center"/>
    </xf>
    <xf numFmtId="37" fontId="4" fillId="13" borderId="2" xfId="0" applyNumberFormat="1" applyFont="1" applyFill="1" applyBorder="1" applyAlignment="1" applyProtection="1">
      <alignment vertical="center"/>
    </xf>
    <xf numFmtId="3" fontId="4" fillId="3" borderId="20" xfId="0" applyNumberFormat="1" applyFont="1" applyFill="1" applyBorder="1" applyAlignment="1" applyProtection="1">
      <alignment horizontal="center" vertical="center"/>
    </xf>
    <xf numFmtId="0" fontId="51" fillId="3" borderId="0" xfId="0" applyFont="1" applyFill="1" applyAlignment="1" applyProtection="1">
      <alignment horizontal="center" vertical="center"/>
    </xf>
    <xf numFmtId="0" fontId="3" fillId="0" borderId="0" xfId="11" applyFont="1" applyAlignment="1">
      <alignment wrapText="1"/>
    </xf>
    <xf numFmtId="0" fontId="4" fillId="0" borderId="0" xfId="11" applyFont="1"/>
    <xf numFmtId="0" fontId="22" fillId="0" borderId="0" xfId="11" applyFont="1"/>
    <xf numFmtId="0" fontId="21" fillId="0" borderId="0" xfId="11" applyFont="1" applyAlignment="1">
      <alignment horizontal="center"/>
    </xf>
    <xf numFmtId="0" fontId="52" fillId="0" borderId="0" xfId="11" applyFont="1" applyAlignment="1">
      <alignment wrapText="1"/>
    </xf>
    <xf numFmtId="0" fontId="13" fillId="3" borderId="1" xfId="0" applyFont="1" applyFill="1" applyBorder="1" applyAlignment="1">
      <alignment horizontal="center" vertical="center"/>
    </xf>
    <xf numFmtId="0" fontId="4" fillId="0" borderId="30" xfId="0" applyFont="1" applyBorder="1" applyAlignment="1" applyProtection="1">
      <alignment vertical="center"/>
      <protection locked="0"/>
    </xf>
    <xf numFmtId="3" fontId="15" fillId="6" borderId="3" xfId="0" applyNumberFormat="1" applyFont="1" applyFill="1" applyBorder="1" applyAlignment="1" applyProtection="1">
      <alignment horizontal="center" vertical="center"/>
    </xf>
    <xf numFmtId="3" fontId="15" fillId="6" borderId="3" xfId="0" applyNumberFormat="1" applyFont="1" applyFill="1" applyBorder="1" applyAlignment="1" applyProtection="1">
      <alignment horizontal="center"/>
    </xf>
    <xf numFmtId="0" fontId="4" fillId="0" borderId="0" xfId="32" applyFont="1" applyAlignment="1">
      <alignment vertical="center" wrapText="1"/>
    </xf>
    <xf numFmtId="0" fontId="4" fillId="0" borderId="0" xfId="11" applyFont="1" applyAlignment="1">
      <alignment vertical="center" wrapText="1"/>
    </xf>
    <xf numFmtId="0" fontId="4" fillId="0" borderId="0" xfId="298" applyFont="1" applyAlignment="1">
      <alignment vertical="center" wrapText="1"/>
    </xf>
    <xf numFmtId="0" fontId="4" fillId="0" borderId="0" xfId="305" applyNumberFormat="1" applyFont="1" applyAlignment="1">
      <alignment vertical="center" wrapText="1"/>
    </xf>
    <xf numFmtId="0" fontId="4" fillId="0" borderId="0" xfId="204" applyFont="1" applyAlignment="1">
      <alignment vertical="center" wrapText="1"/>
    </xf>
    <xf numFmtId="0" fontId="5" fillId="0" borderId="0" xfId="66" applyFont="1" applyAlignment="1">
      <alignment vertical="center"/>
    </xf>
    <xf numFmtId="0" fontId="4" fillId="0" borderId="0" xfId="32" applyFont="1" applyAlignment="1">
      <alignment vertical="center"/>
    </xf>
    <xf numFmtId="0" fontId="4" fillId="0" borderId="0" xfId="33" applyFont="1" applyAlignment="1">
      <alignment vertical="center"/>
    </xf>
    <xf numFmtId="37" fontId="4" fillId="12" borderId="0" xfId="0" applyNumberFormat="1" applyFont="1" applyFill="1" applyAlignment="1" applyProtection="1">
      <alignment horizontal="center" vertical="center"/>
    </xf>
    <xf numFmtId="0" fontId="0" fillId="12" borderId="0" xfId="0" applyFill="1" applyBorder="1" applyAlignment="1" applyProtection="1">
      <alignment horizontal="left" vertical="center"/>
      <protection locked="0"/>
    </xf>
    <xf numFmtId="37" fontId="3" fillId="3" borderId="8"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0" fontId="0" fillId="11" borderId="7" xfId="0" applyFill="1" applyBorder="1" applyAlignment="1" applyProtection="1">
      <alignment vertical="center"/>
    </xf>
    <xf numFmtId="0" fontId="15" fillId="11" borderId="12" xfId="0"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protection locked="0"/>
    </xf>
    <xf numFmtId="37" fontId="4" fillId="3" borderId="0" xfId="0" applyNumberFormat="1" applyFont="1" applyFill="1" applyAlignment="1" applyProtection="1">
      <alignment horizontal="left" vertical="center"/>
      <protection locked="0"/>
    </xf>
    <xf numFmtId="37" fontId="3" fillId="3" borderId="3" xfId="0" applyNumberFormat="1" applyFont="1" applyFill="1" applyBorder="1" applyAlignment="1" applyProtection="1">
      <alignment horizontal="left" vertical="center"/>
    </xf>
    <xf numFmtId="164" fontId="4" fillId="3" borderId="0" xfId="0" applyNumberFormat="1" applyFont="1" applyFill="1" applyBorder="1" applyAlignment="1" applyProtection="1">
      <alignment horizontal="center" vertical="center"/>
    </xf>
    <xf numFmtId="49" fontId="4" fillId="12" borderId="0" xfId="0" applyNumberFormat="1" applyFont="1" applyFill="1" applyBorder="1" applyAlignment="1" applyProtection="1">
      <alignment horizontal="left" vertical="center"/>
      <protection locked="0"/>
    </xf>
    <xf numFmtId="37" fontId="4" fillId="3" borderId="0" xfId="0" applyNumberFormat="1" applyFont="1" applyFill="1" applyBorder="1" applyAlignment="1" applyProtection="1">
      <alignment horizontal="right" vertical="center"/>
    </xf>
    <xf numFmtId="3" fontId="4" fillId="14" borderId="32" xfId="0" applyNumberFormat="1" applyFont="1" applyFill="1" applyBorder="1" applyAlignment="1" applyProtection="1">
      <alignment horizontal="center" vertical="center"/>
    </xf>
    <xf numFmtId="164" fontId="4" fillId="14" borderId="32" xfId="0" applyNumberFormat="1" applyFont="1" applyFill="1" applyBorder="1" applyAlignment="1" applyProtection="1">
      <alignment horizontal="center" vertical="center"/>
    </xf>
    <xf numFmtId="3" fontId="4" fillId="4" borderId="7" xfId="1" applyNumberFormat="1" applyFont="1" applyFill="1" applyBorder="1" applyAlignment="1" applyProtection="1">
      <alignment horizontal="center" vertical="center"/>
      <protection locked="0"/>
    </xf>
    <xf numFmtId="3" fontId="4" fillId="4" borderId="1" xfId="1"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xf>
    <xf numFmtId="37" fontId="7" fillId="3" borderId="5"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37" fontId="3" fillId="3" borderId="0" xfId="0" applyNumberFormat="1" applyFont="1" applyFill="1" applyBorder="1" applyProtection="1"/>
    <xf numFmtId="37" fontId="7" fillId="12" borderId="33" xfId="0" applyNumberFormat="1" applyFont="1" applyFill="1" applyBorder="1" applyAlignment="1" applyProtection="1">
      <alignment horizontal="center" vertical="center"/>
    </xf>
    <xf numFmtId="0" fontId="49" fillId="12" borderId="23" xfId="0" applyFont="1" applyFill="1" applyBorder="1" applyAlignment="1">
      <alignment horizontal="centerContinuous" vertical="center"/>
    </xf>
    <xf numFmtId="175" fontId="49" fillId="12" borderId="0" xfId="0" applyNumberFormat="1" applyFont="1" applyFill="1" applyBorder="1" applyAlignment="1">
      <alignment horizontal="centerContinuous" vertical="center"/>
    </xf>
    <xf numFmtId="0" fontId="49" fillId="12" borderId="0" xfId="0" applyFont="1" applyFill="1" applyBorder="1" applyAlignment="1">
      <alignment horizontal="centerContinuous" vertical="center"/>
    </xf>
    <xf numFmtId="172" fontId="49" fillId="12" borderId="0" xfId="0" applyNumberFormat="1" applyFont="1" applyFill="1" applyBorder="1" applyAlignment="1" applyProtection="1">
      <alignment horizontal="centerContinuous" vertical="center"/>
      <protection locked="0"/>
    </xf>
    <xf numFmtId="176" fontId="49" fillId="12" borderId="0" xfId="0" applyNumberFormat="1" applyFont="1" applyFill="1" applyBorder="1" applyAlignment="1">
      <alignment horizontal="centerContinuous" vertical="center"/>
    </xf>
    <xf numFmtId="0" fontId="49" fillId="12" borderId="29" xfId="0" applyFont="1" applyFill="1" applyBorder="1" applyAlignment="1">
      <alignment horizontal="centerContinuous" vertical="center"/>
    </xf>
    <xf numFmtId="0" fontId="49" fillId="12" borderId="23" xfId="0" applyFont="1" applyFill="1" applyBorder="1" applyAlignment="1">
      <alignment horizontal="centerContinuous"/>
    </xf>
    <xf numFmtId="175" fontId="49" fillId="12" borderId="0" xfId="0" applyNumberFormat="1" applyFont="1" applyFill="1" applyBorder="1" applyAlignment="1">
      <alignment horizontal="centerContinuous"/>
    </xf>
    <xf numFmtId="0" fontId="49" fillId="12" borderId="0" xfId="0" applyFont="1" applyFill="1" applyBorder="1" applyAlignment="1">
      <alignment horizontal="centerContinuous"/>
    </xf>
    <xf numFmtId="172" fontId="49" fillId="12" borderId="0" xfId="0" applyNumberFormat="1" applyFont="1" applyFill="1" applyBorder="1" applyAlignment="1" applyProtection="1">
      <alignment horizontal="centerContinuous"/>
      <protection locked="0"/>
    </xf>
    <xf numFmtId="176" fontId="49" fillId="12" borderId="0" xfId="0" applyNumberFormat="1" applyFont="1" applyFill="1" applyBorder="1" applyAlignment="1">
      <alignment horizontal="centerContinuous"/>
    </xf>
    <xf numFmtId="0" fontId="49" fillId="12" borderId="29" xfId="0" applyFont="1" applyFill="1" applyBorder="1" applyAlignment="1">
      <alignment horizontal="centerContinuous"/>
    </xf>
    <xf numFmtId="175" fontId="35" fillId="0" borderId="0" xfId="0" applyNumberFormat="1" applyFont="1"/>
    <xf numFmtId="175" fontId="35" fillId="12" borderId="14" xfId="0" applyNumberFormat="1" applyFont="1" applyFill="1" applyBorder="1" applyAlignment="1">
      <alignment horizontal="center"/>
    </xf>
    <xf numFmtId="172" fontId="35" fillId="12" borderId="14" xfId="0" applyNumberFormat="1" applyFont="1" applyFill="1" applyBorder="1" applyAlignment="1" applyProtection="1">
      <alignment horizontal="center"/>
      <protection locked="0"/>
    </xf>
    <xf numFmtId="176" fontId="35" fillId="12" borderId="14" xfId="0" applyNumberFormat="1" applyFont="1" applyFill="1" applyBorder="1"/>
    <xf numFmtId="172" fontId="35" fillId="12" borderId="0" xfId="0" applyNumberFormat="1" applyFont="1" applyFill="1" applyBorder="1" applyAlignment="1" applyProtection="1">
      <alignment horizontal="center"/>
      <protection locked="0"/>
    </xf>
    <xf numFmtId="175" fontId="35" fillId="12" borderId="27" xfId="0" applyNumberFormat="1" applyFont="1" applyFill="1" applyBorder="1" applyAlignment="1">
      <alignment horizontal="center"/>
    </xf>
    <xf numFmtId="0" fontId="35" fillId="12" borderId="27" xfId="0" applyFont="1" applyFill="1" applyBorder="1" applyAlignment="1">
      <alignment horizontal="center"/>
    </xf>
    <xf numFmtId="172" fontId="35" fillId="12" borderId="27" xfId="0" applyNumberFormat="1" applyFont="1" applyFill="1" applyBorder="1" applyAlignment="1" applyProtection="1">
      <alignment horizontal="center"/>
      <protection locked="0"/>
    </xf>
    <xf numFmtId="176" fontId="35" fillId="12" borderId="27" xfId="0" applyNumberFormat="1" applyFont="1" applyFill="1" applyBorder="1"/>
    <xf numFmtId="175" fontId="35" fillId="12" borderId="0" xfId="0" applyNumberFormat="1" applyFont="1" applyFill="1" applyBorder="1" applyAlignment="1" applyProtection="1">
      <alignment horizontal="center"/>
      <protection locked="0"/>
    </xf>
    <xf numFmtId="175" fontId="4" fillId="15" borderId="15" xfId="29" applyNumberFormat="1" applyFont="1" applyFill="1" applyBorder="1" applyAlignment="1" applyProtection="1">
      <alignment horizontal="center"/>
    </xf>
    <xf numFmtId="0" fontId="4" fillId="15" borderId="9" xfId="0" applyFont="1" applyFill="1" applyBorder="1" applyAlignment="1">
      <alignment vertical="center"/>
    </xf>
    <xf numFmtId="0" fontId="4" fillId="15" borderId="8" xfId="0" applyFont="1" applyFill="1" applyBorder="1" applyAlignment="1">
      <alignment vertical="center"/>
    </xf>
    <xf numFmtId="175" fontId="4" fillId="15" borderId="12" xfId="0" applyNumberFormat="1" applyFont="1" applyFill="1" applyBorder="1" applyAlignment="1">
      <alignment horizontal="center" vertic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176" fontId="35" fillId="12" borderId="0" xfId="0" applyNumberFormat="1" applyFont="1" applyFill="1" applyBorder="1" applyAlignment="1">
      <alignment horizontal="center"/>
    </xf>
    <xf numFmtId="175" fontId="35" fillId="13" borderId="8" xfId="0" applyNumberFormat="1" applyFont="1" applyFill="1" applyBorder="1" applyAlignment="1" applyProtection="1">
      <alignment horizontal="center"/>
      <protection locked="0"/>
    </xf>
    <xf numFmtId="0" fontId="49" fillId="12" borderId="0" xfId="0" applyFont="1" applyFill="1" applyAlignment="1">
      <alignment horizontal="center" wrapText="1"/>
    </xf>
    <xf numFmtId="0" fontId="49" fillId="12" borderId="0" xfId="0" applyFont="1" applyFill="1" applyAlignment="1">
      <alignment horizontal="center"/>
    </xf>
    <xf numFmtId="175" fontId="35" fillId="12" borderId="0" xfId="0" applyNumberFormat="1" applyFont="1" applyFill="1" applyAlignment="1">
      <alignment horizontal="center"/>
    </xf>
    <xf numFmtId="0" fontId="35" fillId="12" borderId="0" xfId="0" applyFont="1" applyFill="1" applyBorder="1" applyAlignment="1"/>
    <xf numFmtId="0" fontId="35" fillId="12" borderId="0" xfId="0" applyFont="1" applyFill="1" applyBorder="1" applyAlignment="1">
      <alignment horizontal="center"/>
    </xf>
    <xf numFmtId="0" fontId="35" fillId="12" borderId="31" xfId="0" applyFont="1" applyFill="1" applyBorder="1" applyAlignment="1"/>
    <xf numFmtId="1" fontId="4" fillId="3" borderId="5"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center" vertical="center"/>
    </xf>
    <xf numFmtId="0" fontId="4" fillId="0" borderId="0" xfId="0" applyFont="1" applyBorder="1" applyAlignment="1">
      <alignment vertical="center"/>
    </xf>
    <xf numFmtId="37" fontId="7" fillId="12" borderId="33" xfId="0" applyNumberFormat="1" applyFont="1" applyFill="1" applyBorder="1" applyAlignment="1" applyProtection="1">
      <alignment horizontal="left" vertical="center"/>
    </xf>
    <xf numFmtId="0" fontId="4" fillId="12" borderId="34" xfId="0" applyNumberFormat="1" applyFont="1" applyFill="1" applyBorder="1" applyAlignment="1" applyProtection="1">
      <alignment horizontal="left" vertical="center"/>
    </xf>
    <xf numFmtId="1" fontId="4" fillId="12" borderId="34" xfId="0" applyNumberFormat="1" applyFont="1" applyFill="1" applyBorder="1" applyAlignment="1" applyProtection="1">
      <alignment horizontal="center" vertical="center"/>
    </xf>
    <xf numFmtId="0" fontId="3" fillId="0" borderId="0" xfId="11" applyFont="1" applyFill="1" applyAlignment="1" applyProtection="1">
      <alignment vertical="center"/>
    </xf>
    <xf numFmtId="37" fontId="4" fillId="11" borderId="17" xfId="0" applyNumberFormat="1" applyFont="1" applyFill="1" applyBorder="1" applyAlignment="1" applyProtection="1">
      <alignment vertical="center"/>
    </xf>
    <xf numFmtId="0" fontId="4" fillId="12" borderId="0" xfId="19" applyFont="1" applyFill="1"/>
    <xf numFmtId="0" fontId="2" fillId="0" borderId="0" xfId="19"/>
    <xf numFmtId="0" fontId="4" fillId="12" borderId="0" xfId="19" applyFont="1" applyFill="1" applyAlignment="1">
      <alignment vertical="center"/>
    </xf>
    <xf numFmtId="37" fontId="4" fillId="12" borderId="0" xfId="19" applyNumberFormat="1" applyFont="1" applyFill="1" applyAlignment="1">
      <alignment vertical="center"/>
    </xf>
    <xf numFmtId="0" fontId="4" fillId="12" borderId="8" xfId="19" applyFont="1" applyFill="1" applyBorder="1" applyAlignment="1">
      <alignment vertical="center"/>
    </xf>
    <xf numFmtId="0" fontId="4" fillId="12" borderId="0" xfId="19" applyFont="1" applyFill="1" applyAlignment="1">
      <alignment horizontal="center" vertical="center"/>
    </xf>
    <xf numFmtId="0" fontId="5" fillId="12" borderId="0" xfId="19" applyFont="1" applyFill="1" applyAlignment="1">
      <alignment horizontal="center" vertical="center"/>
    </xf>
    <xf numFmtId="175" fontId="4" fillId="12" borderId="0" xfId="19" applyNumberFormat="1" applyFont="1" applyFill="1" applyAlignment="1">
      <alignment vertical="center"/>
    </xf>
    <xf numFmtId="175" fontId="4" fillId="12" borderId="13" xfId="19" applyNumberFormat="1" applyFont="1" applyFill="1" applyBorder="1" applyAlignment="1">
      <alignment vertical="center"/>
    </xf>
    <xf numFmtId="6" fontId="4" fillId="12" borderId="0" xfId="19" applyNumberFormat="1" applyFont="1" applyFill="1" applyBorder="1" applyAlignment="1">
      <alignment vertical="center"/>
    </xf>
    <xf numFmtId="175" fontId="4" fillId="12" borderId="0" xfId="19" applyNumberFormat="1" applyFont="1" applyFill="1" applyBorder="1" applyAlignment="1">
      <alignment vertical="center"/>
    </xf>
    <xf numFmtId="0" fontId="53" fillId="15" borderId="0" xfId="19" applyFont="1" applyFill="1" applyAlignment="1">
      <alignment vertical="center"/>
    </xf>
    <xf numFmtId="0" fontId="53" fillId="12" borderId="0" xfId="19" applyFont="1" applyFill="1" applyAlignment="1">
      <alignment horizontal="center" vertical="center"/>
    </xf>
    <xf numFmtId="172" fontId="4" fillId="12" borderId="0" xfId="19" applyNumberFormat="1" applyFont="1" applyFill="1" applyAlignment="1">
      <alignment horizontal="center" vertical="center"/>
    </xf>
    <xf numFmtId="178" fontId="53" fillId="12" borderId="0" xfId="19" applyNumberFormat="1" applyFont="1" applyFill="1" applyAlignment="1">
      <alignment horizontal="center" vertical="center"/>
    </xf>
    <xf numFmtId="0" fontId="53" fillId="15" borderId="0" xfId="19" applyFont="1" applyFill="1" applyAlignment="1">
      <alignment horizontal="center" vertical="center"/>
    </xf>
    <xf numFmtId="0" fontId="54" fillId="15" borderId="0" xfId="19" applyFont="1" applyFill="1" applyAlignment="1">
      <alignment horizontal="center" vertical="center"/>
    </xf>
    <xf numFmtId="0" fontId="4" fillId="12" borderId="0" xfId="19" applyFont="1" applyFill="1" applyAlignment="1">
      <alignment horizontal="right" vertical="center"/>
    </xf>
    <xf numFmtId="0" fontId="4" fillId="12" borderId="0" xfId="19" applyFont="1" applyFill="1" applyAlignment="1">
      <alignment horizontal="left" vertical="center"/>
    </xf>
    <xf numFmtId="0" fontId="4" fillId="12" borderId="0" xfId="13" applyFont="1" applyFill="1"/>
    <xf numFmtId="0" fontId="2" fillId="12" borderId="0" xfId="19" applyFill="1"/>
    <xf numFmtId="0" fontId="3" fillId="12" borderId="0" xfId="13" applyFont="1" applyFill="1"/>
    <xf numFmtId="0" fontId="2" fillId="12" borderId="0" xfId="13" applyFill="1"/>
    <xf numFmtId="0" fontId="10" fillId="0" borderId="0" xfId="8" applyAlignment="1" applyProtection="1"/>
    <xf numFmtId="0" fontId="3" fillId="3" borderId="0" xfId="0" applyFont="1" applyFill="1" applyAlignment="1" applyProtection="1">
      <alignment horizontal="right" vertical="center"/>
    </xf>
    <xf numFmtId="0" fontId="4" fillId="3" borderId="3" xfId="0" applyFont="1" applyFill="1" applyBorder="1" applyProtection="1"/>
    <xf numFmtId="49" fontId="4" fillId="2" borderId="1" xfId="0" applyNumberFormat="1" applyFont="1" applyFill="1" applyBorder="1" applyAlignment="1" applyProtection="1">
      <alignment horizontal="center" vertical="center"/>
      <protection locked="0"/>
    </xf>
    <xf numFmtId="170" fontId="4" fillId="3" borderId="10" xfId="0" applyNumberFormat="1" applyFont="1" applyFill="1" applyBorder="1" applyAlignment="1" applyProtection="1">
      <alignment vertical="center"/>
    </xf>
    <xf numFmtId="0" fontId="0" fillId="3" borderId="11" xfId="0" applyFill="1" applyBorder="1" applyAlignment="1" applyProtection="1">
      <alignment vertical="center"/>
    </xf>
    <xf numFmtId="37" fontId="4" fillId="12" borderId="0" xfId="0" applyNumberFormat="1" applyFont="1" applyFill="1" applyBorder="1" applyAlignment="1" applyProtection="1">
      <alignment horizontal="left" vertical="center"/>
    </xf>
    <xf numFmtId="179" fontId="4" fillId="2" borderId="1" xfId="0" applyNumberFormat="1" applyFont="1" applyFill="1" applyBorder="1" applyAlignment="1" applyProtection="1">
      <alignment horizontal="center" vertical="center"/>
      <protection locked="0"/>
    </xf>
    <xf numFmtId="179" fontId="4" fillId="2" borderId="7" xfId="0" applyNumberFormat="1" applyFont="1" applyFill="1" applyBorder="1" applyAlignment="1" applyProtection="1">
      <alignment horizontal="center" vertical="center"/>
      <protection locked="0"/>
    </xf>
    <xf numFmtId="49" fontId="4" fillId="0" borderId="0" xfId="313" applyNumberFormat="1" applyFont="1" applyFill="1" applyAlignment="1" applyProtection="1">
      <alignment horizontal="left" vertical="center"/>
      <protection locked="0"/>
    </xf>
    <xf numFmtId="0" fontId="2" fillId="0" borderId="0" xfId="10"/>
    <xf numFmtId="0" fontId="55" fillId="0" borderId="0" xfId="10" applyFont="1"/>
    <xf numFmtId="0" fontId="4" fillId="0" borderId="0" xfId="10" applyFont="1"/>
    <xf numFmtId="49" fontId="4" fillId="4" borderId="0" xfId="313" applyNumberFormat="1" applyFont="1" applyFill="1" applyAlignment="1" applyProtection="1">
      <alignment horizontal="left" vertical="center"/>
      <protection locked="0"/>
    </xf>
    <xf numFmtId="0" fontId="53" fillId="0" borderId="0" xfId="313" applyFont="1" applyAlignment="1">
      <alignment horizontal="left" vertical="center"/>
    </xf>
    <xf numFmtId="0" fontId="4" fillId="4" borderId="0" xfId="313" applyFont="1" applyFill="1" applyAlignment="1" applyProtection="1">
      <alignment horizontal="left" vertical="center"/>
      <protection locked="0"/>
    </xf>
    <xf numFmtId="0" fontId="28" fillId="4" borderId="0" xfId="313" applyFill="1" applyAlignment="1" applyProtection="1">
      <alignment horizontal="left" vertical="center"/>
      <protection locked="0"/>
    </xf>
    <xf numFmtId="0" fontId="56" fillId="0" borderId="0" xfId="313" applyFont="1"/>
    <xf numFmtId="173" fontId="57" fillId="0" borderId="0" xfId="313" applyNumberFormat="1" applyFont="1" applyAlignment="1">
      <alignment horizontal="left" vertical="center"/>
    </xf>
    <xf numFmtId="0" fontId="57" fillId="0" borderId="0" xfId="313" applyNumberFormat="1" applyFont="1" applyAlignment="1">
      <alignment horizontal="left" vertical="center"/>
    </xf>
    <xf numFmtId="1" fontId="57" fillId="0" borderId="0" xfId="313" applyNumberFormat="1" applyFont="1" applyAlignment="1">
      <alignment horizontal="left" vertical="center"/>
    </xf>
    <xf numFmtId="0" fontId="58" fillId="0" borderId="0" xfId="313" applyFont="1" applyAlignment="1">
      <alignment horizontal="left" vertical="center"/>
    </xf>
    <xf numFmtId="0" fontId="21" fillId="0" borderId="0" xfId="0" applyNumberFormat="1" applyFont="1" applyFill="1" applyBorder="1" applyAlignment="1" applyProtection="1">
      <alignment horizontal="center" vertical="center"/>
    </xf>
    <xf numFmtId="0" fontId="24" fillId="0" borderId="0" xfId="0" applyFont="1" applyAlignment="1">
      <alignment wrapText="1"/>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52" fillId="0" borderId="0" xfId="0" applyFont="1" applyAlignment="1">
      <alignment wrapText="1"/>
    </xf>
    <xf numFmtId="0" fontId="23" fillId="0" borderId="0" xfId="0" applyNumberFormat="1" applyFont="1" applyFill="1" applyBorder="1" applyAlignment="1" applyProtection="1">
      <alignment vertical="center" wrapText="1"/>
    </xf>
    <xf numFmtId="0" fontId="3" fillId="0" borderId="0" xfId="0" applyFont="1" applyAlignment="1">
      <alignment wrapText="1"/>
    </xf>
    <xf numFmtId="0" fontId="25" fillId="0" borderId="0" xfId="0" applyNumberFormat="1" applyFont="1" applyFill="1" applyBorder="1" applyAlignment="1" applyProtection="1">
      <alignment vertical="center"/>
    </xf>
    <xf numFmtId="0" fontId="4" fillId="3" borderId="0" xfId="0" applyFont="1" applyFill="1" applyBorder="1" applyAlignment="1" applyProtection="1">
      <alignment vertical="center"/>
      <protection locked="0"/>
    </xf>
    <xf numFmtId="0" fontId="4" fillId="3" borderId="0" xfId="0" applyFont="1" applyFill="1" applyBorder="1" applyAlignment="1" applyProtection="1">
      <alignment horizontal="left" vertical="center"/>
    </xf>
    <xf numFmtId="3" fontId="4" fillId="12" borderId="0" xfId="1" applyNumberFormat="1" applyFont="1" applyFill="1" applyBorder="1" applyAlignment="1" applyProtection="1">
      <alignment vertical="center"/>
    </xf>
    <xf numFmtId="0" fontId="0" fillId="12" borderId="0" xfId="0" applyFill="1" applyBorder="1" applyAlignment="1" applyProtection="1">
      <alignment horizontal="center" vertical="center"/>
    </xf>
    <xf numFmtId="37" fontId="4" fillId="3" borderId="0" xfId="0" applyNumberFormat="1" applyFont="1" applyFill="1" applyBorder="1" applyAlignment="1" applyProtection="1">
      <alignment horizontal="fill" vertical="center"/>
      <protection locked="0"/>
    </xf>
    <xf numFmtId="37" fontId="4" fillId="3" borderId="0" xfId="0" applyNumberFormat="1" applyFont="1" applyFill="1" applyBorder="1" applyAlignment="1" applyProtection="1">
      <alignment horizontal="centerContinuous" vertical="center"/>
    </xf>
    <xf numFmtId="37" fontId="4" fillId="3" borderId="0" xfId="0" applyNumberFormat="1" applyFont="1" applyFill="1" applyBorder="1" applyAlignment="1" applyProtection="1">
      <alignment horizontal="center" vertical="center"/>
      <protection locked="0"/>
    </xf>
    <xf numFmtId="0" fontId="4" fillId="12" borderId="30" xfId="28" applyFont="1" applyFill="1" applyBorder="1" applyAlignment="1" applyProtection="1">
      <alignment vertical="center"/>
    </xf>
    <xf numFmtId="0" fontId="4" fillId="12" borderId="0" xfId="28" applyFont="1" applyFill="1" applyBorder="1" applyAlignment="1" applyProtection="1">
      <alignment vertical="center"/>
    </xf>
    <xf numFmtId="0" fontId="4" fillId="12" borderId="15" xfId="28" applyFont="1" applyFill="1" applyBorder="1" applyAlignment="1" applyProtection="1">
      <alignment vertical="center"/>
    </xf>
    <xf numFmtId="0" fontId="34" fillId="12" borderId="30" xfId="28" applyFont="1" applyFill="1" applyBorder="1" applyAlignment="1" applyProtection="1">
      <alignment horizontal="left" vertical="center"/>
    </xf>
    <xf numFmtId="0" fontId="34" fillId="12" borderId="0" xfId="28" applyFont="1" applyFill="1" applyBorder="1" applyAlignment="1" applyProtection="1">
      <alignment vertical="center"/>
    </xf>
    <xf numFmtId="175" fontId="34" fillId="13" borderId="1" xfId="28" applyNumberFormat="1" applyFont="1" applyFill="1" applyBorder="1" applyAlignment="1" applyProtection="1">
      <alignment horizontal="center" vertical="center"/>
      <protection locked="0"/>
    </xf>
    <xf numFmtId="0" fontId="34" fillId="12" borderId="30" xfId="28" applyFont="1" applyFill="1" applyBorder="1" applyAlignment="1" applyProtection="1">
      <alignment vertical="center"/>
    </xf>
    <xf numFmtId="0" fontId="4" fillId="12" borderId="0" xfId="28" applyFont="1" applyFill="1" applyBorder="1" applyAlignment="1" applyProtection="1">
      <alignment vertical="center"/>
      <protection locked="0"/>
    </xf>
    <xf numFmtId="0" fontId="34" fillId="12" borderId="0" xfId="28" applyFont="1" applyFill="1" applyBorder="1" applyAlignment="1" applyProtection="1">
      <alignment vertical="center"/>
      <protection locked="0"/>
    </xf>
    <xf numFmtId="172" fontId="34" fillId="12" borderId="10" xfId="28" applyNumberFormat="1" applyFont="1" applyFill="1" applyBorder="1" applyAlignment="1" applyProtection="1">
      <alignment horizontal="center" vertical="center"/>
      <protection locked="0"/>
    </xf>
    <xf numFmtId="0" fontId="40" fillId="15" borderId="30" xfId="28" applyFont="1" applyFill="1" applyBorder="1" applyAlignment="1" applyProtection="1">
      <alignment vertical="center"/>
      <protection locked="0"/>
    </xf>
    <xf numFmtId="0" fontId="4" fillId="15" borderId="0" xfId="28" applyFont="1" applyFill="1" applyBorder="1" applyAlignment="1" applyProtection="1">
      <alignment vertical="center"/>
      <protection locked="0"/>
    </xf>
    <xf numFmtId="0" fontId="34" fillId="15" borderId="0" xfId="28" applyFont="1" applyFill="1" applyBorder="1" applyAlignment="1" applyProtection="1">
      <alignment vertical="center"/>
      <protection locked="0"/>
    </xf>
    <xf numFmtId="175" fontId="40" fillId="15" borderId="10" xfId="28" applyNumberFormat="1" applyFont="1" applyFill="1" applyBorder="1" applyAlignment="1" applyProtection="1">
      <alignment horizontal="center" vertical="center"/>
      <protection locked="0"/>
    </xf>
    <xf numFmtId="37" fontId="34" fillId="3" borderId="9" xfId="0" applyNumberFormat="1" applyFont="1" applyFill="1" applyBorder="1" applyAlignment="1" applyProtection="1">
      <alignment horizontal="left" vertical="center"/>
    </xf>
    <xf numFmtId="0" fontId="4" fillId="12" borderId="8" xfId="0" applyFont="1" applyFill="1" applyBorder="1" applyAlignment="1" applyProtection="1">
      <alignment vertical="center"/>
      <protection locked="0"/>
    </xf>
    <xf numFmtId="175" fontId="40" fillId="15" borderId="12" xfId="0" applyNumberFormat="1" applyFont="1" applyFill="1" applyBorder="1" applyAlignment="1" applyProtection="1">
      <alignment horizontal="center" vertical="center"/>
      <protection locked="0"/>
    </xf>
    <xf numFmtId="175" fontId="34" fillId="12" borderId="30" xfId="28" applyNumberFormat="1" applyFont="1" applyFill="1" applyBorder="1" applyAlignment="1" applyProtection="1">
      <alignment horizontal="center" vertical="center"/>
    </xf>
    <xf numFmtId="0" fontId="34" fillId="12" borderId="0" xfId="28" applyFont="1" applyFill="1" applyBorder="1" applyAlignment="1" applyProtection="1">
      <alignment horizontal="left" vertical="center"/>
    </xf>
    <xf numFmtId="0" fontId="34" fillId="12" borderId="15" xfId="28" applyFont="1" applyFill="1" applyBorder="1" applyAlignment="1" applyProtection="1">
      <alignment vertical="center"/>
    </xf>
    <xf numFmtId="175" fontId="34" fillId="12" borderId="9" xfId="28" applyNumberFormat="1" applyFont="1" applyFill="1" applyBorder="1" applyAlignment="1" applyProtection="1">
      <alignment horizontal="center" vertical="center"/>
    </xf>
    <xf numFmtId="0" fontId="50" fillId="0" borderId="0" xfId="0" applyFont="1" applyProtection="1">
      <protection locked="0"/>
    </xf>
    <xf numFmtId="0" fontId="43" fillId="0" borderId="0" xfId="0" applyFont="1" applyAlignment="1" applyProtection="1">
      <alignment vertical="center"/>
    </xf>
    <xf numFmtId="175" fontId="34" fillId="12" borderId="30" xfId="28" applyNumberFormat="1" applyFont="1" applyFill="1" applyBorder="1" applyAlignment="1" applyProtection="1">
      <alignment vertical="center"/>
    </xf>
    <xf numFmtId="175" fontId="40" fillId="15" borderId="9" xfId="28" applyNumberFormat="1" applyFont="1" applyFill="1" applyBorder="1" applyAlignment="1" applyProtection="1">
      <alignment horizontal="center" vertical="center"/>
    </xf>
    <xf numFmtId="0" fontId="40" fillId="15" borderId="8" xfId="28" applyFont="1" applyFill="1" applyBorder="1" applyAlignment="1" applyProtection="1">
      <alignment vertical="center"/>
    </xf>
    <xf numFmtId="0" fontId="34" fillId="15" borderId="12" xfId="28" applyFont="1" applyFill="1" applyBorder="1" applyAlignment="1" applyProtection="1">
      <alignment vertical="center"/>
    </xf>
    <xf numFmtId="0" fontId="4" fillId="15" borderId="12" xfId="28" applyFont="1" applyFill="1" applyBorder="1" applyAlignment="1" applyProtection="1">
      <alignment vertical="center"/>
    </xf>
    <xf numFmtId="172" fontId="34" fillId="12" borderId="30" xfId="0" applyNumberFormat="1" applyFont="1" applyFill="1" applyBorder="1" applyAlignment="1" applyProtection="1">
      <alignment horizontal="center" vertical="center"/>
    </xf>
    <xf numFmtId="0" fontId="34" fillId="12" borderId="0" xfId="0" applyFont="1" applyFill="1" applyBorder="1" applyAlignment="1" applyProtection="1">
      <alignment horizontal="left" vertical="center"/>
    </xf>
    <xf numFmtId="0" fontId="39"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2" fontId="34" fillId="15" borderId="9" xfId="0" applyNumberFormat="1" applyFont="1" applyFill="1" applyBorder="1" applyAlignment="1" applyProtection="1">
      <alignment horizontal="center" vertical="center"/>
    </xf>
    <xf numFmtId="172" fontId="34" fillId="12" borderId="2" xfId="0" applyNumberFormat="1" applyFont="1" applyFill="1" applyBorder="1" applyAlignment="1" applyProtection="1">
      <alignment horizontal="center" vertical="center"/>
    </xf>
    <xf numFmtId="172" fontId="34" fillId="15" borderId="2" xfId="0" applyNumberFormat="1" applyFont="1" applyFill="1" applyBorder="1" applyAlignment="1" applyProtection="1">
      <alignment horizontal="center" vertical="center"/>
    </xf>
    <xf numFmtId="0" fontId="34" fillId="12" borderId="8" xfId="0" applyFont="1" applyFill="1" applyBorder="1" applyAlignment="1" applyProtection="1">
      <alignment horizontal="left" vertical="center"/>
    </xf>
    <xf numFmtId="0" fontId="39" fillId="12" borderId="8" xfId="0" applyFont="1" applyFill="1" applyBorder="1" applyAlignment="1" applyProtection="1">
      <alignment horizontal="center" vertical="center"/>
    </xf>
    <xf numFmtId="0" fontId="0" fillId="12" borderId="12" xfId="0" applyFill="1" applyBorder="1" applyAlignment="1" applyProtection="1">
      <alignment vertical="center"/>
    </xf>
    <xf numFmtId="0" fontId="34" fillId="0" borderId="0" xfId="11" applyFont="1" applyFill="1" applyBorder="1" applyAlignment="1" applyProtection="1">
      <alignment horizontal="left" vertical="center"/>
    </xf>
    <xf numFmtId="0" fontId="34" fillId="0" borderId="0" xfId="11" applyFont="1" applyFill="1" applyBorder="1" applyAlignment="1" applyProtection="1">
      <alignment vertical="center"/>
    </xf>
    <xf numFmtId="175" fontId="34" fillId="0" borderId="0" xfId="11" applyNumberFormat="1" applyFont="1" applyFill="1" applyBorder="1" applyAlignment="1" applyProtection="1">
      <alignment horizontal="center" vertical="center"/>
      <protection locked="0"/>
    </xf>
    <xf numFmtId="0" fontId="40" fillId="0" borderId="0" xfId="11" applyFont="1" applyFill="1" applyBorder="1" applyAlignment="1" applyProtection="1">
      <alignment horizontal="center" vertical="center"/>
    </xf>
    <xf numFmtId="0" fontId="40" fillId="0" borderId="0" xfId="11" applyFont="1" applyFill="1" applyBorder="1" applyAlignment="1" applyProtection="1">
      <alignment vertical="center"/>
    </xf>
    <xf numFmtId="175" fontId="40" fillId="0" borderId="0" xfId="11" applyNumberFormat="1" applyFont="1" applyFill="1" applyBorder="1" applyAlignment="1" applyProtection="1">
      <alignment horizontal="center" vertical="center"/>
    </xf>
    <xf numFmtId="0" fontId="34" fillId="12" borderId="30" xfId="0" applyFont="1" applyFill="1" applyBorder="1" applyAlignment="1" applyProtection="1">
      <alignment vertical="center"/>
    </xf>
    <xf numFmtId="0" fontId="34" fillId="12" borderId="0" xfId="0" applyFont="1" applyFill="1" applyBorder="1" applyAlignment="1" applyProtection="1">
      <alignment vertical="center"/>
    </xf>
    <xf numFmtId="175" fontId="34" fillId="12" borderId="15" xfId="0" applyNumberFormat="1" applyFont="1" applyFill="1" applyBorder="1" applyAlignment="1" applyProtection="1">
      <alignment horizontal="center" vertical="center"/>
    </xf>
    <xf numFmtId="0" fontId="34" fillId="12" borderId="30" xfId="0" applyFont="1" applyFill="1" applyBorder="1" applyAlignment="1" applyProtection="1">
      <alignment horizontal="left" vertical="center"/>
    </xf>
    <xf numFmtId="175" fontId="34" fillId="13" borderId="1" xfId="0" applyNumberFormat="1" applyFont="1" applyFill="1" applyBorder="1" applyAlignment="1" applyProtection="1">
      <alignment horizontal="center" vertical="center"/>
      <protection locked="0"/>
    </xf>
    <xf numFmtId="172" fontId="40" fillId="12" borderId="10" xfId="13" applyNumberFormat="1" applyFont="1" applyFill="1" applyBorder="1" applyAlignment="1" applyProtection="1">
      <alignment horizontal="center" vertical="center"/>
    </xf>
    <xf numFmtId="0" fontId="40" fillId="15" borderId="30" xfId="0" applyFont="1" applyFill="1" applyBorder="1" applyAlignment="1" applyProtection="1">
      <alignment vertical="center"/>
    </xf>
    <xf numFmtId="0" fontId="4" fillId="15" borderId="0" xfId="0" applyFont="1" applyFill="1" applyBorder="1" applyAlignment="1" applyProtection="1">
      <alignment vertical="center"/>
    </xf>
    <xf numFmtId="0" fontId="34" fillId="15" borderId="0" xfId="0" applyFont="1" applyFill="1" applyBorder="1" applyAlignment="1" applyProtection="1">
      <alignment vertical="center"/>
    </xf>
    <xf numFmtId="175" fontId="40" fillId="15" borderId="10" xfId="0" applyNumberFormat="1" applyFont="1" applyFill="1" applyBorder="1" applyAlignment="1" applyProtection="1">
      <alignment horizontal="center" vertical="center"/>
    </xf>
    <xf numFmtId="0" fontId="44" fillId="12" borderId="8" xfId="0" applyFont="1" applyFill="1" applyBorder="1" applyAlignment="1">
      <alignment horizontal="left" vertical="center"/>
    </xf>
    <xf numFmtId="0" fontId="4" fillId="3" borderId="15" xfId="8" applyNumberFormat="1" applyFont="1" applyFill="1" applyBorder="1" applyAlignment="1" applyProtection="1">
      <alignment horizontal="right" vertical="center"/>
    </xf>
    <xf numFmtId="175" fontId="11" fillId="12" borderId="30" xfId="28" applyNumberFormat="1" applyFont="1" applyFill="1" applyBorder="1" applyAlignment="1" applyProtection="1">
      <alignment horizontal="center" vertical="center"/>
    </xf>
    <xf numFmtId="0" fontId="11" fillId="12" borderId="0" xfId="28" applyFont="1" applyFill="1" applyBorder="1" applyAlignment="1" applyProtection="1">
      <alignment horizontal="left" vertical="center"/>
    </xf>
    <xf numFmtId="0" fontId="11" fillId="12" borderId="0" xfId="28" applyFont="1" applyFill="1" applyBorder="1" applyAlignment="1" applyProtection="1">
      <alignment vertical="center"/>
    </xf>
    <xf numFmtId="175" fontId="11" fillId="12" borderId="9" xfId="28" applyNumberFormat="1" applyFont="1" applyFill="1" applyBorder="1" applyAlignment="1" applyProtection="1">
      <alignment horizontal="center" vertical="center"/>
    </xf>
    <xf numFmtId="0" fontId="50" fillId="0" borderId="0" xfId="0" applyFont="1" applyAlignment="1" applyProtection="1">
      <alignment vertical="center"/>
      <protection locked="0"/>
    </xf>
    <xf numFmtId="175" fontId="11" fillId="12" borderId="30" xfId="28" applyNumberFormat="1" applyFont="1" applyFill="1" applyBorder="1" applyAlignment="1" applyProtection="1">
      <alignment vertical="center"/>
    </xf>
    <xf numFmtId="175" fontId="11" fillId="15" borderId="9" xfId="28" applyNumberFormat="1" applyFont="1" applyFill="1" applyBorder="1" applyAlignment="1" applyProtection="1">
      <alignment horizontal="center" vertical="center"/>
    </xf>
    <xf numFmtId="0" fontId="11" fillId="15" borderId="8" xfId="28" applyFont="1" applyFill="1" applyBorder="1" applyAlignment="1" applyProtection="1">
      <alignment vertical="center"/>
    </xf>
    <xf numFmtId="0" fontId="4" fillId="15" borderId="12" xfId="0" applyFont="1" applyFill="1" applyBorder="1" applyAlignment="1" applyProtection="1">
      <alignment vertical="center"/>
      <protection locked="0"/>
    </xf>
    <xf numFmtId="172" fontId="40" fillId="12" borderId="10" xfId="0" applyNumberFormat="1" applyFont="1" applyFill="1" applyBorder="1" applyAlignment="1" applyProtection="1">
      <alignment horizontal="center" vertical="center"/>
    </xf>
    <xf numFmtId="0" fontId="4" fillId="12" borderId="15" xfId="0" applyFont="1" applyFill="1" applyBorder="1" applyProtection="1">
      <protection locked="0"/>
    </xf>
    <xf numFmtId="175" fontId="34" fillId="12" borderId="30" xfId="0" applyNumberFormat="1" applyFont="1" applyFill="1" applyBorder="1" applyAlignment="1" applyProtection="1">
      <alignment horizontal="center" vertical="center"/>
    </xf>
    <xf numFmtId="0" fontId="34" fillId="12" borderId="15" xfId="0" applyFont="1" applyFill="1" applyBorder="1" applyAlignment="1" applyProtection="1">
      <alignment vertical="center"/>
    </xf>
    <xf numFmtId="175" fontId="34" fillId="12" borderId="9" xfId="0" applyNumberFormat="1" applyFont="1" applyFill="1" applyBorder="1" applyAlignment="1" applyProtection="1">
      <alignment horizontal="center" vertical="center"/>
    </xf>
    <xf numFmtId="0" fontId="4" fillId="12" borderId="15" xfId="0" applyFont="1" applyFill="1" applyBorder="1" applyAlignment="1" applyProtection="1">
      <alignment vertical="center"/>
      <protection locked="0"/>
    </xf>
    <xf numFmtId="175" fontId="34" fillId="12" borderId="30" xfId="0" applyNumberFormat="1" applyFont="1" applyFill="1" applyBorder="1" applyAlignment="1" applyProtection="1">
      <alignment vertical="center"/>
    </xf>
    <xf numFmtId="175" fontId="34" fillId="15" borderId="9" xfId="0" applyNumberFormat="1" applyFont="1" applyFill="1" applyBorder="1" applyAlignment="1" applyProtection="1">
      <alignment horizontal="center" vertical="center"/>
    </xf>
    <xf numFmtId="0" fontId="34" fillId="15" borderId="8" xfId="0" applyFont="1" applyFill="1" applyBorder="1" applyAlignment="1" applyProtection="1">
      <alignment vertical="center"/>
    </xf>
    <xf numFmtId="0" fontId="34" fillId="15" borderId="12" xfId="0" applyFont="1" applyFill="1" applyBorder="1" applyAlignment="1" applyProtection="1">
      <alignment vertical="center"/>
    </xf>
    <xf numFmtId="0" fontId="4" fillId="15" borderId="12" xfId="0" applyFont="1" applyFill="1" applyBorder="1" applyProtection="1">
      <protection locked="0"/>
    </xf>
    <xf numFmtId="177" fontId="4" fillId="3" borderId="1" xfId="0" applyNumberFormat="1" applyFont="1" applyFill="1" applyBorder="1" applyAlignment="1" applyProtection="1">
      <alignment horizontal="right" vertical="center"/>
    </xf>
    <xf numFmtId="170"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0" xfId="0" applyNumberFormat="1" applyFont="1" applyFill="1" applyBorder="1" applyAlignment="1" applyProtection="1">
      <alignment horizontal="right" vertical="center"/>
    </xf>
    <xf numFmtId="0" fontId="4" fillId="3" borderId="20" xfId="0" applyFont="1" applyFill="1" applyBorder="1" applyAlignment="1" applyProtection="1">
      <alignment horizontal="right" vertical="center"/>
    </xf>
    <xf numFmtId="3" fontId="4" fillId="3" borderId="35" xfId="0" applyNumberFormat="1" applyFont="1" applyFill="1" applyBorder="1" applyAlignment="1" applyProtection="1">
      <alignment horizontal="right" vertical="center"/>
    </xf>
    <xf numFmtId="171" fontId="4" fillId="3" borderId="35" xfId="0" applyNumberFormat="1" applyFont="1" applyFill="1" applyBorder="1" applyAlignment="1" applyProtection="1">
      <alignment horizontal="right" vertical="center"/>
    </xf>
    <xf numFmtId="1" fontId="4" fillId="5" borderId="2" xfId="0" applyNumberFormat="1" applyFont="1" applyFill="1" applyBorder="1" applyAlignment="1" applyProtection="1">
      <alignment vertical="center"/>
      <protection locked="0"/>
    </xf>
    <xf numFmtId="1" fontId="4" fillId="5" borderId="1" xfId="0" applyNumberFormat="1" applyFont="1" applyFill="1" applyBorder="1" applyAlignment="1" applyProtection="1">
      <alignment vertical="center"/>
      <protection locked="0"/>
    </xf>
    <xf numFmtId="1" fontId="4" fillId="11" borderId="2" xfId="0" applyNumberFormat="1" applyFont="1" applyFill="1" applyBorder="1" applyAlignment="1" applyProtection="1">
      <alignment vertical="center"/>
    </xf>
    <xf numFmtId="1" fontId="4" fillId="11" borderId="1" xfId="0" applyNumberFormat="1" applyFont="1" applyFill="1" applyBorder="1" applyAlignment="1" applyProtection="1">
      <alignment vertical="center"/>
    </xf>
    <xf numFmtId="179" fontId="4" fillId="3" borderId="0" xfId="0" applyNumberFormat="1" applyFont="1" applyFill="1" applyAlignment="1">
      <alignment horizontal="center" vertical="center"/>
    </xf>
    <xf numFmtId="0" fontId="53" fillId="0" borderId="0" xfId="0" applyFont="1" applyAlignment="1" applyProtection="1">
      <alignment vertical="center"/>
      <protection locked="0"/>
    </xf>
    <xf numFmtId="0" fontId="4" fillId="12" borderId="0" xfId="0" applyFont="1" applyFill="1" applyAlignment="1" applyProtection="1">
      <alignment vertical="center"/>
      <protection locked="0"/>
    </xf>
    <xf numFmtId="0" fontId="4" fillId="3" borderId="3" xfId="19" applyFont="1" applyFill="1" applyBorder="1" applyAlignment="1" applyProtection="1">
      <alignment horizontal="center" vertical="center"/>
    </xf>
    <xf numFmtId="0" fontId="4" fillId="3" borderId="7" xfId="19" applyFont="1" applyFill="1" applyBorder="1" applyAlignment="1" applyProtection="1">
      <alignment horizontal="center" vertical="center"/>
    </xf>
    <xf numFmtId="179" fontId="4" fillId="2" borderId="1" xfId="19" applyNumberFormat="1" applyFont="1" applyFill="1" applyBorder="1" applyAlignment="1" applyProtection="1">
      <alignment vertical="center"/>
      <protection locked="0"/>
    </xf>
    <xf numFmtId="3" fontId="4" fillId="3" borderId="1" xfId="19" applyNumberFormat="1" applyFont="1" applyFill="1" applyBorder="1" applyAlignment="1" applyProtection="1">
      <alignment vertical="center"/>
    </xf>
    <xf numFmtId="0" fontId="4" fillId="0" borderId="0" xfId="66" applyFont="1" applyAlignment="1">
      <alignment vertical="center"/>
    </xf>
    <xf numFmtId="0" fontId="4" fillId="0" borderId="0" xfId="318" applyFont="1" applyAlignment="1">
      <alignment vertical="center" wrapText="1"/>
    </xf>
    <xf numFmtId="0" fontId="4" fillId="0" borderId="0" xfId="12" applyFont="1" applyAlignment="1">
      <alignment vertical="center" wrapText="1"/>
    </xf>
    <xf numFmtId="0" fontId="4" fillId="0" borderId="0" xfId="13" applyFont="1" applyAlignment="1">
      <alignment vertical="center" wrapText="1"/>
    </xf>
    <xf numFmtId="0" fontId="4" fillId="0" borderId="0" xfId="33" applyFont="1" applyAlignment="1">
      <alignment vertical="center" wrapText="1"/>
    </xf>
    <xf numFmtId="0" fontId="4" fillId="0" borderId="0" xfId="25" applyFont="1" applyAlignment="1">
      <alignment vertical="center" wrapText="1"/>
    </xf>
    <xf numFmtId="0" fontId="4" fillId="0" borderId="0" xfId="55" applyFont="1" applyAlignment="1">
      <alignment vertical="center" wrapText="1"/>
    </xf>
    <xf numFmtId="0" fontId="4" fillId="0" borderId="0" xfId="62" applyFont="1" applyAlignment="1">
      <alignment vertical="center" wrapText="1"/>
    </xf>
    <xf numFmtId="0" fontId="4" fillId="0" borderId="0" xfId="85" applyFont="1" applyAlignment="1">
      <alignment vertical="center" wrapText="1"/>
    </xf>
    <xf numFmtId="0" fontId="45" fillId="0" borderId="0" xfId="0" applyFont="1" applyAlignment="1" applyProtection="1">
      <alignment vertical="center"/>
    </xf>
    <xf numFmtId="0" fontId="10" fillId="18" borderId="0" xfId="8" applyFill="1" applyAlignment="1" applyProtection="1"/>
    <xf numFmtId="0" fontId="46" fillId="18" borderId="0" xfId="284" applyFill="1"/>
    <xf numFmtId="0" fontId="4" fillId="0" borderId="0" xfId="93" applyFont="1" applyAlignment="1">
      <alignment vertical="center"/>
    </xf>
    <xf numFmtId="0" fontId="0" fillId="0" borderId="1" xfId="0" applyFill="1" applyBorder="1"/>
    <xf numFmtId="0" fontId="4" fillId="0" borderId="1" xfId="0" applyNumberFormat="1" applyFont="1" applyFill="1" applyBorder="1" applyAlignment="1" applyProtection="1">
      <alignment horizontal="center" vertical="center"/>
    </xf>
    <xf numFmtId="37" fontId="7"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fill"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0" xfId="0" applyFont="1" applyFill="1" applyAlignment="1" applyProtection="1">
      <alignment horizontal="right" vertical="center"/>
    </xf>
    <xf numFmtId="37" fontId="34" fillId="0" borderId="1" xfId="0" applyNumberFormat="1" applyFont="1" applyFill="1" applyBorder="1" applyAlignment="1" applyProtection="1">
      <alignment vertical="center"/>
      <protection locked="0"/>
    </xf>
    <xf numFmtId="0" fontId="15" fillId="0" borderId="0" xfId="0" applyFont="1" applyFill="1" applyAlignment="1" applyProtection="1">
      <alignment vertical="center"/>
    </xf>
    <xf numFmtId="0" fontId="61" fillId="0" borderId="0" xfId="328" applyFont="1" applyFill="1"/>
    <xf numFmtId="0" fontId="4" fillId="0" borderId="0" xfId="0" applyFont="1" applyFill="1" applyAlignment="1" applyProtection="1">
      <alignment horizontal="left" vertical="center"/>
      <protection locked="0"/>
    </xf>
    <xf numFmtId="37" fontId="3" fillId="0" borderId="1" xfId="0" applyNumberFormat="1" applyFont="1" applyFill="1" applyBorder="1" applyAlignment="1" applyProtection="1">
      <alignment vertical="center"/>
    </xf>
    <xf numFmtId="0" fontId="4" fillId="0" borderId="1" xfId="0" applyFont="1" applyFill="1" applyBorder="1" applyAlignment="1" applyProtection="1">
      <alignment vertical="center"/>
      <protection locked="0"/>
    </xf>
    <xf numFmtId="37" fontId="4" fillId="0" borderId="1" xfId="0" applyNumberFormat="1" applyFont="1" applyFill="1" applyBorder="1" applyAlignment="1" applyProtection="1">
      <alignment vertical="center"/>
      <protection locked="0"/>
    </xf>
    <xf numFmtId="0" fontId="61" fillId="0" borderId="0" xfId="327" applyFont="1" applyFill="1"/>
    <xf numFmtId="0" fontId="4" fillId="0" borderId="1" xfId="0" applyFont="1" applyFill="1" applyBorder="1" applyAlignment="1" applyProtection="1">
      <alignment horizontal="left" vertical="center"/>
      <protection locked="0"/>
    </xf>
    <xf numFmtId="37" fontId="4"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center"/>
    </xf>
    <xf numFmtId="0" fontId="4" fillId="0" borderId="7" xfId="0" applyNumberFormat="1" applyFont="1" applyFill="1" applyBorder="1" applyAlignment="1" applyProtection="1">
      <alignment horizontal="center" vertical="center"/>
    </xf>
    <xf numFmtId="0" fontId="4" fillId="0" borderId="8" xfId="0" applyFont="1" applyFill="1" applyBorder="1" applyAlignment="1" applyProtection="1">
      <alignment vertical="center"/>
    </xf>
    <xf numFmtId="37" fontId="7" fillId="0" borderId="3" xfId="0" applyNumberFormat="1" applyFont="1" applyFill="1" applyBorder="1" applyAlignment="1" applyProtection="1">
      <alignment horizontal="center" vertical="center"/>
    </xf>
    <xf numFmtId="1" fontId="7" fillId="0" borderId="3" xfId="0" applyNumberFormat="1" applyFont="1" applyFill="1" applyBorder="1" applyAlignment="1" applyProtection="1">
      <alignment horizontal="center" vertical="center"/>
    </xf>
    <xf numFmtId="0" fontId="4" fillId="0" borderId="0" xfId="0" applyFont="1" applyFill="1" applyAlignment="1" applyProtection="1">
      <alignment horizontal="fill" vertical="center"/>
    </xf>
    <xf numFmtId="0" fontId="3" fillId="0" borderId="0" xfId="0" applyFont="1" applyFill="1" applyAlignment="1" applyProtection="1">
      <alignment vertical="center"/>
    </xf>
    <xf numFmtId="0" fontId="0" fillId="0" borderId="0" xfId="0" applyFill="1"/>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37" fontId="4" fillId="0" borderId="0" xfId="0" applyNumberFormat="1" applyFont="1" applyFill="1" applyAlignment="1" applyProtection="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3" fillId="3" borderId="14" xfId="0" applyFont="1" applyFill="1" applyBorder="1" applyAlignment="1" applyProtection="1">
      <alignment horizontal="center" vertical="center"/>
    </xf>
    <xf numFmtId="0" fontId="18" fillId="0" borderId="14" xfId="0" applyFont="1" applyBorder="1" applyAlignment="1">
      <alignment vertical="center"/>
    </xf>
    <xf numFmtId="37" fontId="3" fillId="3" borderId="14" xfId="0" applyNumberFormat="1" applyFont="1" applyFill="1" applyBorder="1" applyAlignment="1" applyProtection="1">
      <alignment horizontal="center" vertical="center"/>
    </xf>
    <xf numFmtId="0" fontId="18" fillId="0" borderId="14" xfId="0" applyFont="1" applyBorder="1" applyAlignment="1">
      <alignment horizontal="center" vertical="center"/>
    </xf>
    <xf numFmtId="37" fontId="4" fillId="3" borderId="3" xfId="0" applyNumberFormat="1" applyFont="1" applyFill="1" applyBorder="1" applyAlignment="1" applyProtection="1">
      <alignment horizontal="center" vertical="center" wrapText="1"/>
    </xf>
    <xf numFmtId="0" fontId="0" fillId="0" borderId="7" xfId="0" applyBorder="1" applyAlignment="1">
      <alignment horizontal="center" vertical="center" wrapText="1"/>
    </xf>
    <xf numFmtId="0" fontId="15" fillId="3" borderId="0" xfId="0" applyFont="1" applyFill="1" applyBorder="1" applyAlignment="1">
      <alignment vertical="center"/>
    </xf>
    <xf numFmtId="0" fontId="19" fillId="0" borderId="0" xfId="0" applyFont="1" applyAlignment="1">
      <alignment vertical="center"/>
    </xf>
    <xf numFmtId="0" fontId="4" fillId="7" borderId="3" xfId="0" applyFont="1" applyFill="1" applyBorder="1" applyAlignment="1">
      <alignment horizontal="center" vertical="center" wrapText="1"/>
    </xf>
    <xf numFmtId="0" fontId="0" fillId="0" borderId="6" xfId="0" applyBorder="1" applyAlignment="1">
      <alignment horizontal="center" vertical="center" wrapText="1"/>
    </xf>
    <xf numFmtId="3" fontId="4" fillId="3" borderId="3" xfId="0" applyNumberFormat="1" applyFont="1" applyFill="1" applyBorder="1" applyAlignment="1" applyProtection="1">
      <alignment horizontal="center" vertical="center" wrapText="1"/>
    </xf>
    <xf numFmtId="0" fontId="4" fillId="8" borderId="0" xfId="0" applyFont="1" applyFill="1" applyBorder="1" applyAlignment="1">
      <alignment vertical="center" wrapText="1"/>
    </xf>
    <xf numFmtId="0" fontId="0" fillId="0" borderId="0" xfId="0" applyAlignment="1">
      <alignment vertical="center"/>
    </xf>
    <xf numFmtId="37" fontId="3" fillId="3" borderId="30" xfId="0" applyNumberFormat="1" applyFont="1" applyFill="1" applyBorder="1" applyAlignment="1" applyProtection="1">
      <alignment horizontal="center" vertical="center"/>
    </xf>
    <xf numFmtId="0" fontId="0" fillId="0" borderId="15" xfId="0"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37" fontId="3" fillId="10" borderId="14" xfId="0" applyNumberFormat="1" applyFont="1" applyFill="1" applyBorder="1" applyAlignment="1" applyProtection="1">
      <alignment horizontal="center" vertical="center"/>
    </xf>
    <xf numFmtId="0" fontId="0" fillId="0" borderId="14" xfId="0" applyBorder="1" applyAlignment="1">
      <alignment horizontal="center" vertical="center"/>
    </xf>
    <xf numFmtId="37" fontId="12" fillId="3" borderId="0" xfId="0" applyNumberFormat="1" applyFont="1" applyFill="1" applyBorder="1" applyAlignment="1" applyProtection="1">
      <alignment horizontal="center" vertical="center"/>
    </xf>
    <xf numFmtId="0" fontId="1" fillId="3" borderId="14" xfId="0" applyFont="1" applyFill="1" applyBorder="1" applyAlignment="1">
      <alignment horizontal="center" vertical="center"/>
    </xf>
    <xf numFmtId="37" fontId="4" fillId="3" borderId="6"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3" fontId="4" fillId="3" borderId="6" xfId="0" applyNumberFormat="1" applyFont="1" applyFill="1" applyBorder="1" applyAlignment="1" applyProtection="1">
      <alignment vertical="center" wrapText="1"/>
      <protection locked="0"/>
    </xf>
    <xf numFmtId="3" fontId="4" fillId="3" borderId="7" xfId="0" applyNumberFormat="1" applyFont="1" applyFill="1" applyBorder="1" applyAlignment="1" applyProtection="1">
      <alignment vertical="center" wrapText="1"/>
      <protection locked="0"/>
    </xf>
    <xf numFmtId="0" fontId="4" fillId="0" borderId="0" xfId="313" applyFont="1" applyAlignment="1">
      <alignment horizontal="left" vertical="center" wrapText="1"/>
    </xf>
    <xf numFmtId="0" fontId="28" fillId="0" borderId="0" xfId="313" applyAlignment="1">
      <alignment horizontal="left" vertical="center" wrapText="1"/>
    </xf>
    <xf numFmtId="0" fontId="12" fillId="0" borderId="0" xfId="313" applyFont="1" applyAlignment="1">
      <alignment horizontal="left" vertical="center"/>
    </xf>
    <xf numFmtId="0" fontId="29" fillId="3" borderId="0" xfId="0" applyFont="1" applyFill="1" applyAlignment="1" applyProtection="1">
      <alignment horizontal="center" vertical="center"/>
    </xf>
    <xf numFmtId="37" fontId="4" fillId="12" borderId="0" xfId="0" applyNumberFormat="1" applyFont="1" applyFill="1" applyAlignment="1" applyProtection="1">
      <alignment horizontal="center" vertical="center"/>
    </xf>
    <xf numFmtId="0" fontId="8" fillId="16" borderId="2" xfId="0" applyFont="1" applyFill="1" applyBorder="1" applyAlignment="1" applyProtection="1">
      <alignment horizontal="center" vertical="center"/>
    </xf>
    <xf numFmtId="0" fontId="33" fillId="16" borderId="10" xfId="0" applyFont="1" applyFill="1" applyBorder="1" applyAlignment="1">
      <alignment horizontal="center" vertical="center"/>
    </xf>
    <xf numFmtId="3" fontId="4" fillId="13" borderId="5" xfId="0" applyNumberFormat="1" applyFont="1" applyFill="1" applyBorder="1" applyAlignment="1" applyProtection="1">
      <alignment horizontal="center" vertical="center"/>
      <protection locked="0"/>
    </xf>
    <xf numFmtId="3" fontId="0" fillId="13" borderId="4" xfId="0" applyNumberFormat="1" applyFill="1" applyBorder="1" applyAlignment="1" applyProtection="1">
      <alignment horizontal="center" vertical="center"/>
      <protection locked="0"/>
    </xf>
    <xf numFmtId="0" fontId="4" fillId="3" borderId="0" xfId="0" applyFont="1" applyFill="1" applyAlignment="1" applyProtection="1">
      <alignment horizontal="center" vertical="center"/>
    </xf>
    <xf numFmtId="3" fontId="4" fillId="13" borderId="2" xfId="0" applyNumberFormat="1" applyFont="1" applyFill="1" applyBorder="1" applyAlignment="1" applyProtection="1">
      <alignment horizontal="center" vertical="center"/>
      <protection locked="0"/>
    </xf>
    <xf numFmtId="3" fontId="0" fillId="13" borderId="10" xfId="0" applyNumberFormat="1" applyFill="1" applyBorder="1" applyAlignment="1" applyProtection="1">
      <alignment horizontal="center" vertical="center"/>
      <protection locked="0"/>
    </xf>
    <xf numFmtId="3" fontId="4" fillId="14" borderId="2" xfId="0" applyNumberFormat="1" applyFont="1" applyFill="1" applyBorder="1" applyAlignment="1" applyProtection="1">
      <alignment horizontal="center" vertical="center"/>
    </xf>
    <xf numFmtId="3" fontId="0" fillId="14" borderId="10" xfId="0" applyNumberFormat="1" applyFill="1" applyBorder="1" applyAlignment="1">
      <alignment horizontal="center" vertical="center"/>
    </xf>
    <xf numFmtId="0" fontId="4" fillId="16" borderId="5" xfId="0" applyFont="1" applyFill="1" applyBorder="1" applyAlignment="1" applyProtection="1">
      <alignment horizontal="center" vertical="center" wrapText="1"/>
    </xf>
    <xf numFmtId="0" fontId="0" fillId="16" borderId="4"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2" xfId="0" applyFill="1" applyBorder="1" applyAlignment="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4" fillId="3" borderId="2" xfId="0" applyNumberFormat="1" applyFont="1" applyFill="1" applyBorder="1" applyAlignment="1" applyProtection="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0" fontId="4" fillId="3" borderId="9" xfId="0" applyFont="1" applyFill="1" applyBorder="1" applyAlignment="1" applyProtection="1">
      <alignment horizontal="center"/>
    </xf>
    <xf numFmtId="0" fontId="0" fillId="0" borderId="12" xfId="0" applyBorder="1" applyAlignment="1" applyProtection="1"/>
    <xf numFmtId="1" fontId="4" fillId="3" borderId="9" xfId="0" applyNumberFormat="1" applyFont="1" applyFill="1" applyBorder="1" applyAlignment="1" applyProtection="1">
      <alignment horizontal="center"/>
    </xf>
    <xf numFmtId="0" fontId="0" fillId="0" borderId="12" xfId="0" applyBorder="1" applyAlignment="1" applyProtection="1">
      <alignment horizontal="center"/>
    </xf>
    <xf numFmtId="0" fontId="12" fillId="12" borderId="0" xfId="316" applyFont="1" applyFill="1" applyAlignment="1">
      <alignment horizontal="center"/>
    </xf>
    <xf numFmtId="0" fontId="2" fillId="12" borderId="0" xfId="19" applyFill="1" applyAlignment="1">
      <alignment horizontal="center"/>
    </xf>
    <xf numFmtId="0" fontId="3" fillId="12" borderId="0" xfId="19" applyFont="1" applyFill="1" applyAlignment="1">
      <alignment horizontal="center" vertical="center"/>
    </xf>
    <xf numFmtId="0" fontId="12" fillId="12" borderId="0" xfId="19" applyFont="1" applyFill="1" applyAlignment="1">
      <alignment horizontal="center" vertical="center"/>
    </xf>
    <xf numFmtId="0" fontId="4" fillId="12" borderId="0" xfId="19" applyFont="1" applyFill="1" applyAlignment="1">
      <alignment vertical="center" wrapText="1"/>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3" fontId="4" fillId="3" borderId="13" xfId="32" applyNumberFormat="1" applyFont="1" applyFill="1" applyBorder="1" applyAlignment="1" applyProtection="1">
      <alignment horizontal="right" vertical="center"/>
    </xf>
    <xf numFmtId="0" fontId="2" fillId="0" borderId="4" xfId="32" applyBorder="1" applyAlignment="1">
      <alignment horizontal="right" vertical="center"/>
    </xf>
    <xf numFmtId="0" fontId="4" fillId="3" borderId="0" xfId="32" applyFont="1" applyFill="1" applyAlignment="1" applyProtection="1">
      <alignment horizontal="right" vertical="center"/>
    </xf>
    <xf numFmtId="0" fontId="4" fillId="0" borderId="15" xfId="32" applyFont="1" applyBorder="1" applyAlignment="1">
      <alignment horizontal="right" vertical="center"/>
    </xf>
    <xf numFmtId="0" fontId="39" fillId="12" borderId="5" xfId="28" applyFont="1" applyFill="1" applyBorder="1" applyAlignment="1" applyProtection="1">
      <alignment horizontal="center" vertical="center"/>
    </xf>
    <xf numFmtId="0" fontId="39" fillId="12" borderId="13" xfId="28" applyFont="1" applyFill="1" applyBorder="1" applyAlignment="1" applyProtection="1">
      <alignment horizontal="center" vertical="center"/>
    </xf>
    <xf numFmtId="0" fontId="2" fillId="0" borderId="4" xfId="28" applyBorder="1" applyAlignment="1" applyProtection="1">
      <alignment vertical="center"/>
    </xf>
    <xf numFmtId="0" fontId="0" fillId="0" borderId="13" xfId="0" applyBorder="1" applyAlignment="1">
      <alignment vertical="center"/>
    </xf>
    <xf numFmtId="0" fontId="0" fillId="0" borderId="4" xfId="0" applyBorder="1" applyAlignment="1">
      <alignment vertical="center"/>
    </xf>
    <xf numFmtId="172" fontId="39" fillId="12" borderId="5" xfId="0" applyNumberFormat="1" applyFont="1" applyFill="1" applyBorder="1" applyAlignment="1" applyProtection="1">
      <alignment horizontal="center"/>
    </xf>
    <xf numFmtId="0" fontId="14" fillId="0" borderId="13" xfId="0" applyFont="1" applyBorder="1" applyAlignment="1"/>
    <xf numFmtId="0" fontId="14" fillId="0" borderId="4" xfId="0" applyFont="1" applyBorder="1" applyAlignment="1"/>
    <xf numFmtId="0" fontId="39" fillId="12" borderId="5" xfId="0" applyFont="1" applyFill="1" applyBorder="1" applyAlignment="1" applyProtection="1">
      <alignment horizontal="center" vertical="center"/>
    </xf>
    <xf numFmtId="0" fontId="41" fillId="12" borderId="5" xfId="28" applyFont="1" applyFill="1" applyBorder="1" applyAlignment="1" applyProtection="1">
      <alignment horizontal="center" vertical="center"/>
    </xf>
    <xf numFmtId="0" fontId="0" fillId="0" borderId="13" xfId="0" applyBorder="1" applyAlignment="1">
      <alignment horizontal="center" vertical="center"/>
    </xf>
    <xf numFmtId="0" fontId="44" fillId="0" borderId="13" xfId="0" applyFont="1" applyBorder="1" applyAlignment="1">
      <alignment horizontal="center" vertical="center"/>
    </xf>
    <xf numFmtId="0" fontId="0" fillId="0" borderId="4" xfId="0" applyBorder="1" applyAlignment="1"/>
    <xf numFmtId="0" fontId="0" fillId="0" borderId="0" xfId="0" applyBorder="1" applyAlignment="1">
      <alignment horizontal="right"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12" fillId="12" borderId="5" xfId="29" applyFont="1" applyFill="1" applyBorder="1" applyAlignment="1" applyProtection="1">
      <alignment horizontal="center"/>
    </xf>
    <xf numFmtId="0" fontId="0" fillId="0" borderId="13" xfId="0" applyBorder="1" applyAlignment="1">
      <alignment horizontal="center"/>
    </xf>
    <xf numFmtId="0" fontId="0" fillId="0" borderId="4" xfId="0" applyBorder="1" applyAlignment="1">
      <alignment horizontal="center"/>
    </xf>
    <xf numFmtId="0" fontId="12" fillId="12" borderId="13" xfId="29" applyFont="1" applyFill="1" applyBorder="1" applyAlignment="1" applyProtection="1">
      <alignment horizontal="center"/>
    </xf>
    <xf numFmtId="0" fontId="12" fillId="12" borderId="4" xfId="29" applyFont="1" applyFill="1" applyBorder="1" applyAlignment="1" applyProtection="1">
      <alignment horizontal="center"/>
    </xf>
    <xf numFmtId="0" fontId="2" fillId="0" borderId="13" xfId="29" applyBorder="1" applyAlignment="1" applyProtection="1">
      <alignment horizontal="center"/>
    </xf>
    <xf numFmtId="0" fontId="2" fillId="0" borderId="4" xfId="29" applyBorder="1" applyAlignment="1" applyProtection="1">
      <alignment horizontal="center"/>
    </xf>
    <xf numFmtId="37" fontId="4" fillId="3" borderId="0" xfId="0" applyNumberFormat="1" applyFont="1" applyFill="1" applyBorder="1" applyAlignment="1" applyProtection="1">
      <alignment horizontal="center" vertical="center"/>
    </xf>
    <xf numFmtId="49" fontId="4" fillId="12" borderId="0" xfId="0" applyNumberFormat="1" applyFont="1" applyFill="1" applyBorder="1" applyAlignment="1" applyProtection="1">
      <alignment horizontal="left" vertical="center"/>
      <protection locked="0"/>
    </xf>
    <xf numFmtId="0" fontId="0" fillId="12" borderId="0" xfId="0" applyFill="1" applyBorder="1" applyAlignment="1" applyProtection="1">
      <alignment horizontal="left" vertical="center"/>
      <protection locked="0"/>
    </xf>
    <xf numFmtId="37" fontId="4" fillId="3" borderId="13" xfId="0" applyNumberFormat="1" applyFont="1" applyFill="1" applyBorder="1" applyAlignment="1" applyProtection="1">
      <alignment horizontal="center" vertical="center"/>
    </xf>
    <xf numFmtId="37" fontId="3" fillId="3" borderId="8" xfId="0" applyNumberFormat="1" applyFont="1" applyFill="1" applyBorder="1" applyAlignment="1" applyProtection="1">
      <alignment horizontal="center" vertical="center"/>
      <protection locked="0"/>
    </xf>
    <xf numFmtId="0" fontId="29" fillId="0" borderId="8" xfId="0" applyFont="1" applyBorder="1" applyAlignment="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0" fontId="4" fillId="0" borderId="0" xfId="0" applyFont="1" applyAlignment="1">
      <alignment horizontal="center" wrapText="1"/>
    </xf>
    <xf numFmtId="0" fontId="49" fillId="12" borderId="0" xfId="0" applyFont="1" applyFill="1" applyAlignment="1">
      <alignment horizontal="center" wrapText="1"/>
    </xf>
    <xf numFmtId="0" fontId="35" fillId="0" borderId="0" xfId="0" applyFont="1" applyAlignment="1">
      <alignment horizontal="center" wrapText="1"/>
    </xf>
    <xf numFmtId="0" fontId="49" fillId="12" borderId="0" xfId="0" applyFont="1" applyFill="1" applyAlignment="1">
      <alignment horizontal="center" vertical="center"/>
    </xf>
    <xf numFmtId="0" fontId="49" fillId="0" borderId="0" xfId="0" applyFont="1" applyAlignment="1">
      <alignment horizontal="center" vertical="center"/>
    </xf>
    <xf numFmtId="0" fontId="49" fillId="12" borderId="0" xfId="0" applyFont="1" applyFill="1" applyAlignment="1">
      <alignment horizontal="center"/>
    </xf>
    <xf numFmtId="0" fontId="35" fillId="12" borderId="0" xfId="0" applyFont="1" applyFill="1" applyAlignment="1">
      <alignment wrapText="1"/>
    </xf>
    <xf numFmtId="175" fontId="35" fillId="12" borderId="0" xfId="0" applyNumberFormat="1" applyFont="1" applyFill="1" applyAlignment="1"/>
    <xf numFmtId="175" fontId="35" fillId="13" borderId="8" xfId="0" applyNumberFormat="1" applyFont="1" applyFill="1" applyBorder="1" applyAlignment="1" applyProtection="1">
      <alignment horizontal="center"/>
      <protection locked="0"/>
    </xf>
    <xf numFmtId="0" fontId="35" fillId="0" borderId="0" xfId="0" applyFont="1" applyAlignment="1">
      <alignment wrapText="1"/>
    </xf>
    <xf numFmtId="0" fontId="35" fillId="12" borderId="14" xfId="0" applyFont="1" applyFill="1" applyBorder="1" applyAlignment="1"/>
    <xf numFmtId="0" fontId="35" fillId="12" borderId="31" xfId="0" applyFont="1" applyFill="1" applyBorder="1" applyAlignment="1"/>
    <xf numFmtId="0" fontId="49" fillId="12" borderId="27" xfId="0" applyFont="1" applyFill="1" applyBorder="1" applyAlignment="1">
      <alignment horizontal="center" vertical="center"/>
    </xf>
    <xf numFmtId="175" fontId="35" fillId="12" borderId="0" xfId="0" applyNumberFormat="1" applyFont="1" applyFill="1" applyAlignment="1">
      <alignment horizontal="center"/>
    </xf>
    <xf numFmtId="175" fontId="35" fillId="13" borderId="24"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0" xfId="0" applyFont="1" applyFill="1" applyBorder="1" applyAlignment="1">
      <alignment horizontal="center"/>
    </xf>
    <xf numFmtId="5" fontId="35" fillId="12" borderId="8" xfId="0" applyNumberFormat="1" applyFont="1" applyFill="1" applyBorder="1" applyAlignment="1">
      <alignment horizontal="center"/>
    </xf>
    <xf numFmtId="0" fontId="35" fillId="0" borderId="27" xfId="0" applyFont="1" applyBorder="1" applyAlignment="1">
      <alignment horizontal="center" vertical="center"/>
    </xf>
    <xf numFmtId="0" fontId="49" fillId="12" borderId="0" xfId="0" applyFont="1" applyFill="1" applyBorder="1" applyAlignment="1">
      <alignment horizontal="center" wrapText="1"/>
    </xf>
    <xf numFmtId="0" fontId="49" fillId="0" borderId="0" xfId="0" applyFont="1" applyAlignment="1">
      <alignment horizontal="center" wrapText="1"/>
    </xf>
    <xf numFmtId="0" fontId="35" fillId="12" borderId="0" xfId="0" applyFont="1" applyFill="1" applyBorder="1" applyAlignment="1">
      <alignment wrapText="1"/>
    </xf>
    <xf numFmtId="170" fontId="35" fillId="13" borderId="8" xfId="0" applyNumberFormat="1" applyFont="1" applyFill="1" applyBorder="1" applyAlignment="1" applyProtection="1">
      <alignment horizontal="center"/>
      <protection locked="0"/>
    </xf>
    <xf numFmtId="176" fontId="35" fillId="12" borderId="0" xfId="0" applyNumberFormat="1" applyFont="1" applyFill="1" applyBorder="1" applyAlignment="1">
      <alignment horizontal="center"/>
    </xf>
    <xf numFmtId="176" fontId="35" fillId="0" borderId="29" xfId="0" applyNumberFormat="1" applyFont="1" applyBorder="1" applyAlignment="1">
      <alignment horizont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0" fontId="35" fillId="12" borderId="23" xfId="0" applyFont="1" applyFill="1" applyBorder="1" applyAlignment="1">
      <alignment vertical="top" wrapText="1"/>
    </xf>
    <xf numFmtId="0" fontId="35" fillId="0" borderId="0" xfId="0" applyFont="1" applyAlignment="1">
      <alignment vertical="top" wrapText="1"/>
    </xf>
    <xf numFmtId="0" fontId="35" fillId="0" borderId="29" xfId="0" applyFont="1" applyBorder="1" applyAlignment="1">
      <alignment vertical="top" wrapText="1"/>
    </xf>
    <xf numFmtId="0" fontId="35" fillId="0" borderId="29" xfId="0" applyFont="1" applyBorder="1" applyAlignment="1">
      <alignment horizontal="center"/>
    </xf>
  </cellXfs>
  <cellStyles count="332">
    <cellStyle name="Comma" xfId="1" builtinId="3"/>
    <cellStyle name="Comma 11 2" xfId="2"/>
    <cellStyle name="Comma 16" xfId="3"/>
    <cellStyle name="Comma 16 2" xfId="4"/>
    <cellStyle name="Comma 16 3" xfId="5"/>
    <cellStyle name="Comma 2" xfId="6"/>
    <cellStyle name="Comma 2 2" xfId="7"/>
    <cellStyle name="Comma 2 3" xfId="323"/>
    <cellStyle name="Comma 3" xfId="324"/>
    <cellStyle name="Comma 4" xfId="325"/>
    <cellStyle name="Hyperlink" xfId="8" builtinId="8"/>
    <cellStyle name="Hyperlink 7 2" xfId="9"/>
    <cellStyle name="Normal" xfId="0" builtinId="0"/>
    <cellStyle name="Normal 10" xfId="10"/>
    <cellStyle name="Normal 10 2" xfId="11"/>
    <cellStyle name="Normal 10 2 2" xfId="12"/>
    <cellStyle name="Normal 10 2 2 2" xfId="13"/>
    <cellStyle name="Normal 10 3" xfId="14"/>
    <cellStyle name="Normal 10 3 2" xfId="15"/>
    <cellStyle name="Normal 10 4" xfId="16"/>
    <cellStyle name="Normal 10 4 2" xfId="17"/>
    <cellStyle name="Normal 10 4 3" xfId="18"/>
    <cellStyle name="Normal 10 5" xfId="19"/>
    <cellStyle name="Normal 10 6" xfId="20"/>
    <cellStyle name="Normal 10 6 2" xfId="21"/>
    <cellStyle name="Normal 10 6 3" xfId="22"/>
    <cellStyle name="Normal 10 7" xfId="23"/>
    <cellStyle name="Normal 11" xfId="24"/>
    <cellStyle name="Normal 11 2" xfId="25"/>
    <cellStyle name="Normal 11 3" xfId="26"/>
    <cellStyle name="Normal 11 4" xfId="27"/>
    <cellStyle name="Normal 12" xfId="28"/>
    <cellStyle name="Normal 12 10" xfId="29"/>
    <cellStyle name="Normal 12 11" xfId="30"/>
    <cellStyle name="Normal 12 12" xfId="31"/>
    <cellStyle name="Normal 12 2" xfId="32"/>
    <cellStyle name="Normal 12 2 2" xfId="33"/>
    <cellStyle name="Normal 12 3" xfId="34"/>
    <cellStyle name="Normal 12 4" xfId="35"/>
    <cellStyle name="Normal 12 5" xfId="36"/>
    <cellStyle name="Normal 12 6" xfId="37"/>
    <cellStyle name="Normal 12 7" xfId="38"/>
    <cellStyle name="Normal 12 8" xfId="39"/>
    <cellStyle name="Normal 12 9" xfId="40"/>
    <cellStyle name="Normal 13" xfId="41"/>
    <cellStyle name="Normal 13 10" xfId="42"/>
    <cellStyle name="Normal 13 11" xfId="43"/>
    <cellStyle name="Normal 13 12" xfId="44"/>
    <cellStyle name="Normal 13 2" xfId="45"/>
    <cellStyle name="Normal 13 2 2" xfId="46"/>
    <cellStyle name="Normal 13 3" xfId="47"/>
    <cellStyle name="Normal 13 4" xfId="48"/>
    <cellStyle name="Normal 13 5" xfId="49"/>
    <cellStyle name="Normal 13 6" xfId="50"/>
    <cellStyle name="Normal 13 7" xfId="51"/>
    <cellStyle name="Normal 13 8" xfId="52"/>
    <cellStyle name="Normal 13 9" xfId="53"/>
    <cellStyle name="Normal 14" xfId="54"/>
    <cellStyle name="Normal 14 2" xfId="55"/>
    <cellStyle name="Normal 14 3" xfId="56"/>
    <cellStyle name="Normal 14 4" xfId="57"/>
    <cellStyle name="Normal 14 5" xfId="58"/>
    <cellStyle name="Normal 14 6" xfId="59"/>
    <cellStyle name="Normal 14 7"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9" xfId="82"/>
    <cellStyle name="Normal 19 2" xfId="83"/>
    <cellStyle name="Normal 19 2 2" xfId="84"/>
    <cellStyle name="Normal 19 2 3" xfId="85"/>
    <cellStyle name="Normal 19 3" xfId="86"/>
    <cellStyle name="Normal 19 4" xfId="87"/>
    <cellStyle name="Normal 19 5" xfId="88"/>
    <cellStyle name="Normal 19 6" xfId="89"/>
    <cellStyle name="Normal 19 7" xfId="90"/>
    <cellStyle name="Normal 2 10" xfId="91"/>
    <cellStyle name="Normal 2 10 10" xfId="92"/>
    <cellStyle name="Normal 2 10 2" xfId="93"/>
    <cellStyle name="Normal 2 10 2 2" xfId="94"/>
    <cellStyle name="Normal 2 10 3" xfId="95"/>
    <cellStyle name="Normal 2 10 3 2" xfId="96"/>
    <cellStyle name="Normal 2 10 4" xfId="97"/>
    <cellStyle name="Normal 2 10 4 2" xfId="98"/>
    <cellStyle name="Normal 2 10 5" xfId="99"/>
    <cellStyle name="Normal 2 10 5 2" xfId="100"/>
    <cellStyle name="Normal 2 10 6" xfId="101"/>
    <cellStyle name="Normal 2 10 6 2" xfId="102"/>
    <cellStyle name="Normal 2 10 7" xfId="103"/>
    <cellStyle name="Normal 2 10 7 2" xfId="104"/>
    <cellStyle name="Normal 2 10 8" xfId="105"/>
    <cellStyle name="Normal 2 10 8 2" xfId="106"/>
    <cellStyle name="Normal 2 10 9" xfId="107"/>
    <cellStyle name="Normal 2 11" xfId="108"/>
    <cellStyle name="Normal 2 11 10" xfId="109"/>
    <cellStyle name="Normal 2 11 2" xfId="110"/>
    <cellStyle name="Normal 2 11 2 2" xfId="111"/>
    <cellStyle name="Normal 2 11 3" xfId="112"/>
    <cellStyle name="Normal 2 11 3 2" xfId="113"/>
    <cellStyle name="Normal 2 11 4" xfId="114"/>
    <cellStyle name="Normal 2 11 4 2" xfId="115"/>
    <cellStyle name="Normal 2 11 5" xfId="116"/>
    <cellStyle name="Normal 2 11 5 2" xfId="117"/>
    <cellStyle name="Normal 2 11 6" xfId="118"/>
    <cellStyle name="Normal 2 11 6 2" xfId="119"/>
    <cellStyle name="Normal 2 11 7" xfId="120"/>
    <cellStyle name="Normal 2 11 7 2" xfId="121"/>
    <cellStyle name="Normal 2 11 8" xfId="122"/>
    <cellStyle name="Normal 2 11 8 2" xfId="123"/>
    <cellStyle name="Normal 2 11 9" xfId="124"/>
    <cellStyle name="Normal 2 12" xfId="125"/>
    <cellStyle name="Normal 2 13" xfId="126"/>
    <cellStyle name="Normal 2 14" xfId="127"/>
    <cellStyle name="Normal 2 15" xfId="128"/>
    <cellStyle name="Normal 2 15 2" xfId="326"/>
    <cellStyle name="Normal 2 2" xfId="129"/>
    <cellStyle name="Normal 2 2 10" xfId="130"/>
    <cellStyle name="Normal 2 2 10 2" xfId="131"/>
    <cellStyle name="Normal 2 2 11" xfId="132"/>
    <cellStyle name="Normal 2 2 11 2" xfId="133"/>
    <cellStyle name="Normal 2 2 12" xfId="134"/>
    <cellStyle name="Normal 2 2 12 2" xfId="135"/>
    <cellStyle name="Normal 2 2 13" xfId="136"/>
    <cellStyle name="Normal 2 2 13 2" xfId="137"/>
    <cellStyle name="Normal 2 2 14" xfId="138"/>
    <cellStyle name="Normal 2 2 14 2" xfId="139"/>
    <cellStyle name="Normal 2 2 15" xfId="140"/>
    <cellStyle name="Normal 2 2 15 2" xfId="141"/>
    <cellStyle name="Normal 2 2 16" xfId="142"/>
    <cellStyle name="Normal 2 2 17" xfId="143"/>
    <cellStyle name="Normal 2 2 18" xfId="144"/>
    <cellStyle name="Normal 2 2 19" xfId="145"/>
    <cellStyle name="Normal 2 2 2" xfId="146"/>
    <cellStyle name="Normal 2 2 2 2" xfId="147"/>
    <cellStyle name="Normal 2 2 2 2 2" xfId="148"/>
    <cellStyle name="Normal 2 2 2 3" xfId="149"/>
    <cellStyle name="Normal 2 2 2 3 2" xfId="150"/>
    <cellStyle name="Normal 2 2 2 4" xfId="151"/>
    <cellStyle name="Normal 2 2 2 4 2" xfId="152"/>
    <cellStyle name="Normal 2 2 2 5" xfId="153"/>
    <cellStyle name="Normal 2 2 2 5 2" xfId="154"/>
    <cellStyle name="Normal 2 2 2 6" xfId="155"/>
    <cellStyle name="Normal 2 2 2 6 2" xfId="156"/>
    <cellStyle name="Normal 2 2 2 7" xfId="157"/>
    <cellStyle name="Normal 2 2 2 8" xfId="158"/>
    <cellStyle name="Normal 2 2 20" xfId="159"/>
    <cellStyle name="Normal 2 2 21" xfId="160"/>
    <cellStyle name="Normal 2 2 3" xfId="161"/>
    <cellStyle name="Normal 2 2 3 2" xfId="162"/>
    <cellStyle name="Normal 2 2 4" xfId="163"/>
    <cellStyle name="Normal 2 2 4 2" xfId="164"/>
    <cellStyle name="Normal 2 2 5" xfId="165"/>
    <cellStyle name="Normal 2 2 5 2" xfId="166"/>
    <cellStyle name="Normal 2 2 6" xfId="167"/>
    <cellStyle name="Normal 2 2 6 2" xfId="168"/>
    <cellStyle name="Normal 2 2 7" xfId="169"/>
    <cellStyle name="Normal 2 2 7 2" xfId="170"/>
    <cellStyle name="Normal 2 2 8" xfId="171"/>
    <cellStyle name="Normal 2 2 8 2" xfId="172"/>
    <cellStyle name="Normal 2 2 9" xfId="173"/>
    <cellStyle name="Normal 2 2 9 2" xfId="174"/>
    <cellStyle name="Normal 2 3" xfId="175"/>
    <cellStyle name="Normal 2 3 10" xfId="176"/>
    <cellStyle name="Normal 2 3 11" xfId="177"/>
    <cellStyle name="Normal 2 3 12" xfId="178"/>
    <cellStyle name="Normal 2 3 13" xfId="179"/>
    <cellStyle name="Normal 2 3 14" xfId="180"/>
    <cellStyle name="Normal 2 3 2" xfId="181"/>
    <cellStyle name="Normal 2 3 2 2" xfId="182"/>
    <cellStyle name="Normal 2 3 3" xfId="183"/>
    <cellStyle name="Normal 2 3 3 2" xfId="184"/>
    <cellStyle name="Normal 2 3 4" xfId="185"/>
    <cellStyle name="Normal 2 3 5" xfId="186"/>
    <cellStyle name="Normal 2 3 6" xfId="187"/>
    <cellStyle name="Normal 2 3 7" xfId="188"/>
    <cellStyle name="Normal 2 3 8" xfId="189"/>
    <cellStyle name="Normal 2 3 9" xfId="190"/>
    <cellStyle name="Normal 2 4" xfId="191"/>
    <cellStyle name="Normal 2 4 10" xfId="192"/>
    <cellStyle name="Normal 2 4 11" xfId="193"/>
    <cellStyle name="Normal 2 4 2" xfId="194"/>
    <cellStyle name="Normal 2 4 2 2" xfId="195"/>
    <cellStyle name="Normal 2 4 3" xfId="196"/>
    <cellStyle name="Normal 2 4 3 2" xfId="197"/>
    <cellStyle name="Normal 2 4 4" xfId="198"/>
    <cellStyle name="Normal 2 4 5" xfId="199"/>
    <cellStyle name="Normal 2 4 6" xfId="200"/>
    <cellStyle name="Normal 2 4 7" xfId="201"/>
    <cellStyle name="Normal 2 4 8" xfId="202"/>
    <cellStyle name="Normal 2 4 9" xfId="203"/>
    <cellStyle name="Normal 2 5" xfId="204"/>
    <cellStyle name="Normal 2 5 10" xfId="205"/>
    <cellStyle name="Normal 2 5 11" xfId="206"/>
    <cellStyle name="Normal 2 5 2" xfId="207"/>
    <cellStyle name="Normal 2 5 2 2" xfId="208"/>
    <cellStyle name="Normal 2 5 3" xfId="209"/>
    <cellStyle name="Normal 2 5 3 2" xfId="210"/>
    <cellStyle name="Normal 2 5 4" xfId="211"/>
    <cellStyle name="Normal 2 5 5" xfId="212"/>
    <cellStyle name="Normal 2 5 6" xfId="213"/>
    <cellStyle name="Normal 2 5 7" xfId="214"/>
    <cellStyle name="Normal 2 5 8" xfId="215"/>
    <cellStyle name="Normal 2 5 9" xfId="216"/>
    <cellStyle name="Normal 2 6" xfId="217"/>
    <cellStyle name="Normal 2 6 10" xfId="218"/>
    <cellStyle name="Normal 2 6 11" xfId="219"/>
    <cellStyle name="Normal 2 6 2" xfId="220"/>
    <cellStyle name="Normal 2 6 2 2" xfId="221"/>
    <cellStyle name="Normal 2 6 3" xfId="222"/>
    <cellStyle name="Normal 2 6 3 2" xfId="223"/>
    <cellStyle name="Normal 2 6 4" xfId="224"/>
    <cellStyle name="Normal 2 6 5" xfId="225"/>
    <cellStyle name="Normal 2 6 6" xfId="226"/>
    <cellStyle name="Normal 2 6 7" xfId="227"/>
    <cellStyle name="Normal 2 6 8" xfId="228"/>
    <cellStyle name="Normal 2 6 9" xfId="229"/>
    <cellStyle name="Normal 2 7" xfId="230"/>
    <cellStyle name="Normal 2 7 10" xfId="231"/>
    <cellStyle name="Normal 2 7 2" xfId="232"/>
    <cellStyle name="Normal 2 7 2 2"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1" xfId="284"/>
    <cellStyle name="Normal 21 2" xfId="327"/>
    <cellStyle name="Normal 22" xfId="285"/>
    <cellStyle name="Normal 22 2" xfId="286"/>
    <cellStyle name="Normal 22 3" xfId="287"/>
    <cellStyle name="Normal 23" xfId="288"/>
    <cellStyle name="Normal 23 2" xfId="289"/>
    <cellStyle name="Normal 23 3" xfId="290"/>
    <cellStyle name="Normal 24" xfId="291"/>
    <cellStyle name="Normal 24 2" xfId="292"/>
    <cellStyle name="Normal 24 3" xfId="293"/>
    <cellStyle name="Normal 25" xfId="294"/>
    <cellStyle name="Normal 25 2" xfId="295"/>
    <cellStyle name="Normal 25 3" xfId="296"/>
    <cellStyle name="Normal 26" xfId="297"/>
    <cellStyle name="Normal 26 2" xfId="328"/>
    <cellStyle name="Normal 3" xfId="298"/>
    <cellStyle name="Normal 3 2" xfId="299"/>
    <cellStyle name="Normal 3 3" xfId="300"/>
    <cellStyle name="Normal 3 3 2" xfId="329"/>
    <cellStyle name="Normal 3 4" xfId="301"/>
    <cellStyle name="Normal 3 5" xfId="302"/>
    <cellStyle name="Normal 3 6" xfId="303"/>
    <cellStyle name="Normal 3 7" xfId="304"/>
    <cellStyle name="Normal 4" xfId="305"/>
    <cellStyle name="Normal 4 2" xfId="306"/>
    <cellStyle name="Normal 4 3" xfId="330"/>
    <cellStyle name="Normal 5 2" xfId="307"/>
    <cellStyle name="Normal 5 3" xfId="308"/>
    <cellStyle name="Normal 5 4" xfId="309"/>
    <cellStyle name="Normal 5 5" xfId="310"/>
    <cellStyle name="Normal 5 6" xfId="331"/>
    <cellStyle name="Normal 6" xfId="311"/>
    <cellStyle name="Normal 6 2" xfId="312"/>
    <cellStyle name="Normal 7 2" xfId="313"/>
    <cellStyle name="Normal 7 3" xfId="314"/>
    <cellStyle name="Normal 7 4" xfId="315"/>
    <cellStyle name="Normal 8 2" xfId="316"/>
    <cellStyle name="Normal 9" xfId="317"/>
    <cellStyle name="Normal 9 2" xfId="318"/>
    <cellStyle name="Normal 9 3" xfId="319"/>
    <cellStyle name="Normal 9 4" xfId="320"/>
    <cellStyle name="Normal_debt" xfId="321"/>
    <cellStyle name="Normal_lpform" xfId="322"/>
  </cellStyles>
  <dxfs count="32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189575</xdr:colOff>
      <xdr:row>37</xdr:row>
      <xdr:rowOff>83820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3575" cy="713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276225</xdr:colOff>
      <xdr:row>37</xdr:row>
      <xdr:rowOff>83820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72225" cy="713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9.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zoomScale="80" workbookViewId="0">
      <selection activeCell="C55" sqref="C55"/>
    </sheetView>
  </sheetViews>
  <sheetFormatPr defaultRowHeight="15.75" x14ac:dyDescent="0.2"/>
  <cols>
    <col min="1" max="1" width="75.77734375" style="69" customWidth="1"/>
    <col min="2" max="16384" width="8.88671875" style="69"/>
  </cols>
  <sheetData>
    <row r="1" spans="1:1" x14ac:dyDescent="0.2">
      <c r="A1" s="68" t="s">
        <v>190</v>
      </c>
    </row>
    <row r="3" spans="1:1" ht="39.75" customHeight="1" x14ac:dyDescent="0.2">
      <c r="A3" s="70" t="s">
        <v>148</v>
      </c>
    </row>
    <row r="4" spans="1:1" x14ac:dyDescent="0.2">
      <c r="A4" s="71"/>
    </row>
    <row r="5" spans="1:1" ht="49.5" customHeight="1" x14ac:dyDescent="0.2">
      <c r="A5" s="72" t="s">
        <v>191</v>
      </c>
    </row>
    <row r="6" spans="1:1" x14ac:dyDescent="0.2">
      <c r="A6" s="72"/>
    </row>
    <row r="7" spans="1:1" ht="85.5" customHeight="1" x14ac:dyDescent="0.2">
      <c r="A7" s="72" t="s">
        <v>959</v>
      </c>
    </row>
    <row r="8" spans="1:1" x14ac:dyDescent="0.2">
      <c r="A8" s="72"/>
    </row>
    <row r="9" spans="1:1" ht="32.25" customHeight="1" x14ac:dyDescent="0.2">
      <c r="A9" s="72" t="s">
        <v>149</v>
      </c>
    </row>
    <row r="11" spans="1:1" ht="51" customHeight="1" x14ac:dyDescent="0.2">
      <c r="A11" s="72" t="s">
        <v>257</v>
      </c>
    </row>
    <row r="13" spans="1:1" x14ac:dyDescent="0.2">
      <c r="A13" s="68" t="s">
        <v>202</v>
      </c>
    </row>
    <row r="14" spans="1:1" x14ac:dyDescent="0.2">
      <c r="A14" s="68"/>
    </row>
    <row r="15" spans="1:1" x14ac:dyDescent="0.2">
      <c r="A15" s="71" t="s">
        <v>203</v>
      </c>
    </row>
    <row r="17" spans="1:1" ht="43.5" customHeight="1" x14ac:dyDescent="0.2">
      <c r="A17" s="73" t="s">
        <v>363</v>
      </c>
    </row>
    <row r="18" spans="1:1" ht="9" customHeight="1" x14ac:dyDescent="0.2">
      <c r="A18" s="73"/>
    </row>
    <row r="20" spans="1:1" x14ac:dyDescent="0.2">
      <c r="A20" s="68" t="s">
        <v>272</v>
      </c>
    </row>
    <row r="22" spans="1:1" ht="31.5" x14ac:dyDescent="0.2">
      <c r="A22" s="72" t="s">
        <v>150</v>
      </c>
    </row>
    <row r="23" spans="1:1" x14ac:dyDescent="0.2">
      <c r="A23" s="72"/>
    </row>
    <row r="24" spans="1:1" x14ac:dyDescent="0.2">
      <c r="A24" s="74" t="s">
        <v>151</v>
      </c>
    </row>
    <row r="25" spans="1:1" ht="12" customHeight="1" x14ac:dyDescent="0.2">
      <c r="A25" s="72"/>
    </row>
    <row r="26" spans="1:1" x14ac:dyDescent="0.2">
      <c r="A26" s="75" t="s">
        <v>63</v>
      </c>
    </row>
    <row r="27" spans="1:1" x14ac:dyDescent="0.2">
      <c r="A27" s="76"/>
    </row>
    <row r="28" spans="1:1" ht="84.75" customHeight="1" x14ac:dyDescent="0.2">
      <c r="A28" s="77" t="s">
        <v>171</v>
      </c>
    </row>
    <row r="29" spans="1:1" ht="12.75" customHeight="1" x14ac:dyDescent="0.2">
      <c r="A29" s="78"/>
    </row>
    <row r="30" spans="1:1" x14ac:dyDescent="0.2">
      <c r="A30" s="79" t="s">
        <v>152</v>
      </c>
    </row>
    <row r="31" spans="1:1" x14ac:dyDescent="0.2">
      <c r="A31" s="78"/>
    </row>
    <row r="32" spans="1:1" x14ac:dyDescent="0.2">
      <c r="A32" s="80" t="s">
        <v>201</v>
      </c>
    </row>
    <row r="33" spans="1:1" x14ac:dyDescent="0.2">
      <c r="A33" s="78"/>
    </row>
    <row r="34" spans="1:1" x14ac:dyDescent="0.2">
      <c r="A34" s="72" t="s">
        <v>362</v>
      </c>
    </row>
    <row r="36" spans="1:1" x14ac:dyDescent="0.2">
      <c r="A36" s="68" t="s">
        <v>0</v>
      </c>
    </row>
    <row r="38" spans="1:1" ht="66.75" customHeight="1" x14ac:dyDescent="0.2">
      <c r="A38" s="72" t="s">
        <v>781</v>
      </c>
    </row>
    <row r="39" spans="1:1" ht="35.25" customHeight="1" x14ac:dyDescent="0.2">
      <c r="A39" s="72" t="s">
        <v>82</v>
      </c>
    </row>
    <row r="40" spans="1:1" ht="41.25" customHeight="1" x14ac:dyDescent="0.2">
      <c r="A40" s="72" t="s">
        <v>264</v>
      </c>
    </row>
    <row r="41" spans="1:1" ht="53.25" customHeight="1" x14ac:dyDescent="0.2">
      <c r="A41" s="81" t="s">
        <v>265</v>
      </c>
    </row>
    <row r="43" spans="1:1" ht="84" customHeight="1" x14ac:dyDescent="0.2">
      <c r="A43" s="72" t="s">
        <v>782</v>
      </c>
    </row>
    <row r="44" spans="1:1" ht="53.25" customHeight="1" x14ac:dyDescent="0.2">
      <c r="A44" s="72" t="s">
        <v>153</v>
      </c>
    </row>
    <row r="45" spans="1:1" ht="98.25" customHeight="1" x14ac:dyDescent="0.2">
      <c r="A45" s="72" t="s">
        <v>258</v>
      </c>
    </row>
    <row r="46" spans="1:1" ht="15.75" customHeight="1" x14ac:dyDescent="0.2">
      <c r="A46" s="72"/>
    </row>
    <row r="47" spans="1:1" ht="75.75" customHeight="1" x14ac:dyDescent="0.2">
      <c r="A47" s="797" t="s">
        <v>960</v>
      </c>
    </row>
    <row r="48" spans="1:1" ht="68.25" customHeight="1" x14ac:dyDescent="0.2">
      <c r="A48" s="438" t="s">
        <v>651</v>
      </c>
    </row>
    <row r="49" spans="1:1" ht="68.25" customHeight="1" x14ac:dyDescent="0.2">
      <c r="A49" s="798" t="s">
        <v>961</v>
      </c>
    </row>
    <row r="50" spans="1:1" ht="13.5" customHeight="1" x14ac:dyDescent="0.2">
      <c r="A50"/>
    </row>
    <row r="51" spans="1:1" ht="70.5" customHeight="1" x14ac:dyDescent="0.2">
      <c r="A51" s="72" t="s">
        <v>652</v>
      </c>
    </row>
    <row r="52" spans="1:1" ht="39.75" customHeight="1" x14ac:dyDescent="0.2">
      <c r="A52" s="72" t="s">
        <v>653</v>
      </c>
    </row>
    <row r="53" spans="1:1" ht="84.75" customHeight="1" x14ac:dyDescent="0.2">
      <c r="A53" s="72" t="s">
        <v>654</v>
      </c>
    </row>
    <row r="54" spans="1:1" ht="29.25" customHeight="1" x14ac:dyDescent="0.2">
      <c r="A54" s="569" t="s">
        <v>783</v>
      </c>
    </row>
    <row r="55" spans="1:1" ht="102" customHeight="1" x14ac:dyDescent="0.2">
      <c r="A55" s="569" t="s">
        <v>996</v>
      </c>
    </row>
    <row r="56" spans="1:1" ht="13.5" customHeight="1" x14ac:dyDescent="0.2">
      <c r="A56" s="72"/>
    </row>
    <row r="57" spans="1:1" ht="75" customHeight="1" x14ac:dyDescent="0.2">
      <c r="A57" s="72" t="s">
        <v>962</v>
      </c>
    </row>
    <row r="58" spans="1:1" ht="117" customHeight="1" x14ac:dyDescent="0.2">
      <c r="A58" s="72" t="s">
        <v>655</v>
      </c>
    </row>
    <row r="59" spans="1:1" ht="57.75" customHeight="1" x14ac:dyDescent="0.2">
      <c r="A59" s="72" t="s">
        <v>656</v>
      </c>
    </row>
    <row r="60" spans="1:1" ht="8.25" customHeight="1" x14ac:dyDescent="0.2">
      <c r="A60" s="72"/>
    </row>
    <row r="61" spans="1:1" ht="73.5" customHeight="1" x14ac:dyDescent="0.2">
      <c r="A61" s="799" t="s">
        <v>963</v>
      </c>
    </row>
    <row r="62" spans="1:1" ht="15.75" customHeight="1" x14ac:dyDescent="0.2">
      <c r="A62"/>
    </row>
    <row r="63" spans="1:1" ht="78.75" customHeight="1" x14ac:dyDescent="0.2">
      <c r="A63" s="72" t="s">
        <v>657</v>
      </c>
    </row>
    <row r="64" spans="1:1" ht="36" customHeight="1" x14ac:dyDescent="0.2">
      <c r="A64" s="72" t="s">
        <v>665</v>
      </c>
    </row>
    <row r="65" spans="1:1" ht="86.25" customHeight="1" x14ac:dyDescent="0.2">
      <c r="A65" s="72" t="s">
        <v>666</v>
      </c>
    </row>
    <row r="66" spans="1:1" s="72" customFormat="1" ht="32.25" customHeight="1" x14ac:dyDescent="0.2">
      <c r="A66" s="437" t="s">
        <v>667</v>
      </c>
    </row>
    <row r="67" spans="1:1" ht="6" customHeight="1" x14ac:dyDescent="0.2">
      <c r="A67"/>
    </row>
    <row r="68" spans="1:1" ht="67.5" customHeight="1" x14ac:dyDescent="0.2">
      <c r="A68" s="72" t="s">
        <v>658</v>
      </c>
    </row>
    <row r="69" spans="1:1" ht="7.5" customHeight="1" x14ac:dyDescent="0.2"/>
    <row r="70" spans="1:1" ht="79.5" customHeight="1" x14ac:dyDescent="0.2">
      <c r="A70" s="72" t="s">
        <v>659</v>
      </c>
    </row>
    <row r="71" spans="1:1" ht="14.25" customHeight="1" x14ac:dyDescent="0.2">
      <c r="A71"/>
    </row>
    <row r="72" spans="1:1" ht="159.75" customHeight="1" x14ac:dyDescent="0.2">
      <c r="A72" s="799" t="s">
        <v>964</v>
      </c>
    </row>
    <row r="73" spans="1:1" ht="105" customHeight="1" x14ac:dyDescent="0.2">
      <c r="A73" s="72" t="s">
        <v>965</v>
      </c>
    </row>
    <row r="74" spans="1:1" ht="80.25" customHeight="1" x14ac:dyDescent="0.2">
      <c r="A74" s="799" t="s">
        <v>966</v>
      </c>
    </row>
    <row r="75" spans="1:1" ht="100.5" customHeight="1" x14ac:dyDescent="0.2">
      <c r="A75" s="800" t="s">
        <v>967</v>
      </c>
    </row>
    <row r="76" spans="1:1" ht="90" customHeight="1" x14ac:dyDescent="0.2">
      <c r="A76" s="800" t="s">
        <v>968</v>
      </c>
    </row>
    <row r="77" spans="1:1" ht="99.75" customHeight="1" x14ac:dyDescent="0.2">
      <c r="A77" s="800" t="s">
        <v>969</v>
      </c>
    </row>
    <row r="78" spans="1:1" ht="135" customHeight="1" x14ac:dyDescent="0.2">
      <c r="A78" s="72" t="s">
        <v>970</v>
      </c>
    </row>
    <row r="79" spans="1:1" ht="106.5" customHeight="1" x14ac:dyDescent="0.2">
      <c r="A79" s="799" t="s">
        <v>971</v>
      </c>
    </row>
    <row r="80" spans="1:1" ht="140.25" customHeight="1" x14ac:dyDescent="0.2">
      <c r="A80" s="72" t="s">
        <v>972</v>
      </c>
    </row>
    <row r="81" spans="1:1" ht="133.5" customHeight="1" x14ac:dyDescent="0.2">
      <c r="A81" s="72" t="s">
        <v>973</v>
      </c>
    </row>
    <row r="82" spans="1:1" ht="70.5" customHeight="1" x14ac:dyDescent="0.2">
      <c r="A82" s="72" t="s">
        <v>974</v>
      </c>
    </row>
    <row r="83" spans="1:1" ht="110.25" customHeight="1" x14ac:dyDescent="0.2">
      <c r="A83" s="72" t="s">
        <v>975</v>
      </c>
    </row>
    <row r="84" spans="1:1" ht="60" customHeight="1" x14ac:dyDescent="0.2">
      <c r="A84" s="72" t="s">
        <v>976</v>
      </c>
    </row>
    <row r="85" spans="1:1" ht="105.75" customHeight="1" x14ac:dyDescent="0.2">
      <c r="A85" s="72" t="s">
        <v>977</v>
      </c>
    </row>
    <row r="86" spans="1:1" ht="114.75" customHeight="1" x14ac:dyDescent="0.2">
      <c r="A86" s="570" t="s">
        <v>978</v>
      </c>
    </row>
    <row r="87" spans="1:1" ht="126.75" customHeight="1" x14ac:dyDescent="0.2">
      <c r="A87" s="571" t="s">
        <v>979</v>
      </c>
    </row>
    <row r="88" spans="1:1" ht="64.5" customHeight="1" x14ac:dyDescent="0.2">
      <c r="A88" s="572" t="s">
        <v>980</v>
      </c>
    </row>
    <row r="89" spans="1:1" ht="85.5" customHeight="1" x14ac:dyDescent="0.2">
      <c r="A89" s="799" t="s">
        <v>981</v>
      </c>
    </row>
    <row r="90" spans="1:1" ht="63" customHeight="1" x14ac:dyDescent="0.2">
      <c r="A90" s="801" t="s">
        <v>660</v>
      </c>
    </row>
    <row r="91" spans="1:1" ht="41.25" customHeight="1" x14ac:dyDescent="0.2">
      <c r="A91" s="800" t="s">
        <v>982</v>
      </c>
    </row>
    <row r="92" spans="1:1" ht="129.75" customHeight="1" x14ac:dyDescent="0.2">
      <c r="A92" s="800" t="s">
        <v>983</v>
      </c>
    </row>
    <row r="93" spans="1:1" ht="99" customHeight="1" x14ac:dyDescent="0.2">
      <c r="A93" s="800" t="s">
        <v>984</v>
      </c>
    </row>
    <row r="94" spans="1:1" ht="92.25" customHeight="1" x14ac:dyDescent="0.2">
      <c r="A94" s="802" t="s">
        <v>985</v>
      </c>
    </row>
    <row r="95" spans="1:1" ht="117.75" customHeight="1" x14ac:dyDescent="0.2">
      <c r="A95" s="803" t="s">
        <v>986</v>
      </c>
    </row>
    <row r="96" spans="1:1" ht="23.25" customHeight="1" x14ac:dyDescent="0.2"/>
    <row r="97" spans="1:1" ht="156" customHeight="1" x14ac:dyDescent="0.2">
      <c r="A97" s="72" t="s">
        <v>987</v>
      </c>
    </row>
    <row r="98" spans="1:1" ht="136.5" customHeight="1" x14ac:dyDescent="0.2">
      <c r="A98" s="72" t="s">
        <v>988</v>
      </c>
    </row>
    <row r="99" spans="1:1" ht="69.75" customHeight="1" x14ac:dyDescent="0.2">
      <c r="A99" s="72" t="s">
        <v>989</v>
      </c>
    </row>
    <row r="100" spans="1:1" ht="41.25" customHeight="1" x14ac:dyDescent="0.2">
      <c r="A100" s="72" t="s">
        <v>990</v>
      </c>
    </row>
    <row r="101" spans="1:1" ht="12.75" customHeight="1" x14ac:dyDescent="0.2"/>
    <row r="102" spans="1:1" ht="80.25" customHeight="1" x14ac:dyDescent="0.2">
      <c r="A102" s="799" t="s">
        <v>991</v>
      </c>
    </row>
    <row r="103" spans="1:1" ht="15.75" customHeight="1" x14ac:dyDescent="0.2">
      <c r="A103" s="804"/>
    </row>
    <row r="104" spans="1:1" ht="75.75" customHeight="1" x14ac:dyDescent="0.2">
      <c r="A104" s="800" t="s">
        <v>992</v>
      </c>
    </row>
    <row r="105" spans="1:1" ht="123" customHeight="1" x14ac:dyDescent="0.2">
      <c r="A105" s="800" t="s">
        <v>993</v>
      </c>
    </row>
    <row r="106" spans="1:1" ht="118.5" customHeight="1" x14ac:dyDescent="0.2">
      <c r="A106" s="800" t="s">
        <v>994</v>
      </c>
    </row>
  </sheetData>
  <sheetProtection sheet="1"/>
  <phoneticPr fontId="0" type="noConversion"/>
  <pageMargins left="0.5" right="0.5" top="0.5" bottom="0.5" header="0.5" footer="0"/>
  <pageSetup scale="90"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topLeftCell="C1" zoomScale="75" workbookViewId="0">
      <selection activeCell="N16" sqref="N16"/>
    </sheetView>
  </sheetViews>
  <sheetFormatPr defaultRowHeight="15.75" x14ac:dyDescent="0.25"/>
  <cols>
    <col min="1" max="1" width="3.44140625" style="3" customWidth="1"/>
    <col min="2" max="2" width="20.77734375" style="3" customWidth="1"/>
    <col min="3" max="3" width="9.44140625" style="3" customWidth="1"/>
    <col min="4" max="4" width="9.21875" style="3" customWidth="1"/>
    <col min="5" max="5" width="8.77734375" style="3" customWidth="1"/>
    <col min="6" max="6" width="12.77734375" style="3" customWidth="1"/>
    <col min="7" max="7" width="13.21875" style="3" customWidth="1"/>
    <col min="8" max="13" width="9.77734375" style="3" customWidth="1"/>
    <col min="14" max="16384" width="8.88671875" style="3"/>
  </cols>
  <sheetData>
    <row r="1" spans="2:13" x14ac:dyDescent="0.25">
      <c r="B1" s="14" t="str">
        <f>inputPrYr!$D$3</f>
        <v>City of Herington</v>
      </c>
      <c r="C1" s="6"/>
      <c r="D1" s="6"/>
      <c r="E1" s="6"/>
      <c r="F1" s="6"/>
      <c r="G1" s="6"/>
      <c r="H1" s="6"/>
      <c r="I1" s="6"/>
      <c r="J1" s="6"/>
      <c r="K1" s="6"/>
      <c r="L1" s="6"/>
      <c r="M1" s="29">
        <f>inputPrYr!$C$10</f>
        <v>2013</v>
      </c>
    </row>
    <row r="2" spans="2:13" x14ac:dyDescent="0.25">
      <c r="B2" s="14"/>
      <c r="C2" s="6"/>
      <c r="D2" s="6"/>
      <c r="E2" s="6"/>
      <c r="F2" s="6"/>
      <c r="G2" s="6"/>
      <c r="H2" s="6"/>
      <c r="I2" s="6"/>
      <c r="J2" s="6"/>
      <c r="K2" s="6"/>
      <c r="L2" s="6"/>
      <c r="M2" s="8"/>
    </row>
    <row r="3" spans="2:13" x14ac:dyDescent="0.25">
      <c r="B3" s="15" t="s">
        <v>8</v>
      </c>
      <c r="C3" s="10"/>
      <c r="D3" s="10"/>
      <c r="E3" s="10"/>
      <c r="F3" s="10"/>
      <c r="G3" s="10"/>
      <c r="H3" s="10"/>
      <c r="I3" s="10"/>
      <c r="J3" s="10"/>
      <c r="K3" s="10"/>
      <c r="L3" s="10"/>
      <c r="M3" s="10"/>
    </row>
    <row r="4" spans="2:13" x14ac:dyDescent="0.25">
      <c r="B4" s="6"/>
      <c r="C4" s="26"/>
      <c r="D4" s="26"/>
      <c r="E4" s="26"/>
      <c r="F4" s="26"/>
      <c r="G4" s="26"/>
      <c r="H4" s="26"/>
      <c r="I4" s="26"/>
      <c r="J4" s="26"/>
      <c r="K4" s="26"/>
      <c r="L4" s="26"/>
      <c r="M4" s="26"/>
    </row>
    <row r="5" spans="2:13" x14ac:dyDescent="0.25">
      <c r="B5" s="666"/>
      <c r="C5" s="16" t="s">
        <v>339</v>
      </c>
      <c r="D5" s="16" t="s">
        <v>339</v>
      </c>
      <c r="E5" s="16" t="s">
        <v>353</v>
      </c>
      <c r="F5" s="16"/>
      <c r="G5" s="66" t="s">
        <v>109</v>
      </c>
      <c r="H5" s="6"/>
      <c r="I5" s="6"/>
      <c r="J5" s="18" t="s">
        <v>340</v>
      </c>
      <c r="K5" s="17"/>
      <c r="L5" s="18" t="s">
        <v>340</v>
      </c>
      <c r="M5" s="17"/>
    </row>
    <row r="6" spans="2:13" x14ac:dyDescent="0.25">
      <c r="B6" s="19" t="s">
        <v>890</v>
      </c>
      <c r="C6" s="19" t="s">
        <v>341</v>
      </c>
      <c r="D6" s="19" t="s">
        <v>110</v>
      </c>
      <c r="E6" s="19" t="s">
        <v>342</v>
      </c>
      <c r="F6" s="19" t="s">
        <v>294</v>
      </c>
      <c r="G6" s="67" t="s">
        <v>111</v>
      </c>
      <c r="H6" s="902" t="s">
        <v>343</v>
      </c>
      <c r="I6" s="903"/>
      <c r="J6" s="904">
        <f>M1-1</f>
        <v>2012</v>
      </c>
      <c r="K6" s="905"/>
      <c r="L6" s="904">
        <f>M1</f>
        <v>2013</v>
      </c>
      <c r="M6" s="905"/>
    </row>
    <row r="7" spans="2:13" x14ac:dyDescent="0.25">
      <c r="B7" s="20" t="s">
        <v>891</v>
      </c>
      <c r="C7" s="20" t="s">
        <v>344</v>
      </c>
      <c r="D7" s="20" t="s">
        <v>112</v>
      </c>
      <c r="E7" s="20" t="s">
        <v>318</v>
      </c>
      <c r="F7" s="20" t="s">
        <v>345</v>
      </c>
      <c r="G7" s="34" t="str">
        <f>CONCATENATE("Jan 1,",M1-1,"")</f>
        <v>Jan 1,2012</v>
      </c>
      <c r="H7" s="21" t="s">
        <v>353</v>
      </c>
      <c r="I7" s="21" t="s">
        <v>355</v>
      </c>
      <c r="J7" s="21" t="s">
        <v>353</v>
      </c>
      <c r="K7" s="21" t="s">
        <v>355</v>
      </c>
      <c r="L7" s="21" t="s">
        <v>353</v>
      </c>
      <c r="M7" s="21" t="s">
        <v>355</v>
      </c>
    </row>
    <row r="8" spans="2:13" x14ac:dyDescent="0.25">
      <c r="B8" s="22" t="s">
        <v>346</v>
      </c>
      <c r="C8" s="13"/>
      <c r="D8" s="13"/>
      <c r="E8" s="23"/>
      <c r="F8" s="24"/>
      <c r="G8" s="24"/>
      <c r="H8" s="13"/>
      <c r="I8" s="13"/>
      <c r="J8" s="24"/>
      <c r="K8" s="24"/>
      <c r="L8" s="24"/>
      <c r="M8" s="24"/>
    </row>
    <row r="9" spans="2:13" x14ac:dyDescent="0.25">
      <c r="B9" s="4" t="s">
        <v>1133</v>
      </c>
      <c r="C9" s="443">
        <v>36770</v>
      </c>
      <c r="D9" s="443">
        <v>42248</v>
      </c>
      <c r="E9" s="38" t="s">
        <v>1134</v>
      </c>
      <c r="F9" s="39">
        <v>630000</v>
      </c>
      <c r="G9" s="40">
        <v>135000</v>
      </c>
      <c r="H9" s="41" t="s">
        <v>1135</v>
      </c>
      <c r="I9" s="41">
        <v>41153</v>
      </c>
      <c r="J9" s="40">
        <v>7271</v>
      </c>
      <c r="K9" s="40">
        <v>30000</v>
      </c>
      <c r="L9" s="40">
        <v>0</v>
      </c>
      <c r="M9" s="40">
        <v>0</v>
      </c>
    </row>
    <row r="10" spans="2:13" x14ac:dyDescent="0.25">
      <c r="B10" s="4" t="s">
        <v>1136</v>
      </c>
      <c r="C10" s="443">
        <v>38967</v>
      </c>
      <c r="D10" s="443">
        <v>43009</v>
      </c>
      <c r="E10" s="38">
        <v>4.5</v>
      </c>
      <c r="F10" s="39">
        <v>1000000</v>
      </c>
      <c r="G10" s="40">
        <v>605000</v>
      </c>
      <c r="H10" s="41" t="s">
        <v>1137</v>
      </c>
      <c r="I10" s="41">
        <v>41183</v>
      </c>
      <c r="J10" s="40">
        <v>23175</v>
      </c>
      <c r="K10" s="40">
        <v>90000</v>
      </c>
      <c r="L10" s="40">
        <v>0</v>
      </c>
      <c r="M10" s="40">
        <v>0</v>
      </c>
    </row>
    <row r="11" spans="2:13" x14ac:dyDescent="0.25">
      <c r="B11" s="4" t="s">
        <v>1075</v>
      </c>
      <c r="C11" s="443">
        <v>39451</v>
      </c>
      <c r="D11" s="443">
        <v>45566</v>
      </c>
      <c r="E11" s="38" t="s">
        <v>1138</v>
      </c>
      <c r="F11" s="39">
        <v>455000</v>
      </c>
      <c r="G11" s="40">
        <v>425000</v>
      </c>
      <c r="H11" s="41" t="s">
        <v>1137</v>
      </c>
      <c r="I11" s="41">
        <v>41183</v>
      </c>
      <c r="J11" s="40">
        <v>19805</v>
      </c>
      <c r="K11" s="40">
        <v>25000</v>
      </c>
      <c r="L11" s="40">
        <v>18555</v>
      </c>
      <c r="M11" s="40">
        <v>25000</v>
      </c>
    </row>
    <row r="12" spans="2:13" x14ac:dyDescent="0.25">
      <c r="B12" s="4" t="s">
        <v>1161</v>
      </c>
      <c r="C12" s="443">
        <v>41183</v>
      </c>
      <c r="D12" s="443">
        <v>43009</v>
      </c>
      <c r="E12" s="38" t="s">
        <v>1184</v>
      </c>
      <c r="F12" s="39">
        <v>640000</v>
      </c>
      <c r="G12" s="40">
        <v>0</v>
      </c>
      <c r="H12" s="41" t="s">
        <v>1137</v>
      </c>
      <c r="I12" s="41">
        <v>41183</v>
      </c>
      <c r="J12" s="40">
        <v>0</v>
      </c>
      <c r="K12" s="40">
        <v>0</v>
      </c>
      <c r="L12" s="40">
        <v>8625</v>
      </c>
      <c r="M12" s="40">
        <v>135000</v>
      </c>
    </row>
    <row r="13" spans="2:13" x14ac:dyDescent="0.25">
      <c r="B13" s="4"/>
      <c r="C13" s="443"/>
      <c r="D13" s="443"/>
      <c r="E13" s="38"/>
      <c r="F13" s="39"/>
      <c r="G13" s="40"/>
      <c r="H13" s="41"/>
      <c r="I13" s="41"/>
      <c r="J13" s="40"/>
      <c r="K13" s="40"/>
      <c r="L13" s="40"/>
      <c r="M13" s="40"/>
    </row>
    <row r="14" spans="2:13" x14ac:dyDescent="0.25">
      <c r="B14" s="4"/>
      <c r="C14" s="443"/>
      <c r="D14" s="443"/>
      <c r="E14" s="38"/>
      <c r="F14" s="39"/>
      <c r="G14" s="40"/>
      <c r="H14" s="41"/>
      <c r="I14" s="41"/>
      <c r="J14" s="40"/>
      <c r="K14" s="40"/>
      <c r="L14" s="40"/>
      <c r="M14" s="40"/>
    </row>
    <row r="15" spans="2:13" x14ac:dyDescent="0.25">
      <c r="B15" s="4"/>
      <c r="C15" s="443"/>
      <c r="D15" s="443"/>
      <c r="E15" s="38"/>
      <c r="F15" s="39"/>
      <c r="G15" s="40"/>
      <c r="H15" s="41"/>
      <c r="I15" s="41"/>
      <c r="J15" s="40"/>
      <c r="K15" s="40"/>
      <c r="L15" s="40"/>
      <c r="M15" s="40"/>
    </row>
    <row r="16" spans="2:13" x14ac:dyDescent="0.25">
      <c r="B16" s="4"/>
      <c r="C16" s="443"/>
      <c r="D16" s="443"/>
      <c r="E16" s="38"/>
      <c r="F16" s="39"/>
      <c r="G16" s="40"/>
      <c r="H16" s="41"/>
      <c r="I16" s="41"/>
      <c r="J16" s="40"/>
      <c r="K16" s="40"/>
      <c r="L16" s="40"/>
      <c r="M16" s="40"/>
    </row>
    <row r="17" spans="2:13" x14ac:dyDescent="0.25">
      <c r="B17" s="4"/>
      <c r="C17" s="443"/>
      <c r="D17" s="443"/>
      <c r="E17" s="38"/>
      <c r="F17" s="39"/>
      <c r="G17" s="40"/>
      <c r="H17" s="41"/>
      <c r="I17" s="41"/>
      <c r="J17" s="40"/>
      <c r="K17" s="40"/>
      <c r="L17" s="40"/>
      <c r="M17" s="40"/>
    </row>
    <row r="18" spans="2:13" x14ac:dyDescent="0.25">
      <c r="B18" s="4"/>
      <c r="C18" s="443"/>
      <c r="D18" s="443"/>
      <c r="E18" s="38"/>
      <c r="F18" s="39"/>
      <c r="G18" s="40"/>
      <c r="H18" s="41"/>
      <c r="I18" s="41"/>
      <c r="J18" s="40"/>
      <c r="K18" s="40"/>
      <c r="L18" s="40"/>
      <c r="M18" s="40"/>
    </row>
    <row r="19" spans="2:13" x14ac:dyDescent="0.25">
      <c r="B19" s="4"/>
      <c r="C19" s="443"/>
      <c r="D19" s="443"/>
      <c r="E19" s="38"/>
      <c r="F19" s="39"/>
      <c r="G19" s="40"/>
      <c r="H19" s="41"/>
      <c r="I19" s="41"/>
      <c r="J19" s="40"/>
      <c r="K19" s="40"/>
      <c r="L19" s="40"/>
      <c r="M19" s="40"/>
    </row>
    <row r="20" spans="2:13" x14ac:dyDescent="0.25">
      <c r="B20" s="25" t="s">
        <v>347</v>
      </c>
      <c r="C20" s="42"/>
      <c r="D20" s="42"/>
      <c r="E20" s="43"/>
      <c r="F20" s="44"/>
      <c r="G20" s="56">
        <f>SUM(G9:G19)</f>
        <v>1165000</v>
      </c>
      <c r="H20" s="45"/>
      <c r="I20" s="45"/>
      <c r="J20" s="56">
        <f>SUM(J9:J19)</f>
        <v>50251</v>
      </c>
      <c r="K20" s="56">
        <f>SUM(K9:K19)</f>
        <v>145000</v>
      </c>
      <c r="L20" s="56">
        <f>SUM(L9:L19)</f>
        <v>27180</v>
      </c>
      <c r="M20" s="56">
        <f>SUM(M9:M19)</f>
        <v>160000</v>
      </c>
    </row>
    <row r="21" spans="2:13" x14ac:dyDescent="0.25">
      <c r="B21" s="22" t="s">
        <v>348</v>
      </c>
      <c r="C21" s="46"/>
      <c r="D21" s="46"/>
      <c r="E21" s="47"/>
      <c r="F21" s="37"/>
      <c r="G21" s="37"/>
      <c r="H21" s="48"/>
      <c r="I21" s="48"/>
      <c r="J21" s="37"/>
      <c r="K21" s="37"/>
      <c r="L21" s="37"/>
      <c r="M21" s="37"/>
    </row>
    <row r="22" spans="2:13" x14ac:dyDescent="0.25">
      <c r="B22" s="4" t="s">
        <v>1139</v>
      </c>
      <c r="C22" s="443">
        <v>40246</v>
      </c>
      <c r="D22" s="443">
        <v>45717</v>
      </c>
      <c r="E22" s="38" t="s">
        <v>1140</v>
      </c>
      <c r="F22" s="39">
        <v>1260000</v>
      </c>
      <c r="G22" s="40">
        <v>1225000</v>
      </c>
      <c r="H22" s="41" t="s">
        <v>1141</v>
      </c>
      <c r="I22" s="41">
        <v>40969</v>
      </c>
      <c r="J22" s="40">
        <v>44150</v>
      </c>
      <c r="K22" s="40">
        <v>55000</v>
      </c>
      <c r="L22" s="40">
        <v>42925</v>
      </c>
      <c r="M22" s="40">
        <v>60000</v>
      </c>
    </row>
    <row r="23" spans="2:13" x14ac:dyDescent="0.25">
      <c r="B23" s="4" t="s">
        <v>1068</v>
      </c>
      <c r="C23" s="443">
        <v>40400</v>
      </c>
      <c r="D23" s="443">
        <v>43687</v>
      </c>
      <c r="E23" s="38" t="s">
        <v>1142</v>
      </c>
      <c r="F23" s="39">
        <v>950000</v>
      </c>
      <c r="G23" s="40">
        <v>845000</v>
      </c>
      <c r="H23" s="41" t="s">
        <v>1141</v>
      </c>
      <c r="I23" s="41">
        <v>40969</v>
      </c>
      <c r="J23" s="40">
        <v>23821</v>
      </c>
      <c r="K23" s="40">
        <v>95000</v>
      </c>
      <c r="L23" s="40">
        <v>21450</v>
      </c>
      <c r="M23" s="40">
        <v>100000</v>
      </c>
    </row>
    <row r="24" spans="2:13" x14ac:dyDescent="0.25">
      <c r="B24" s="4"/>
      <c r="C24" s="443"/>
      <c r="D24" s="443"/>
      <c r="E24" s="38"/>
      <c r="F24" s="39"/>
      <c r="G24" s="40"/>
      <c r="H24" s="41"/>
      <c r="I24" s="41"/>
      <c r="J24" s="40"/>
      <c r="K24" s="40"/>
      <c r="L24" s="40"/>
      <c r="M24" s="40"/>
    </row>
    <row r="25" spans="2:13" x14ac:dyDescent="0.25">
      <c r="B25" s="4"/>
      <c r="C25" s="443"/>
      <c r="D25" s="443"/>
      <c r="E25" s="38"/>
      <c r="F25" s="39"/>
      <c r="G25" s="40"/>
      <c r="H25" s="41"/>
      <c r="I25" s="41"/>
      <c r="J25" s="40"/>
      <c r="K25" s="40"/>
      <c r="L25" s="40"/>
      <c r="M25" s="40"/>
    </row>
    <row r="26" spans="2:13" x14ac:dyDescent="0.25">
      <c r="B26" s="4"/>
      <c r="C26" s="443"/>
      <c r="D26" s="443"/>
      <c r="E26" s="38"/>
      <c r="F26" s="39"/>
      <c r="G26" s="40"/>
      <c r="H26" s="41"/>
      <c r="I26" s="41"/>
      <c r="J26" s="40"/>
      <c r="K26" s="40"/>
      <c r="L26" s="40"/>
      <c r="M26" s="40"/>
    </row>
    <row r="27" spans="2:13" x14ac:dyDescent="0.25">
      <c r="B27" s="4"/>
      <c r="C27" s="443"/>
      <c r="D27" s="443"/>
      <c r="E27" s="38"/>
      <c r="F27" s="39"/>
      <c r="G27" s="40"/>
      <c r="H27" s="41"/>
      <c r="I27" s="41"/>
      <c r="J27" s="40"/>
      <c r="K27" s="40"/>
      <c r="L27" s="40"/>
      <c r="M27" s="40"/>
    </row>
    <row r="28" spans="2:13" x14ac:dyDescent="0.25">
      <c r="B28" s="4"/>
      <c r="C28" s="443"/>
      <c r="D28" s="443"/>
      <c r="E28" s="38"/>
      <c r="F28" s="39"/>
      <c r="G28" s="40"/>
      <c r="H28" s="41"/>
      <c r="I28" s="41"/>
      <c r="J28" s="40"/>
      <c r="K28" s="40"/>
      <c r="L28" s="40"/>
      <c r="M28" s="40"/>
    </row>
    <row r="29" spans="2:13" x14ac:dyDescent="0.25">
      <c r="B29" s="4"/>
      <c r="C29" s="443"/>
      <c r="D29" s="443"/>
      <c r="E29" s="38"/>
      <c r="F29" s="39"/>
      <c r="G29" s="40"/>
      <c r="H29" s="41"/>
      <c r="I29" s="41"/>
      <c r="J29" s="40"/>
      <c r="K29" s="40"/>
      <c r="L29" s="40"/>
      <c r="M29" s="40"/>
    </row>
    <row r="30" spans="2:13" x14ac:dyDescent="0.25">
      <c r="B30" s="4"/>
      <c r="C30" s="443"/>
      <c r="D30" s="443"/>
      <c r="E30" s="38"/>
      <c r="F30" s="39"/>
      <c r="G30" s="40"/>
      <c r="H30" s="41"/>
      <c r="I30" s="41"/>
      <c r="J30" s="40"/>
      <c r="K30" s="40"/>
      <c r="L30" s="40"/>
      <c r="M30" s="40"/>
    </row>
    <row r="31" spans="2:13" x14ac:dyDescent="0.25">
      <c r="B31" s="4"/>
      <c r="C31" s="443"/>
      <c r="D31" s="443"/>
      <c r="E31" s="38"/>
      <c r="F31" s="39"/>
      <c r="G31" s="40"/>
      <c r="H31" s="41"/>
      <c r="I31" s="41"/>
      <c r="J31" s="40"/>
      <c r="K31" s="40"/>
      <c r="L31" s="40"/>
      <c r="M31" s="40"/>
    </row>
    <row r="32" spans="2:13" x14ac:dyDescent="0.25">
      <c r="B32" s="25" t="s">
        <v>349</v>
      </c>
      <c r="C32" s="42"/>
      <c r="D32" s="42"/>
      <c r="E32" s="49"/>
      <c r="F32" s="44"/>
      <c r="G32" s="57">
        <f>SUM(G22:G31)</f>
        <v>2070000</v>
      </c>
      <c r="H32" s="45"/>
      <c r="I32" s="45"/>
      <c r="J32" s="57">
        <f>SUM(J22:J31)</f>
        <v>67971</v>
      </c>
      <c r="K32" s="57">
        <f>SUM(K22:K31)</f>
        <v>150000</v>
      </c>
      <c r="L32" s="56">
        <f>SUM(L22:L31)</f>
        <v>64375</v>
      </c>
      <c r="M32" s="57">
        <f>SUM(M22:M31)</f>
        <v>160000</v>
      </c>
    </row>
    <row r="33" spans="2:29" x14ac:dyDescent="0.25">
      <c r="B33" s="22" t="s">
        <v>350</v>
      </c>
      <c r="C33" s="46"/>
      <c r="D33" s="46"/>
      <c r="E33" s="47"/>
      <c r="F33" s="37"/>
      <c r="G33" s="50"/>
      <c r="H33" s="48"/>
      <c r="I33" s="48"/>
      <c r="J33" s="37"/>
      <c r="K33" s="37"/>
      <c r="L33" s="37"/>
      <c r="M33" s="37"/>
    </row>
    <row r="34" spans="2:29" x14ac:dyDescent="0.25">
      <c r="B34" s="4" t="s">
        <v>1143</v>
      </c>
      <c r="C34" s="443">
        <v>37901</v>
      </c>
      <c r="D34" s="443">
        <v>45901</v>
      </c>
      <c r="E34" s="38">
        <v>2.58</v>
      </c>
      <c r="F34" s="39">
        <v>596722</v>
      </c>
      <c r="G34" s="40">
        <v>443049</v>
      </c>
      <c r="H34" s="41" t="s">
        <v>1141</v>
      </c>
      <c r="I34" s="41" t="s">
        <v>1141</v>
      </c>
      <c r="J34" s="40">
        <v>12346</v>
      </c>
      <c r="K34" s="40">
        <v>27369</v>
      </c>
      <c r="L34" s="40">
        <v>11566</v>
      </c>
      <c r="M34" s="40">
        <v>28149</v>
      </c>
    </row>
    <row r="35" spans="2:29" x14ac:dyDescent="0.25">
      <c r="B35" s="4" t="s">
        <v>1144</v>
      </c>
      <c r="C35" s="443">
        <v>38182</v>
      </c>
      <c r="D35" s="443">
        <v>46419</v>
      </c>
      <c r="E35" s="38">
        <v>3.33</v>
      </c>
      <c r="F35" s="39">
        <v>1222806</v>
      </c>
      <c r="G35" s="40">
        <v>993115</v>
      </c>
      <c r="H35" s="41" t="s">
        <v>1145</v>
      </c>
      <c r="I35" s="41" t="s">
        <v>1145</v>
      </c>
      <c r="J35" s="40">
        <v>36085</v>
      </c>
      <c r="K35" s="40">
        <v>50661</v>
      </c>
      <c r="L35" s="40">
        <v>34203</v>
      </c>
      <c r="M35" s="40">
        <v>52543</v>
      </c>
    </row>
    <row r="36" spans="2:29" x14ac:dyDescent="0.25">
      <c r="B36" s="4" t="s">
        <v>1146</v>
      </c>
      <c r="C36" s="443">
        <v>39100</v>
      </c>
      <c r="D36" s="443">
        <v>45505</v>
      </c>
      <c r="E36" s="38">
        <v>3.91</v>
      </c>
      <c r="F36" s="39">
        <v>150000</v>
      </c>
      <c r="G36" s="40">
        <v>115513</v>
      </c>
      <c r="H36" s="41" t="s">
        <v>1145</v>
      </c>
      <c r="I36" s="41">
        <v>41122</v>
      </c>
      <c r="J36" s="40">
        <v>4517</v>
      </c>
      <c r="K36" s="40">
        <v>7246</v>
      </c>
      <c r="L36" s="40">
        <v>4233</v>
      </c>
      <c r="M36" s="40">
        <v>7529</v>
      </c>
    </row>
    <row r="37" spans="2:29" x14ac:dyDescent="0.25">
      <c r="B37" s="4" t="s">
        <v>1146</v>
      </c>
      <c r="C37" s="443">
        <v>39252</v>
      </c>
      <c r="D37" s="443">
        <v>44774</v>
      </c>
      <c r="E37" s="38">
        <v>3.69</v>
      </c>
      <c r="F37" s="39">
        <v>150000</v>
      </c>
      <c r="G37" s="40">
        <v>99889</v>
      </c>
      <c r="H37" s="41" t="s">
        <v>1145</v>
      </c>
      <c r="I37" s="41">
        <v>41122</v>
      </c>
      <c r="J37" s="40">
        <v>3636</v>
      </c>
      <c r="K37" s="40">
        <v>7864</v>
      </c>
      <c r="L37" s="40">
        <v>3350</v>
      </c>
      <c r="M37" s="40">
        <v>8150</v>
      </c>
    </row>
    <row r="38" spans="2:29" x14ac:dyDescent="0.25">
      <c r="B38" s="4"/>
      <c r="C38" s="443"/>
      <c r="D38" s="443"/>
      <c r="E38" s="38"/>
      <c r="F38" s="39"/>
      <c r="G38" s="40"/>
      <c r="H38" s="41"/>
      <c r="I38" s="41"/>
      <c r="J38" s="40"/>
      <c r="K38" s="40"/>
      <c r="L38" s="40"/>
      <c r="M38" s="40"/>
    </row>
    <row r="39" spans="2:29" x14ac:dyDescent="0.25">
      <c r="B39" s="4"/>
      <c r="C39" s="443"/>
      <c r="D39" s="443"/>
      <c r="E39" s="38"/>
      <c r="F39" s="39"/>
      <c r="G39" s="40"/>
      <c r="H39" s="41"/>
      <c r="I39" s="41"/>
      <c r="J39" s="40"/>
      <c r="K39" s="40"/>
      <c r="L39" s="40"/>
      <c r="M39" s="40"/>
    </row>
    <row r="40" spans="2:29" x14ac:dyDescent="0.25">
      <c r="B40" s="4"/>
      <c r="C40" s="443"/>
      <c r="D40" s="443"/>
      <c r="E40" s="38"/>
      <c r="F40" s="39"/>
      <c r="G40" s="40"/>
      <c r="H40" s="41"/>
      <c r="I40" s="41"/>
      <c r="J40" s="40"/>
      <c r="K40" s="40"/>
      <c r="L40" s="40"/>
      <c r="M40" s="40"/>
    </row>
    <row r="41" spans="2:29" x14ac:dyDescent="0.25">
      <c r="B41" s="4"/>
      <c r="C41" s="443"/>
      <c r="D41" s="443"/>
      <c r="E41" s="38"/>
      <c r="F41" s="39"/>
      <c r="G41" s="40"/>
      <c r="H41" s="41"/>
      <c r="I41" s="41"/>
      <c r="J41" s="40"/>
      <c r="K41" s="40"/>
      <c r="L41" s="40"/>
      <c r="M41" s="40"/>
      <c r="N41" s="1"/>
      <c r="O41" s="1"/>
      <c r="P41" s="1"/>
      <c r="Q41" s="1"/>
      <c r="R41" s="1"/>
      <c r="S41" s="1"/>
      <c r="T41" s="1"/>
      <c r="U41" s="1"/>
      <c r="V41" s="1"/>
      <c r="W41" s="1"/>
      <c r="X41" s="1"/>
      <c r="Y41" s="1"/>
      <c r="Z41" s="1"/>
      <c r="AA41" s="1"/>
      <c r="AB41" s="1"/>
      <c r="AC41" s="1"/>
    </row>
    <row r="42" spans="2:29" x14ac:dyDescent="0.25">
      <c r="B42" s="25" t="s">
        <v>113</v>
      </c>
      <c r="C42" s="36"/>
      <c r="D42" s="36"/>
      <c r="E42" s="49"/>
      <c r="F42" s="44"/>
      <c r="G42" s="57">
        <f>SUM(G34:G41)</f>
        <v>1651566</v>
      </c>
      <c r="H42" s="44"/>
      <c r="I42" s="44"/>
      <c r="J42" s="57">
        <f>SUM(J34:J41)</f>
        <v>56584</v>
      </c>
      <c r="K42" s="57">
        <f>SUM(K34:K41)</f>
        <v>93140</v>
      </c>
      <c r="L42" s="57">
        <f>SUM(L34:L41)</f>
        <v>53352</v>
      </c>
      <c r="M42" s="57">
        <f>SUM(M34:M41)</f>
        <v>96371</v>
      </c>
    </row>
    <row r="43" spans="2:29" x14ac:dyDescent="0.25">
      <c r="B43" s="25" t="s">
        <v>351</v>
      </c>
      <c r="C43" s="36"/>
      <c r="D43" s="36"/>
      <c r="E43" s="36"/>
      <c r="F43" s="44"/>
      <c r="G43" s="57">
        <f>SUM(G20+G32+G42)</f>
        <v>4886566</v>
      </c>
      <c r="H43" s="44"/>
      <c r="I43" s="44"/>
      <c r="J43" s="57">
        <f>SUM(J20+J32+J42)</f>
        <v>174806</v>
      </c>
      <c r="K43" s="57">
        <f>SUM(K20+K32+K42)</f>
        <v>388140</v>
      </c>
      <c r="L43" s="57">
        <f>SUM(L20+L32+L42)</f>
        <v>144907</v>
      </c>
      <c r="M43" s="57">
        <f>SUM(M20+M32+M42)</f>
        <v>416371</v>
      </c>
    </row>
    <row r="44" spans="2:29" x14ac:dyDescent="0.25">
      <c r="B44" s="1"/>
      <c r="C44" s="1"/>
      <c r="D44" s="1"/>
      <c r="E44" s="1"/>
      <c r="F44" s="1"/>
      <c r="G44" s="1"/>
      <c r="H44" s="1"/>
      <c r="I44" s="1"/>
      <c r="J44" s="1"/>
      <c r="K44" s="1"/>
      <c r="L44" s="1"/>
      <c r="M44" s="1"/>
    </row>
    <row r="45" spans="2:29" x14ac:dyDescent="0.25">
      <c r="F45" s="5"/>
      <c r="G45" s="5"/>
      <c r="J45" s="5"/>
      <c r="K45" s="5"/>
      <c r="L45" s="5"/>
      <c r="M45" s="5"/>
    </row>
    <row r="46" spans="2:29" x14ac:dyDescent="0.25">
      <c r="F46" s="1"/>
      <c r="H46" s="35"/>
      <c r="N46" s="1"/>
    </row>
    <row r="47" spans="2:29" x14ac:dyDescent="0.25">
      <c r="B47" s="1"/>
      <c r="C47" s="1"/>
      <c r="D47" s="1"/>
      <c r="E47" s="1"/>
      <c r="F47" s="1"/>
      <c r="G47" s="1"/>
      <c r="H47" s="1"/>
      <c r="I47" s="1"/>
      <c r="J47" s="1"/>
      <c r="K47" s="1"/>
      <c r="L47" s="1"/>
      <c r="M47" s="1"/>
    </row>
    <row r="48" spans="2:29" x14ac:dyDescent="0.25">
      <c r="B48" s="1"/>
      <c r="C48" s="1"/>
      <c r="D48" s="1"/>
      <c r="E48" s="1"/>
      <c r="F48" s="1"/>
      <c r="G48" s="1"/>
      <c r="H48" s="1"/>
      <c r="I48" s="1"/>
      <c r="J48" s="1"/>
      <c r="K48" s="1"/>
      <c r="L48" s="1"/>
      <c r="M48" s="1"/>
    </row>
  </sheetData>
  <sheetProtection sheet="1"/>
  <mergeCells count="3">
    <mergeCell ref="H6:I6"/>
    <mergeCell ref="J6:K6"/>
    <mergeCell ref="L6:M6"/>
  </mergeCells>
  <phoneticPr fontId="0" type="noConversion"/>
  <pageMargins left="0.5" right="0.25" top="1" bottom="0.5" header="0.5" footer="0.25"/>
  <pageSetup scale="75" orientation="landscape" blackAndWhite="1" horizontalDpi="120" verticalDpi="144" r:id="rId1"/>
  <headerFooter alignWithMargins="0">
    <oddHeader>&amp;RState of KansasCity</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topLeftCell="A3" zoomScale="75" workbookViewId="0">
      <selection activeCell="I19" sqref="I19"/>
    </sheetView>
  </sheetViews>
  <sheetFormatPr defaultRowHeight="15.75" x14ac:dyDescent="0.2"/>
  <cols>
    <col min="1" max="1" width="8.88671875" style="82"/>
    <col min="2" max="2" width="23.5546875" style="82" customWidth="1"/>
    <col min="3" max="5" width="9.77734375" style="82" customWidth="1"/>
    <col min="6" max="6" width="18.33203125" style="82" customWidth="1"/>
    <col min="7" max="9" width="15.77734375" style="82" customWidth="1"/>
    <col min="10" max="16384" width="8.88671875" style="82"/>
  </cols>
  <sheetData>
    <row r="1" spans="2:9" x14ac:dyDescent="0.2">
      <c r="B1" s="256" t="str">
        <f>inputPrYr!$D$3</f>
        <v>City of Herington</v>
      </c>
      <c r="C1" s="86"/>
      <c r="D1" s="86"/>
      <c r="E1" s="86"/>
      <c r="F1" s="86"/>
      <c r="G1" s="86"/>
      <c r="H1" s="86"/>
      <c r="I1" s="281">
        <f>inputPrYr!C10</f>
        <v>2013</v>
      </c>
    </row>
    <row r="2" spans="2:9" x14ac:dyDescent="0.2">
      <c r="B2" s="256"/>
      <c r="C2" s="86"/>
      <c r="D2" s="86"/>
      <c r="E2" s="86"/>
      <c r="F2" s="86"/>
      <c r="G2" s="86"/>
      <c r="H2" s="86"/>
      <c r="I2" s="230"/>
    </row>
    <row r="3" spans="2:9" x14ac:dyDescent="0.2">
      <c r="B3" s="86"/>
      <c r="C3" s="86"/>
      <c r="D3" s="86"/>
      <c r="E3" s="86"/>
      <c r="F3" s="86"/>
      <c r="G3" s="86"/>
      <c r="H3" s="86"/>
      <c r="I3" s="199"/>
    </row>
    <row r="4" spans="2:9" x14ac:dyDescent="0.2">
      <c r="B4" s="282" t="s">
        <v>2</v>
      </c>
      <c r="C4" s="96"/>
      <c r="D4" s="96"/>
      <c r="E4" s="96"/>
      <c r="F4" s="96"/>
      <c r="G4" s="96"/>
      <c r="H4" s="96"/>
      <c r="I4" s="96"/>
    </row>
    <row r="5" spans="2:9" x14ac:dyDescent="0.2">
      <c r="B5" s="101"/>
      <c r="C5" s="283"/>
      <c r="D5" s="283"/>
      <c r="E5" s="283"/>
      <c r="F5" s="283"/>
      <c r="G5" s="283"/>
      <c r="H5" s="283"/>
      <c r="I5" s="283"/>
    </row>
    <row r="6" spans="2:9" x14ac:dyDescent="0.2">
      <c r="B6" s="213"/>
      <c r="C6" s="213"/>
      <c r="D6" s="213"/>
      <c r="E6" s="213"/>
      <c r="F6" s="259" t="s">
        <v>277</v>
      </c>
      <c r="G6" s="213"/>
      <c r="H6" s="213"/>
      <c r="I6" s="213"/>
    </row>
    <row r="7" spans="2:9" x14ac:dyDescent="0.2">
      <c r="B7" s="214"/>
      <c r="C7" s="284"/>
      <c r="D7" s="284" t="s">
        <v>352</v>
      </c>
      <c r="E7" s="284" t="s">
        <v>353</v>
      </c>
      <c r="F7" s="284" t="s">
        <v>294</v>
      </c>
      <c r="G7" s="284" t="s">
        <v>355</v>
      </c>
      <c r="H7" s="284" t="s">
        <v>356</v>
      </c>
      <c r="I7" s="284" t="s">
        <v>356</v>
      </c>
    </row>
    <row r="8" spans="2:9" x14ac:dyDescent="0.2">
      <c r="B8" s="284" t="s">
        <v>888</v>
      </c>
      <c r="C8" s="284" t="s">
        <v>357</v>
      </c>
      <c r="D8" s="284" t="s">
        <v>358</v>
      </c>
      <c r="E8" s="284" t="s">
        <v>342</v>
      </c>
      <c r="F8" s="284" t="s">
        <v>359</v>
      </c>
      <c r="G8" s="284" t="s">
        <v>42</v>
      </c>
      <c r="H8" s="284" t="s">
        <v>360</v>
      </c>
      <c r="I8" s="284" t="s">
        <v>360</v>
      </c>
    </row>
    <row r="9" spans="2:9" x14ac:dyDescent="0.2">
      <c r="B9" s="261" t="s">
        <v>889</v>
      </c>
      <c r="C9" s="261" t="s">
        <v>339</v>
      </c>
      <c r="D9" s="285" t="s">
        <v>361</v>
      </c>
      <c r="E9" s="261" t="s">
        <v>318</v>
      </c>
      <c r="F9" s="285" t="s">
        <v>66</v>
      </c>
      <c r="G9" s="286" t="str">
        <f>CONCATENATE("Jan 1,",I1-1,"")</f>
        <v>Jan 1,2012</v>
      </c>
      <c r="H9" s="261">
        <f>I1-1</f>
        <v>2012</v>
      </c>
      <c r="I9" s="261">
        <f>I1</f>
        <v>2013</v>
      </c>
    </row>
    <row r="10" spans="2:9" x14ac:dyDescent="0.2">
      <c r="B10" s="110" t="s">
        <v>1147</v>
      </c>
      <c r="C10" s="442">
        <v>37362</v>
      </c>
      <c r="D10" s="288">
        <v>120</v>
      </c>
      <c r="E10" s="289">
        <v>4.8</v>
      </c>
      <c r="F10" s="290">
        <v>371091</v>
      </c>
      <c r="G10" s="290">
        <v>11607</v>
      </c>
      <c r="H10" s="290">
        <v>11700</v>
      </c>
      <c r="I10" s="290">
        <v>0</v>
      </c>
    </row>
    <row r="11" spans="2:9" x14ac:dyDescent="0.2">
      <c r="B11" s="110" t="s">
        <v>1148</v>
      </c>
      <c r="C11" s="442">
        <v>39171</v>
      </c>
      <c r="D11" s="288">
        <v>108</v>
      </c>
      <c r="E11" s="289">
        <v>4.99</v>
      </c>
      <c r="F11" s="290">
        <v>167338</v>
      </c>
      <c r="G11" s="290">
        <v>81532</v>
      </c>
      <c r="H11" s="290">
        <v>22647</v>
      </c>
      <c r="I11" s="290">
        <v>22647</v>
      </c>
    </row>
    <row r="12" spans="2:9" x14ac:dyDescent="0.2">
      <c r="B12" s="110" t="s">
        <v>1050</v>
      </c>
      <c r="C12" s="442">
        <v>40029</v>
      </c>
      <c r="D12" s="288">
        <v>60</v>
      </c>
      <c r="E12" s="289">
        <v>4.5199999999999996</v>
      </c>
      <c r="F12" s="290">
        <v>398283</v>
      </c>
      <c r="G12" s="290">
        <v>227093</v>
      </c>
      <c r="H12" s="290">
        <v>90321</v>
      </c>
      <c r="I12" s="290">
        <v>90321</v>
      </c>
    </row>
    <row r="13" spans="2:9" x14ac:dyDescent="0.2">
      <c r="B13" s="110"/>
      <c r="C13" s="287"/>
      <c r="D13" s="288"/>
      <c r="E13" s="289"/>
      <c r="F13" s="290"/>
      <c r="G13" s="290"/>
      <c r="H13" s="290"/>
      <c r="I13" s="290"/>
    </row>
    <row r="14" spans="2:9" x14ac:dyDescent="0.2">
      <c r="B14" s="110"/>
      <c r="C14" s="287"/>
      <c r="D14" s="288"/>
      <c r="E14" s="289"/>
      <c r="F14" s="290"/>
      <c r="G14" s="290"/>
      <c r="H14" s="290"/>
      <c r="I14" s="290"/>
    </row>
    <row r="15" spans="2:9" x14ac:dyDescent="0.2">
      <c r="B15" s="110"/>
      <c r="C15" s="287"/>
      <c r="D15" s="288"/>
      <c r="E15" s="289"/>
      <c r="F15" s="290"/>
      <c r="G15" s="290"/>
      <c r="H15" s="290"/>
      <c r="I15" s="290"/>
    </row>
    <row r="16" spans="2:9" x14ac:dyDescent="0.2">
      <c r="B16" s="110"/>
      <c r="C16" s="287"/>
      <c r="D16" s="288"/>
      <c r="E16" s="289"/>
      <c r="F16" s="290"/>
      <c r="G16" s="290"/>
      <c r="H16" s="290"/>
      <c r="I16" s="290"/>
    </row>
    <row r="17" spans="2:9" x14ac:dyDescent="0.2">
      <c r="B17" s="110"/>
      <c r="C17" s="287"/>
      <c r="D17" s="288"/>
      <c r="E17" s="289"/>
      <c r="F17" s="290"/>
      <c r="G17" s="290"/>
      <c r="H17" s="290"/>
      <c r="I17" s="290"/>
    </row>
    <row r="18" spans="2:9" x14ac:dyDescent="0.2">
      <c r="B18" s="110"/>
      <c r="C18" s="287"/>
      <c r="D18" s="288"/>
      <c r="E18" s="289"/>
      <c r="F18" s="290"/>
      <c r="G18" s="290"/>
      <c r="H18" s="290"/>
      <c r="I18" s="290"/>
    </row>
    <row r="19" spans="2:9" x14ac:dyDescent="0.2">
      <c r="B19" s="110"/>
      <c r="C19" s="287"/>
      <c r="D19" s="288"/>
      <c r="E19" s="289"/>
      <c r="F19" s="290"/>
      <c r="G19" s="290"/>
      <c r="H19" s="290"/>
      <c r="I19" s="290"/>
    </row>
    <row r="20" spans="2:9" x14ac:dyDescent="0.2">
      <c r="B20" s="110"/>
      <c r="C20" s="287"/>
      <c r="D20" s="288"/>
      <c r="E20" s="289"/>
      <c r="F20" s="290"/>
      <c r="G20" s="290"/>
      <c r="H20" s="290"/>
      <c r="I20" s="290"/>
    </row>
    <row r="21" spans="2:9" x14ac:dyDescent="0.2">
      <c r="B21" s="110"/>
      <c r="C21" s="287"/>
      <c r="D21" s="288"/>
      <c r="E21" s="289"/>
      <c r="F21" s="290"/>
      <c r="G21" s="290"/>
      <c r="H21" s="290"/>
      <c r="I21" s="290"/>
    </row>
    <row r="22" spans="2:9" x14ac:dyDescent="0.2">
      <c r="B22" s="110"/>
      <c r="C22" s="287"/>
      <c r="D22" s="288"/>
      <c r="E22" s="289"/>
      <c r="F22" s="290"/>
      <c r="G22" s="290"/>
      <c r="H22" s="290"/>
      <c r="I22" s="290"/>
    </row>
    <row r="23" spans="2:9" x14ac:dyDescent="0.2">
      <c r="B23" s="110"/>
      <c r="C23" s="287"/>
      <c r="D23" s="288"/>
      <c r="E23" s="289"/>
      <c r="F23" s="290"/>
      <c r="G23" s="290"/>
      <c r="H23" s="290"/>
      <c r="I23" s="290"/>
    </row>
    <row r="24" spans="2:9" x14ac:dyDescent="0.2">
      <c r="B24" s="110"/>
      <c r="C24" s="287"/>
      <c r="D24" s="288"/>
      <c r="E24" s="289"/>
      <c r="F24" s="290"/>
      <c r="G24" s="290"/>
      <c r="H24" s="290"/>
      <c r="I24" s="290"/>
    </row>
    <row r="25" spans="2:9" x14ac:dyDescent="0.2">
      <c r="B25" s="110"/>
      <c r="C25" s="287"/>
      <c r="D25" s="288"/>
      <c r="E25" s="289"/>
      <c r="F25" s="290"/>
      <c r="G25" s="290"/>
      <c r="H25" s="290"/>
      <c r="I25" s="290"/>
    </row>
    <row r="26" spans="2:9" x14ac:dyDescent="0.2">
      <c r="B26" s="110"/>
      <c r="C26" s="287"/>
      <c r="D26" s="288"/>
      <c r="E26" s="289"/>
      <c r="F26" s="290"/>
      <c r="G26" s="290"/>
      <c r="H26" s="290"/>
      <c r="I26" s="290"/>
    </row>
    <row r="27" spans="2:9" x14ac:dyDescent="0.2">
      <c r="B27" s="110"/>
      <c r="C27" s="287"/>
      <c r="D27" s="288"/>
      <c r="E27" s="289"/>
      <c r="F27" s="290"/>
      <c r="G27" s="290"/>
      <c r="H27" s="290"/>
      <c r="I27" s="290"/>
    </row>
    <row r="28" spans="2:9" ht="16.5" thickBot="1" x14ac:dyDescent="0.25">
      <c r="B28" s="291"/>
      <c r="C28" s="175"/>
      <c r="D28" s="175"/>
      <c r="E28" s="175"/>
      <c r="F28" s="665" t="s">
        <v>289</v>
      </c>
      <c r="G28" s="292">
        <f>SUM(G10:G27)</f>
        <v>320232</v>
      </c>
      <c r="H28" s="292">
        <f>SUM(H10:H27)</f>
        <v>124668</v>
      </c>
      <c r="I28" s="292">
        <f>SUM(I10:I27)</f>
        <v>112968</v>
      </c>
    </row>
    <row r="29" spans="2:9" ht="16.5" thickTop="1" x14ac:dyDescent="0.2">
      <c r="B29" s="86"/>
      <c r="C29" s="86"/>
      <c r="D29" s="86"/>
      <c r="E29" s="86"/>
      <c r="F29" s="86"/>
      <c r="G29" s="86"/>
      <c r="H29" s="256"/>
      <c r="I29" s="256"/>
    </row>
    <row r="30" spans="2:9" x14ac:dyDescent="0.2">
      <c r="B30" s="293" t="s">
        <v>208</v>
      </c>
      <c r="C30" s="178"/>
      <c r="D30" s="178"/>
      <c r="E30" s="178"/>
      <c r="F30" s="178"/>
      <c r="G30" s="178"/>
      <c r="H30" s="256"/>
      <c r="I30" s="256"/>
    </row>
  </sheetData>
  <sheetProtection sheet="1"/>
  <phoneticPr fontId="0" type="noConversion"/>
  <pageMargins left="0.75" right="0.25" top="1" bottom="0.5" header="0.5" footer="0.5"/>
  <pageSetup scale="85" orientation="landscape" blackAndWhite="1" horizontalDpi="120" verticalDpi="144" r:id="rId1"/>
  <headerFooter alignWithMargins="0">
    <oddHeader>&amp;RState of KansasCity</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opLeftCell="A7" zoomScaleNormal="100" workbookViewId="0">
      <selection activeCell="B10" sqref="B10:I10"/>
    </sheetView>
  </sheetViews>
  <sheetFormatPr defaultRowHeight="15" x14ac:dyDescent="0.2"/>
  <cols>
    <col min="1" max="1" width="2.5546875" style="642" customWidth="1"/>
    <col min="2" max="4" width="8.88671875" style="642"/>
    <col min="5" max="5" width="9.6640625" style="642" customWidth="1"/>
    <col min="6" max="6" width="8.88671875" style="642"/>
    <col min="7" max="7" width="9.6640625" style="642" customWidth="1"/>
    <col min="8" max="16384" width="8.88671875" style="642"/>
  </cols>
  <sheetData>
    <row r="1" spans="2:9" ht="15.75" x14ac:dyDescent="0.25">
      <c r="B1" s="641"/>
      <c r="C1" s="641"/>
      <c r="D1" s="641"/>
      <c r="E1" s="641"/>
      <c r="F1" s="641"/>
      <c r="G1" s="641"/>
      <c r="H1" s="641"/>
      <c r="I1" s="641"/>
    </row>
    <row r="2" spans="2:9" ht="15.75" x14ac:dyDescent="0.2">
      <c r="B2" s="908" t="s">
        <v>837</v>
      </c>
      <c r="C2" s="908"/>
      <c r="D2" s="908"/>
      <c r="E2" s="908"/>
      <c r="F2" s="908"/>
      <c r="G2" s="908"/>
      <c r="H2" s="908"/>
      <c r="I2" s="908"/>
    </row>
    <row r="3" spans="2:9" ht="15.75" x14ac:dyDescent="0.2">
      <c r="B3" s="908" t="s">
        <v>838</v>
      </c>
      <c r="C3" s="908"/>
      <c r="D3" s="908"/>
      <c r="E3" s="908"/>
      <c r="F3" s="908"/>
      <c r="G3" s="908"/>
      <c r="H3" s="908"/>
      <c r="I3" s="908"/>
    </row>
    <row r="4" spans="2:9" ht="15.75" x14ac:dyDescent="0.2">
      <c r="B4" s="643"/>
      <c r="C4" s="643"/>
      <c r="D4" s="643"/>
      <c r="E4" s="643"/>
      <c r="F4" s="643"/>
      <c r="G4" s="643"/>
      <c r="H4" s="643"/>
      <c r="I4" s="643"/>
    </row>
    <row r="5" spans="2:9" ht="15.75" x14ac:dyDescent="0.2">
      <c r="B5" s="909" t="str">
        <f>CONCATENATE("Budgeted Year: ",inputPrYr!C10,"")</f>
        <v>Budgeted Year: 2013</v>
      </c>
      <c r="C5" s="909"/>
      <c r="D5" s="909"/>
      <c r="E5" s="909"/>
      <c r="F5" s="909"/>
      <c r="G5" s="909"/>
      <c r="H5" s="909"/>
      <c r="I5" s="909"/>
    </row>
    <row r="6" spans="2:9" ht="15.75" x14ac:dyDescent="0.2">
      <c r="B6" s="644"/>
      <c r="C6" s="643"/>
      <c r="D6" s="643"/>
      <c r="E6" s="643"/>
      <c r="F6" s="643"/>
      <c r="G6" s="643"/>
      <c r="H6" s="643"/>
      <c r="I6" s="643"/>
    </row>
    <row r="7" spans="2:9" ht="15.75" x14ac:dyDescent="0.2">
      <c r="B7" s="644" t="str">
        <f>CONCATENATE("Library found in: ",inputPrYr!D3,"")</f>
        <v>Library found in: City of Herington</v>
      </c>
      <c r="C7" s="643"/>
      <c r="D7" s="643"/>
      <c r="E7" s="643"/>
      <c r="F7" s="643"/>
      <c r="G7" s="643"/>
      <c r="H7" s="643"/>
      <c r="I7" s="643"/>
    </row>
    <row r="8" spans="2:9" ht="15.75" x14ac:dyDescent="0.2">
      <c r="B8" s="644" t="str">
        <f>inputPrYr!D4</f>
        <v>Dickinson County</v>
      </c>
      <c r="C8" s="643"/>
      <c r="D8" s="643"/>
      <c r="E8" s="643"/>
      <c r="F8" s="643"/>
      <c r="G8" s="643"/>
      <c r="H8" s="643"/>
      <c r="I8" s="643"/>
    </row>
    <row r="9" spans="2:9" ht="15.75" x14ac:dyDescent="0.2">
      <c r="B9" s="643"/>
      <c r="C9" s="643"/>
      <c r="D9" s="643"/>
      <c r="E9" s="643"/>
      <c r="F9" s="643"/>
      <c r="G9" s="643"/>
      <c r="H9" s="643"/>
      <c r="I9" s="643"/>
    </row>
    <row r="10" spans="2:9" ht="39" customHeight="1" x14ac:dyDescent="0.2">
      <c r="B10" s="910" t="s">
        <v>839</v>
      </c>
      <c r="C10" s="910"/>
      <c r="D10" s="910"/>
      <c r="E10" s="910"/>
      <c r="F10" s="910"/>
      <c r="G10" s="910"/>
      <c r="H10" s="910"/>
      <c r="I10" s="910"/>
    </row>
    <row r="11" spans="2:9" ht="15.75" x14ac:dyDescent="0.2">
      <c r="B11" s="643"/>
      <c r="C11" s="643"/>
      <c r="D11" s="643"/>
      <c r="E11" s="643"/>
      <c r="F11" s="643"/>
      <c r="G11" s="643"/>
      <c r="H11" s="643"/>
      <c r="I11" s="643"/>
    </row>
    <row r="12" spans="2:9" ht="15.75" x14ac:dyDescent="0.2">
      <c r="B12" s="645" t="s">
        <v>840</v>
      </c>
      <c r="C12" s="643"/>
      <c r="D12" s="643"/>
      <c r="E12" s="643"/>
      <c r="F12" s="643"/>
      <c r="G12" s="643"/>
      <c r="H12" s="643"/>
      <c r="I12" s="643"/>
    </row>
    <row r="13" spans="2:9" ht="15.75" x14ac:dyDescent="0.2">
      <c r="B13" s="643"/>
      <c r="C13" s="643"/>
      <c r="D13" s="643"/>
      <c r="E13" s="646" t="s">
        <v>834</v>
      </c>
      <c r="F13" s="643"/>
      <c r="G13" s="646" t="s">
        <v>841</v>
      </c>
      <c r="H13" s="643"/>
      <c r="I13" s="643"/>
    </row>
    <row r="14" spans="2:9" ht="15.75" x14ac:dyDescent="0.2">
      <c r="B14" s="643"/>
      <c r="C14" s="643"/>
      <c r="D14" s="643"/>
      <c r="E14" s="647">
        <f>inputPrYr!C10-1</f>
        <v>2012</v>
      </c>
      <c r="F14" s="643"/>
      <c r="G14" s="647">
        <f>inputPrYr!C10</f>
        <v>2013</v>
      </c>
      <c r="H14" s="643"/>
      <c r="I14" s="643"/>
    </row>
    <row r="15" spans="2:9" ht="15.75" x14ac:dyDescent="0.2">
      <c r="B15" s="644" t="str">
        <f>'DebtSvs-Library'!B47</f>
        <v>Ad Valorem Tax</v>
      </c>
      <c r="C15" s="643"/>
      <c r="D15" s="643"/>
      <c r="E15" s="648">
        <f>'DebtSvs-Library'!D47</f>
        <v>76008</v>
      </c>
      <c r="F15" s="643"/>
      <c r="G15" s="648">
        <f>'DebtSvs-Library'!E80</f>
        <v>75734</v>
      </c>
      <c r="H15" s="643"/>
      <c r="I15" s="643"/>
    </row>
    <row r="16" spans="2:9" ht="15.75" x14ac:dyDescent="0.2">
      <c r="B16" s="644" t="str">
        <f>'DebtSvs-Library'!B48</f>
        <v>Delinquent Tax</v>
      </c>
      <c r="C16" s="643"/>
      <c r="D16" s="643"/>
      <c r="E16" s="648">
        <f>'DebtSvs-Library'!D49</f>
        <v>9861</v>
      </c>
      <c r="F16" s="643"/>
      <c r="G16" s="648">
        <f>'DebtSvs-Library'!E49</f>
        <v>10084</v>
      </c>
      <c r="H16" s="643"/>
      <c r="I16" s="643"/>
    </row>
    <row r="17" spans="2:9" ht="15.75" x14ac:dyDescent="0.2">
      <c r="B17" s="644" t="str">
        <f>'DebtSvs-Library'!B49</f>
        <v>Motor Vehicle Tax</v>
      </c>
      <c r="C17" s="643"/>
      <c r="D17" s="643"/>
      <c r="E17" s="648">
        <f>'DebtSvs-Library'!D50</f>
        <v>265</v>
      </c>
      <c r="F17" s="643"/>
      <c r="G17" s="648">
        <f>'DebtSvs-Library'!E50</f>
        <v>315</v>
      </c>
      <c r="H17" s="643"/>
      <c r="I17" s="643"/>
    </row>
    <row r="18" spans="2:9" ht="15.75" x14ac:dyDescent="0.2">
      <c r="B18" s="644" t="str">
        <f>'DebtSvs-Library'!B50</f>
        <v>Recreational Vehicle Tax</v>
      </c>
      <c r="C18" s="643"/>
      <c r="D18" s="643"/>
      <c r="E18" s="648">
        <f>'DebtSvs-Library'!D51</f>
        <v>81</v>
      </c>
      <c r="F18" s="643"/>
      <c r="G18" s="648">
        <f>'DebtSvs-Library'!E51</f>
        <v>83</v>
      </c>
      <c r="H18" s="643"/>
      <c r="I18" s="643"/>
    </row>
    <row r="19" spans="2:9" ht="15.75" x14ac:dyDescent="0.2">
      <c r="B19" s="644" t="str">
        <f>'DebtSvs-Library'!B51</f>
        <v>16/20M Vehicle Tax</v>
      </c>
      <c r="C19" s="643"/>
      <c r="D19" s="643"/>
      <c r="E19" s="648">
        <f>'DebtSvs-Library'!D52</f>
        <v>0</v>
      </c>
      <c r="F19" s="643"/>
      <c r="G19" s="648">
        <f>'DebtSvs-Library'!E52</f>
        <v>0</v>
      </c>
      <c r="H19" s="643"/>
      <c r="I19" s="643"/>
    </row>
    <row r="20" spans="2:9" ht="15.75" x14ac:dyDescent="0.2">
      <c r="B20" s="643" t="s">
        <v>96</v>
      </c>
      <c r="C20" s="643"/>
      <c r="D20" s="643"/>
      <c r="E20" s="648">
        <v>0</v>
      </c>
      <c r="F20" s="643"/>
      <c r="G20" s="648">
        <v>0</v>
      </c>
      <c r="H20" s="643"/>
      <c r="I20" s="643"/>
    </row>
    <row r="21" spans="2:9" ht="15.75" x14ac:dyDescent="0.2">
      <c r="B21" s="643"/>
      <c r="C21" s="643"/>
      <c r="D21" s="643"/>
      <c r="E21" s="648">
        <v>0</v>
      </c>
      <c r="F21" s="643"/>
      <c r="G21" s="648">
        <v>0</v>
      </c>
      <c r="H21" s="643"/>
      <c r="I21" s="643"/>
    </row>
    <row r="22" spans="2:9" ht="15.75" x14ac:dyDescent="0.2">
      <c r="B22" s="643" t="s">
        <v>842</v>
      </c>
      <c r="C22" s="643"/>
      <c r="D22" s="643"/>
      <c r="E22" s="649">
        <f>SUM(E15:E21)</f>
        <v>86215</v>
      </c>
      <c r="F22" s="643"/>
      <c r="G22" s="649">
        <f>SUM(G15:G21)</f>
        <v>86216</v>
      </c>
      <c r="H22" s="643"/>
      <c r="I22" s="643"/>
    </row>
    <row r="23" spans="2:9" ht="15.75" x14ac:dyDescent="0.2">
      <c r="B23" s="643" t="s">
        <v>843</v>
      </c>
      <c r="C23" s="643"/>
      <c r="D23" s="643"/>
      <c r="E23" s="650">
        <f>G22-E22</f>
        <v>1</v>
      </c>
      <c r="F23" s="643"/>
      <c r="G23" s="651"/>
      <c r="H23" s="643"/>
      <c r="I23" s="643"/>
    </row>
    <row r="24" spans="2:9" ht="15.75" x14ac:dyDescent="0.2">
      <c r="B24" s="643" t="s">
        <v>844</v>
      </c>
      <c r="C24" s="643"/>
      <c r="D24" s="652" t="str">
        <f>IF((G22-E22)&gt;0,"Qualify","Not Qualify")</f>
        <v>Qualify</v>
      </c>
      <c r="E24" s="643"/>
      <c r="F24" s="643"/>
      <c r="G24" s="643"/>
      <c r="H24" s="643"/>
      <c r="I24" s="643"/>
    </row>
    <row r="25" spans="2:9" ht="15.75" x14ac:dyDescent="0.2">
      <c r="B25" s="643"/>
      <c r="C25" s="643"/>
      <c r="D25" s="643"/>
      <c r="E25" s="643"/>
      <c r="F25" s="643"/>
      <c r="G25" s="643"/>
      <c r="H25" s="643"/>
      <c r="I25" s="643"/>
    </row>
    <row r="26" spans="2:9" ht="15.75" x14ac:dyDescent="0.2">
      <c r="B26" s="645" t="s">
        <v>845</v>
      </c>
      <c r="C26" s="643"/>
      <c r="D26" s="643"/>
      <c r="E26" s="643"/>
      <c r="F26" s="643"/>
      <c r="G26" s="643"/>
      <c r="H26" s="643"/>
      <c r="I26" s="643"/>
    </row>
    <row r="27" spans="2:9" ht="15.75" x14ac:dyDescent="0.2">
      <c r="B27" s="643" t="s">
        <v>846</v>
      </c>
      <c r="C27" s="643"/>
      <c r="D27" s="643"/>
      <c r="E27" s="648">
        <f>summ!D57</f>
        <v>10690210</v>
      </c>
      <c r="F27" s="643"/>
      <c r="G27" s="648">
        <f>summ!F57</f>
        <v>10661314</v>
      </c>
      <c r="H27" s="643"/>
      <c r="I27" s="643"/>
    </row>
    <row r="28" spans="2:9" ht="15.75" x14ac:dyDescent="0.2">
      <c r="B28" s="643" t="s">
        <v>847</v>
      </c>
      <c r="C28" s="643"/>
      <c r="D28" s="643"/>
      <c r="E28" s="653" t="str">
        <f>IF(G27-E27&gt;0,"No","Yes")</f>
        <v>Yes</v>
      </c>
      <c r="F28" s="643"/>
      <c r="G28" s="643"/>
      <c r="H28" s="643"/>
      <c r="I28" s="643"/>
    </row>
    <row r="29" spans="2:9" ht="15.75" x14ac:dyDescent="0.2">
      <c r="B29" s="643" t="s">
        <v>848</v>
      </c>
      <c r="C29" s="643"/>
      <c r="D29" s="643"/>
      <c r="E29" s="646">
        <f>summ!E17</f>
        <v>7.11</v>
      </c>
      <c r="F29" s="643"/>
      <c r="G29" s="654">
        <f>summ!H17</f>
        <v>7.1040000000000001</v>
      </c>
      <c r="H29" s="643"/>
      <c r="I29" s="643"/>
    </row>
    <row r="30" spans="2:9" ht="15.75" x14ac:dyDescent="0.2">
      <c r="B30" s="643" t="s">
        <v>849</v>
      </c>
      <c r="C30" s="643"/>
      <c r="D30" s="643"/>
      <c r="E30" s="655">
        <f>G29-E29</f>
        <v>-6.0000000000002274E-3</v>
      </c>
      <c r="F30" s="643"/>
      <c r="G30" s="643"/>
      <c r="H30" s="643"/>
      <c r="I30" s="643"/>
    </row>
    <row r="31" spans="2:9" ht="15.75" x14ac:dyDescent="0.2">
      <c r="B31" s="643" t="s">
        <v>844</v>
      </c>
      <c r="C31" s="643"/>
      <c r="D31" s="656" t="str">
        <f>IF(E30&gt;=0,"Qualify","Not Qualify")</f>
        <v>Not Qualify</v>
      </c>
      <c r="E31" s="643"/>
      <c r="F31" s="643"/>
      <c r="G31" s="643"/>
      <c r="H31" s="643"/>
      <c r="I31" s="643"/>
    </row>
    <row r="32" spans="2:9" ht="15.75" x14ac:dyDescent="0.2">
      <c r="B32" s="643"/>
      <c r="C32" s="643"/>
      <c r="D32" s="643"/>
      <c r="E32" s="643"/>
      <c r="F32" s="643"/>
      <c r="G32" s="643"/>
      <c r="H32" s="643"/>
      <c r="I32" s="643"/>
    </row>
    <row r="33" spans="2:9" ht="15.75" x14ac:dyDescent="0.2">
      <c r="B33" s="643" t="s">
        <v>850</v>
      </c>
      <c r="C33" s="643"/>
      <c r="D33" s="643"/>
      <c r="E33" s="643"/>
      <c r="F33" s="657" t="str">
        <f>IF(D24="Not Qualify",IF(D31="Not Qualify",IF(D31="Not Qualify","Not Qualify","Qualify"),"Qualify"),"Qualify")</f>
        <v>Qualify</v>
      </c>
      <c r="G33" s="643"/>
      <c r="H33" s="643"/>
      <c r="I33" s="643"/>
    </row>
    <row r="34" spans="2:9" ht="15.75" x14ac:dyDescent="0.2">
      <c r="B34" s="643"/>
      <c r="C34" s="643"/>
      <c r="D34" s="643"/>
      <c r="E34" s="643"/>
      <c r="F34" s="643"/>
      <c r="G34" s="643"/>
      <c r="H34" s="643"/>
      <c r="I34" s="643"/>
    </row>
    <row r="35" spans="2:9" ht="15.75" x14ac:dyDescent="0.2">
      <c r="B35" s="643"/>
      <c r="C35" s="643"/>
      <c r="D35" s="643"/>
      <c r="E35" s="643"/>
      <c r="F35" s="643"/>
      <c r="G35" s="643"/>
      <c r="H35" s="643"/>
      <c r="I35" s="643"/>
    </row>
    <row r="36" spans="2:9" ht="37.5" customHeight="1" x14ac:dyDescent="0.2">
      <c r="B36" s="910" t="s">
        <v>851</v>
      </c>
      <c r="C36" s="910"/>
      <c r="D36" s="910"/>
      <c r="E36" s="910"/>
      <c r="F36" s="910"/>
      <c r="G36" s="910"/>
      <c r="H36" s="910"/>
      <c r="I36" s="910"/>
    </row>
    <row r="37" spans="2:9" ht="15.75" x14ac:dyDescent="0.2">
      <c r="B37" s="643"/>
      <c r="C37" s="643"/>
      <c r="D37" s="643"/>
      <c r="E37" s="643"/>
      <c r="F37" s="643"/>
      <c r="G37" s="643"/>
      <c r="H37" s="643"/>
      <c r="I37" s="643"/>
    </row>
    <row r="38" spans="2:9" ht="15.75" x14ac:dyDescent="0.2">
      <c r="B38" s="643"/>
      <c r="C38" s="643"/>
      <c r="D38" s="643"/>
      <c r="E38" s="643"/>
      <c r="F38" s="643"/>
      <c r="G38" s="643"/>
      <c r="H38" s="643"/>
      <c r="I38" s="643"/>
    </row>
    <row r="39" spans="2:9" ht="15.75" x14ac:dyDescent="0.2">
      <c r="B39" s="643"/>
      <c r="C39" s="643"/>
      <c r="D39" s="643"/>
      <c r="E39" s="643"/>
      <c r="F39" s="643"/>
      <c r="G39" s="643"/>
      <c r="H39" s="643"/>
      <c r="I39" s="643"/>
    </row>
    <row r="40" spans="2:9" ht="15.75" x14ac:dyDescent="0.2">
      <c r="B40" s="643"/>
      <c r="C40" s="643"/>
      <c r="D40" s="643"/>
      <c r="E40" s="658" t="s">
        <v>311</v>
      </c>
      <c r="F40" s="659">
        <v>7</v>
      </c>
      <c r="G40" s="643"/>
      <c r="H40" s="643"/>
      <c r="I40" s="643"/>
    </row>
    <row r="41" spans="2:9" ht="15.75" x14ac:dyDescent="0.2">
      <c r="B41" s="643"/>
      <c r="C41" s="643"/>
      <c r="D41" s="643"/>
      <c r="E41" s="643"/>
      <c r="F41" s="643"/>
      <c r="G41" s="643"/>
      <c r="H41" s="643"/>
      <c r="I41" s="643"/>
    </row>
    <row r="42" spans="2:9" ht="15.75" x14ac:dyDescent="0.2">
      <c r="B42" s="643"/>
      <c r="C42" s="643"/>
      <c r="D42" s="643"/>
      <c r="E42" s="643"/>
      <c r="F42" s="643"/>
      <c r="G42" s="643"/>
      <c r="H42" s="643"/>
      <c r="I42" s="643"/>
    </row>
    <row r="43" spans="2:9" ht="15.75" x14ac:dyDescent="0.25">
      <c r="B43" s="906" t="s">
        <v>852</v>
      </c>
      <c r="C43" s="907"/>
      <c r="D43" s="907"/>
      <c r="E43" s="907"/>
      <c r="F43" s="907"/>
      <c r="G43" s="907"/>
      <c r="H43" s="907"/>
      <c r="I43" s="907"/>
    </row>
    <row r="44" spans="2:9" ht="15.75" x14ac:dyDescent="0.2">
      <c r="B44" s="643"/>
      <c r="C44" s="643"/>
      <c r="D44" s="643"/>
      <c r="E44" s="643"/>
      <c r="F44" s="643"/>
      <c r="G44" s="643"/>
      <c r="H44" s="643"/>
      <c r="I44" s="643"/>
    </row>
    <row r="45" spans="2:9" ht="15.75" x14ac:dyDescent="0.25">
      <c r="B45" s="660" t="s">
        <v>853</v>
      </c>
      <c r="C45" s="643"/>
      <c r="D45" s="643"/>
      <c r="E45" s="643"/>
      <c r="F45" s="643"/>
      <c r="G45" s="643"/>
      <c r="H45" s="643"/>
      <c r="I45" s="643"/>
    </row>
    <row r="46" spans="2:9" ht="15.75" x14ac:dyDescent="0.25">
      <c r="B46" s="660" t="str">
        <f>CONCATENATE("sources in your ",G14," library fund is not equal to or greater than the amount from the same")</f>
        <v>sources in your 2013 library fund is not equal to or greater than the amount from the same</v>
      </c>
      <c r="C46" s="643"/>
      <c r="D46" s="643"/>
      <c r="E46" s="643"/>
      <c r="F46" s="643"/>
      <c r="G46" s="643"/>
      <c r="H46" s="643"/>
      <c r="I46" s="643"/>
    </row>
    <row r="47" spans="2:9" ht="15.75" x14ac:dyDescent="0.25">
      <c r="B47" s="660" t="str">
        <f>CONCATENATE("sources in ",E14,".")</f>
        <v>sources in 2012.</v>
      </c>
      <c r="C47" s="641"/>
      <c r="D47" s="641"/>
      <c r="E47" s="641"/>
      <c r="F47" s="641"/>
      <c r="G47" s="641"/>
      <c r="H47" s="641"/>
      <c r="I47" s="641"/>
    </row>
    <row r="48" spans="2:9" ht="15.75" x14ac:dyDescent="0.25">
      <c r="B48" s="641"/>
      <c r="C48" s="641"/>
      <c r="D48" s="641"/>
      <c r="E48" s="641"/>
      <c r="F48" s="641"/>
      <c r="G48" s="641"/>
      <c r="H48" s="641"/>
      <c r="I48" s="641"/>
    </row>
    <row r="49" spans="2:9" ht="15.75" x14ac:dyDescent="0.25">
      <c r="B49" s="660" t="s">
        <v>854</v>
      </c>
      <c r="C49" s="660"/>
      <c r="D49" s="661"/>
      <c r="E49" s="661"/>
      <c r="F49" s="661"/>
      <c r="G49" s="661"/>
      <c r="H49" s="661"/>
      <c r="I49" s="661"/>
    </row>
    <row r="50" spans="2:9" ht="15.75" x14ac:dyDescent="0.25">
      <c r="B50" s="660" t="s">
        <v>855</v>
      </c>
      <c r="C50" s="660"/>
      <c r="D50" s="661"/>
      <c r="E50" s="661"/>
      <c r="F50" s="661"/>
      <c r="G50" s="661"/>
      <c r="H50" s="661"/>
      <c r="I50" s="661"/>
    </row>
    <row r="51" spans="2:9" ht="15.75" x14ac:dyDescent="0.25">
      <c r="B51" s="660" t="s">
        <v>856</v>
      </c>
      <c r="C51" s="660"/>
      <c r="D51" s="661"/>
      <c r="E51" s="661"/>
      <c r="F51" s="661"/>
      <c r="G51" s="661"/>
      <c r="H51" s="661"/>
      <c r="I51" s="661"/>
    </row>
    <row r="52" spans="2:9" x14ac:dyDescent="0.2">
      <c r="B52" s="661"/>
      <c r="C52" s="661"/>
      <c r="D52" s="661"/>
      <c r="E52" s="661"/>
      <c r="F52" s="661"/>
      <c r="G52" s="661"/>
      <c r="H52" s="661"/>
      <c r="I52" s="661"/>
    </row>
    <row r="53" spans="2:9" ht="15.75" x14ac:dyDescent="0.25">
      <c r="B53" s="662" t="s">
        <v>857</v>
      </c>
      <c r="C53" s="661"/>
      <c r="D53" s="661"/>
      <c r="E53" s="661"/>
      <c r="F53" s="661"/>
      <c r="G53" s="661"/>
      <c r="H53" s="661"/>
      <c r="I53" s="661"/>
    </row>
    <row r="54" spans="2:9" x14ac:dyDescent="0.2">
      <c r="B54" s="661"/>
      <c r="C54" s="661"/>
      <c r="D54" s="661"/>
      <c r="E54" s="661"/>
      <c r="F54" s="661"/>
      <c r="G54" s="661"/>
      <c r="H54" s="661"/>
      <c r="I54" s="661"/>
    </row>
    <row r="55" spans="2:9" ht="15.75" x14ac:dyDescent="0.25">
      <c r="B55" s="660" t="s">
        <v>858</v>
      </c>
      <c r="C55" s="661"/>
      <c r="D55" s="661"/>
      <c r="E55" s="661"/>
      <c r="F55" s="661"/>
      <c r="G55" s="661"/>
      <c r="H55" s="661"/>
      <c r="I55" s="661"/>
    </row>
    <row r="56" spans="2:9" ht="15.75" x14ac:dyDescent="0.25">
      <c r="B56" s="660" t="s">
        <v>859</v>
      </c>
      <c r="C56" s="661"/>
      <c r="D56" s="661"/>
      <c r="E56" s="661"/>
      <c r="F56" s="661"/>
      <c r="G56" s="661"/>
      <c r="H56" s="661"/>
      <c r="I56" s="661"/>
    </row>
    <row r="57" spans="2:9" x14ac:dyDescent="0.2">
      <c r="B57" s="661"/>
      <c r="C57" s="661"/>
      <c r="D57" s="661"/>
      <c r="E57" s="661"/>
      <c r="F57" s="661"/>
      <c r="G57" s="661"/>
      <c r="H57" s="661"/>
      <c r="I57" s="661"/>
    </row>
    <row r="58" spans="2:9" ht="15.75" x14ac:dyDescent="0.25">
      <c r="B58" s="662" t="s">
        <v>860</v>
      </c>
      <c r="C58" s="660"/>
      <c r="D58" s="660"/>
      <c r="E58" s="660"/>
      <c r="F58" s="660"/>
      <c r="G58" s="661"/>
      <c r="H58" s="661"/>
      <c r="I58" s="661"/>
    </row>
    <row r="59" spans="2:9" ht="15.75" x14ac:dyDescent="0.25">
      <c r="B59" s="660"/>
      <c r="C59" s="660"/>
      <c r="D59" s="660"/>
      <c r="E59" s="660"/>
      <c r="F59" s="660"/>
      <c r="G59" s="661"/>
      <c r="H59" s="661"/>
      <c r="I59" s="661"/>
    </row>
    <row r="60" spans="2:9" ht="15.75" x14ac:dyDescent="0.25">
      <c r="B60" s="660" t="s">
        <v>861</v>
      </c>
      <c r="C60" s="660"/>
      <c r="D60" s="660"/>
      <c r="E60" s="660"/>
      <c r="F60" s="660"/>
      <c r="G60" s="661"/>
      <c r="H60" s="661"/>
      <c r="I60" s="661"/>
    </row>
    <row r="61" spans="2:9" ht="15.75" x14ac:dyDescent="0.25">
      <c r="B61" s="660" t="s">
        <v>862</v>
      </c>
      <c r="C61" s="660"/>
      <c r="D61" s="660"/>
      <c r="E61" s="660"/>
      <c r="F61" s="660"/>
      <c r="G61" s="661"/>
      <c r="H61" s="661"/>
      <c r="I61" s="661"/>
    </row>
    <row r="62" spans="2:9" ht="15.75" x14ac:dyDescent="0.25">
      <c r="B62" s="660" t="s">
        <v>863</v>
      </c>
      <c r="C62" s="660"/>
      <c r="D62" s="660"/>
      <c r="E62" s="660"/>
      <c r="F62" s="660"/>
      <c r="G62" s="661"/>
      <c r="H62" s="661"/>
      <c r="I62" s="661"/>
    </row>
    <row r="63" spans="2:9" ht="15.75" x14ac:dyDescent="0.25">
      <c r="B63" s="660" t="s">
        <v>864</v>
      </c>
      <c r="C63" s="660"/>
      <c r="D63" s="660"/>
      <c r="E63" s="660"/>
      <c r="F63" s="660"/>
      <c r="G63" s="661"/>
      <c r="H63" s="661"/>
      <c r="I63" s="661"/>
    </row>
    <row r="64" spans="2:9" x14ac:dyDescent="0.2">
      <c r="B64" s="663"/>
      <c r="C64" s="663"/>
      <c r="D64" s="663"/>
      <c r="E64" s="663"/>
      <c r="F64" s="663"/>
      <c r="G64" s="661"/>
      <c r="H64" s="661"/>
      <c r="I64" s="661"/>
    </row>
    <row r="65" spans="2:9" ht="15.75" x14ac:dyDescent="0.25">
      <c r="B65" s="660" t="s">
        <v>865</v>
      </c>
      <c r="C65" s="663"/>
      <c r="D65" s="663"/>
      <c r="E65" s="663"/>
      <c r="F65" s="663"/>
      <c r="G65" s="661"/>
      <c r="H65" s="661"/>
      <c r="I65" s="661"/>
    </row>
    <row r="66" spans="2:9" ht="15.75" x14ac:dyDescent="0.25">
      <c r="B66" s="660" t="s">
        <v>866</v>
      </c>
      <c r="C66" s="663"/>
      <c r="D66" s="663"/>
      <c r="E66" s="663"/>
      <c r="F66" s="663"/>
      <c r="G66" s="661"/>
      <c r="H66" s="661"/>
      <c r="I66" s="661"/>
    </row>
    <row r="67" spans="2:9" x14ac:dyDescent="0.2">
      <c r="B67" s="663"/>
      <c r="C67" s="663"/>
      <c r="D67" s="663"/>
      <c r="E67" s="663"/>
      <c r="F67" s="663"/>
      <c r="G67" s="661"/>
      <c r="H67" s="661"/>
      <c r="I67" s="661"/>
    </row>
    <row r="68" spans="2:9" ht="15.75" x14ac:dyDescent="0.25">
      <c r="B68" s="660" t="s">
        <v>867</v>
      </c>
      <c r="C68" s="663"/>
      <c r="D68" s="663"/>
      <c r="E68" s="663"/>
      <c r="F68" s="663"/>
      <c r="G68" s="661"/>
      <c r="H68" s="661"/>
      <c r="I68" s="661"/>
    </row>
    <row r="69" spans="2:9" ht="15.75" x14ac:dyDescent="0.25">
      <c r="B69" s="660" t="s">
        <v>868</v>
      </c>
      <c r="C69" s="663"/>
      <c r="D69" s="663"/>
      <c r="E69" s="663"/>
      <c r="F69" s="663"/>
      <c r="G69" s="661"/>
      <c r="H69" s="661"/>
      <c r="I69" s="661"/>
    </row>
    <row r="70" spans="2:9" x14ac:dyDescent="0.2">
      <c r="B70" s="663"/>
      <c r="C70" s="663"/>
      <c r="D70" s="663"/>
      <c r="E70" s="663"/>
      <c r="F70" s="663"/>
      <c r="G70" s="661"/>
      <c r="H70" s="661"/>
      <c r="I70" s="661"/>
    </row>
    <row r="71" spans="2:9" ht="15.75" x14ac:dyDescent="0.25">
      <c r="B71" s="662" t="s">
        <v>869</v>
      </c>
      <c r="C71" s="663"/>
      <c r="D71" s="663"/>
      <c r="E71" s="663"/>
      <c r="F71" s="663"/>
      <c r="G71" s="661"/>
      <c r="H71" s="661"/>
      <c r="I71" s="661"/>
    </row>
    <row r="72" spans="2:9" x14ac:dyDescent="0.2">
      <c r="B72" s="663"/>
      <c r="C72" s="663"/>
      <c r="D72" s="663"/>
      <c r="E72" s="663"/>
      <c r="F72" s="663"/>
      <c r="G72" s="661"/>
      <c r="H72" s="661"/>
      <c r="I72" s="661"/>
    </row>
    <row r="73" spans="2:9" ht="15.75" x14ac:dyDescent="0.25">
      <c r="B73" s="660" t="s">
        <v>870</v>
      </c>
      <c r="C73" s="663"/>
      <c r="D73" s="663"/>
      <c r="E73" s="663"/>
      <c r="F73" s="663"/>
      <c r="G73" s="661"/>
      <c r="H73" s="661"/>
      <c r="I73" s="661"/>
    </row>
    <row r="74" spans="2:9" ht="15.75" x14ac:dyDescent="0.25">
      <c r="B74" s="660" t="s">
        <v>871</v>
      </c>
      <c r="C74" s="663"/>
      <c r="D74" s="663"/>
      <c r="E74" s="663"/>
      <c r="F74" s="663"/>
      <c r="G74" s="661"/>
      <c r="H74" s="661"/>
      <c r="I74" s="661"/>
    </row>
    <row r="75" spans="2:9" x14ac:dyDescent="0.2">
      <c r="B75" s="663"/>
      <c r="C75" s="663"/>
      <c r="D75" s="663"/>
      <c r="E75" s="663"/>
      <c r="F75" s="663"/>
      <c r="G75" s="661"/>
      <c r="H75" s="661"/>
      <c r="I75" s="661"/>
    </row>
    <row r="76" spans="2:9" ht="15.75" x14ac:dyDescent="0.25">
      <c r="B76" s="662" t="s">
        <v>872</v>
      </c>
      <c r="C76" s="663"/>
      <c r="D76" s="663"/>
      <c r="E76" s="663"/>
      <c r="F76" s="663"/>
      <c r="G76" s="661"/>
      <c r="H76" s="661"/>
      <c r="I76" s="661"/>
    </row>
    <row r="77" spans="2:9" x14ac:dyDescent="0.2">
      <c r="B77" s="663"/>
      <c r="C77" s="663"/>
      <c r="D77" s="663"/>
      <c r="E77" s="663"/>
      <c r="F77" s="663"/>
      <c r="G77" s="661"/>
      <c r="H77" s="661"/>
      <c r="I77" s="661"/>
    </row>
    <row r="78" spans="2:9" ht="15.75" x14ac:dyDescent="0.25">
      <c r="B78" s="660" t="str">
        <f>CONCATENATE("If the ",G14," municipal budget has not been published and has not been submitted to the County")</f>
        <v>If the 2013 municipal budget has not been published and has not been submitted to the County</v>
      </c>
      <c r="C78" s="663"/>
      <c r="D78" s="663"/>
      <c r="E78" s="663"/>
      <c r="F78" s="663"/>
      <c r="G78" s="661"/>
      <c r="H78" s="661"/>
      <c r="I78" s="661"/>
    </row>
    <row r="79" spans="2:9" ht="15.75" x14ac:dyDescent="0.25">
      <c r="B79" s="660" t="s">
        <v>873</v>
      </c>
      <c r="C79" s="663"/>
      <c r="D79" s="663"/>
      <c r="E79" s="663"/>
      <c r="F79" s="663"/>
      <c r="G79" s="661"/>
      <c r="H79" s="661"/>
      <c r="I79" s="661"/>
    </row>
    <row r="80" spans="2:9" x14ac:dyDescent="0.2">
      <c r="B80" s="663"/>
      <c r="C80" s="663"/>
      <c r="D80" s="663"/>
      <c r="E80" s="663"/>
      <c r="F80" s="663"/>
      <c r="G80" s="661"/>
      <c r="H80" s="661"/>
      <c r="I80" s="661"/>
    </row>
    <row r="81" spans="2:9" ht="15.75" x14ac:dyDescent="0.25">
      <c r="B81" s="662" t="s">
        <v>450</v>
      </c>
      <c r="C81" s="663"/>
      <c r="D81" s="663"/>
      <c r="E81" s="663"/>
      <c r="F81" s="663"/>
      <c r="G81" s="661"/>
      <c r="H81" s="661"/>
      <c r="I81" s="661"/>
    </row>
    <row r="82" spans="2:9" x14ac:dyDescent="0.2">
      <c r="B82" s="663"/>
      <c r="C82" s="663"/>
      <c r="D82" s="663"/>
      <c r="E82" s="663"/>
      <c r="F82" s="663"/>
      <c r="G82" s="661"/>
      <c r="H82" s="661"/>
      <c r="I82" s="661"/>
    </row>
    <row r="83" spans="2:9" ht="15.75" x14ac:dyDescent="0.25">
      <c r="B83" s="660" t="s">
        <v>874</v>
      </c>
      <c r="C83" s="663"/>
      <c r="D83" s="663"/>
      <c r="E83" s="663"/>
      <c r="F83" s="663"/>
      <c r="G83" s="661"/>
      <c r="H83" s="661"/>
      <c r="I83" s="661"/>
    </row>
    <row r="84" spans="2:9" ht="15.75" x14ac:dyDescent="0.25">
      <c r="B84" s="660" t="str">
        <f>CONCATENATE("Budget Year ",G14," is equal to or greater than that for Current Year Estimate ",E14,".")</f>
        <v>Budget Year 2013 is equal to or greater than that for Current Year Estimate 2012.</v>
      </c>
      <c r="C84" s="663"/>
      <c r="D84" s="663"/>
      <c r="E84" s="663"/>
      <c r="F84" s="663"/>
      <c r="G84" s="661"/>
      <c r="H84" s="661"/>
      <c r="I84" s="661"/>
    </row>
    <row r="85" spans="2:9" x14ac:dyDescent="0.2">
      <c r="B85" s="663"/>
      <c r="C85" s="663"/>
      <c r="D85" s="663"/>
      <c r="E85" s="663"/>
      <c r="F85" s="663"/>
      <c r="G85" s="661"/>
      <c r="H85" s="661"/>
      <c r="I85" s="661"/>
    </row>
    <row r="86" spans="2:9" ht="15.75" x14ac:dyDescent="0.25">
      <c r="B86" s="660" t="s">
        <v>875</v>
      </c>
      <c r="C86" s="663"/>
      <c r="D86" s="663"/>
      <c r="E86" s="663"/>
      <c r="F86" s="663"/>
      <c r="G86" s="661"/>
      <c r="H86" s="661"/>
      <c r="I86" s="661"/>
    </row>
    <row r="87" spans="2:9" ht="15.75" x14ac:dyDescent="0.25">
      <c r="B87" s="660" t="s">
        <v>876</v>
      </c>
      <c r="C87" s="663"/>
      <c r="D87" s="663"/>
      <c r="E87" s="663"/>
      <c r="F87" s="663"/>
      <c r="G87" s="661"/>
      <c r="H87" s="661"/>
      <c r="I87" s="661"/>
    </row>
    <row r="88" spans="2:9" ht="15.75" x14ac:dyDescent="0.25">
      <c r="B88" s="660" t="s">
        <v>877</v>
      </c>
      <c r="C88" s="663"/>
      <c r="D88" s="663"/>
      <c r="E88" s="663"/>
      <c r="F88" s="663"/>
      <c r="G88" s="661"/>
      <c r="H88" s="661"/>
      <c r="I88" s="661"/>
    </row>
    <row r="89" spans="2:9" ht="15.75" x14ac:dyDescent="0.25">
      <c r="B89" s="660" t="str">
        <f>CONCATENATE("purpose for the previous (",E14,") year.")</f>
        <v>purpose for the previous (2012) year.</v>
      </c>
      <c r="C89" s="663"/>
      <c r="D89" s="663"/>
      <c r="E89" s="663"/>
      <c r="F89" s="663"/>
      <c r="G89" s="661"/>
      <c r="H89" s="661"/>
      <c r="I89" s="661"/>
    </row>
    <row r="90" spans="2:9" x14ac:dyDescent="0.2">
      <c r="B90" s="663"/>
      <c r="C90" s="663"/>
      <c r="D90" s="663"/>
      <c r="E90" s="663"/>
      <c r="F90" s="663"/>
      <c r="G90" s="661"/>
      <c r="H90" s="661"/>
      <c r="I90" s="661"/>
    </row>
    <row r="91" spans="2:9" ht="15.75" x14ac:dyDescent="0.25">
      <c r="B91" s="660" t="str">
        <f>CONCATENATE("Next, look to see if delinquent tax for ",G14," is budgeted. Often this line is budgeted at $0 or left")</f>
        <v>Next, look to see if delinquent tax for 2013 is budgeted. Often this line is budgeted at $0 or left</v>
      </c>
      <c r="C91" s="663"/>
      <c r="D91" s="663"/>
      <c r="E91" s="663"/>
      <c r="F91" s="663"/>
      <c r="G91" s="661"/>
      <c r="H91" s="661"/>
      <c r="I91" s="661"/>
    </row>
    <row r="92" spans="2:9" ht="15.75" x14ac:dyDescent="0.25">
      <c r="B92" s="660" t="s">
        <v>878</v>
      </c>
      <c r="C92" s="663"/>
      <c r="D92" s="663"/>
      <c r="E92" s="663"/>
      <c r="F92" s="663"/>
      <c r="G92" s="661"/>
      <c r="H92" s="661"/>
      <c r="I92" s="661"/>
    </row>
    <row r="93" spans="2:9" ht="15.75" x14ac:dyDescent="0.25">
      <c r="B93" s="660" t="s">
        <v>879</v>
      </c>
      <c r="C93" s="663"/>
      <c r="D93" s="663"/>
      <c r="E93" s="663"/>
      <c r="F93" s="663"/>
      <c r="G93" s="661"/>
      <c r="H93" s="661"/>
      <c r="I93" s="661"/>
    </row>
    <row r="94" spans="2:9" ht="15.75" x14ac:dyDescent="0.25">
      <c r="B94" s="660" t="s">
        <v>880</v>
      </c>
      <c r="C94" s="663"/>
      <c r="D94" s="663"/>
      <c r="E94" s="663"/>
      <c r="F94" s="663"/>
      <c r="G94" s="661"/>
      <c r="H94" s="661"/>
      <c r="I94" s="661"/>
    </row>
    <row r="95" spans="2:9" x14ac:dyDescent="0.2">
      <c r="B95" s="663"/>
      <c r="C95" s="663"/>
      <c r="D95" s="663"/>
      <c r="E95" s="663"/>
      <c r="F95" s="663"/>
      <c r="G95" s="661"/>
      <c r="H95" s="661"/>
      <c r="I95" s="661"/>
    </row>
    <row r="96" spans="2:9" ht="15.75" x14ac:dyDescent="0.25">
      <c r="B96" s="662" t="s">
        <v>881</v>
      </c>
      <c r="C96" s="663"/>
      <c r="D96" s="663"/>
      <c r="E96" s="663"/>
      <c r="F96" s="663"/>
      <c r="G96" s="661"/>
      <c r="H96" s="661"/>
      <c r="I96" s="661"/>
    </row>
    <row r="97" spans="2:9" x14ac:dyDescent="0.2">
      <c r="B97" s="663"/>
      <c r="C97" s="663"/>
      <c r="D97" s="663"/>
      <c r="E97" s="663"/>
      <c r="F97" s="663"/>
      <c r="G97" s="661"/>
      <c r="H97" s="661"/>
      <c r="I97" s="661"/>
    </row>
    <row r="98" spans="2:9" ht="15.75" x14ac:dyDescent="0.25">
      <c r="B98" s="660" t="s">
        <v>882</v>
      </c>
      <c r="C98" s="663"/>
      <c r="D98" s="663"/>
      <c r="E98" s="663"/>
      <c r="F98" s="663"/>
      <c r="G98" s="661"/>
      <c r="H98" s="661"/>
      <c r="I98" s="661"/>
    </row>
    <row r="99" spans="2:9" ht="15.75" x14ac:dyDescent="0.25">
      <c r="B99" s="660" t="s">
        <v>883</v>
      </c>
      <c r="C99" s="663"/>
      <c r="D99" s="663"/>
      <c r="E99" s="663"/>
      <c r="F99" s="663"/>
      <c r="G99" s="661"/>
      <c r="H99" s="661"/>
      <c r="I99" s="661"/>
    </row>
    <row r="100" spans="2:9" x14ac:dyDescent="0.2">
      <c r="B100" s="663"/>
      <c r="C100" s="663"/>
      <c r="D100" s="663"/>
      <c r="E100" s="663"/>
      <c r="F100" s="663"/>
      <c r="G100" s="661"/>
      <c r="H100" s="661"/>
      <c r="I100" s="661"/>
    </row>
    <row r="101" spans="2:9" ht="15.75" x14ac:dyDescent="0.25">
      <c r="B101" s="660" t="s">
        <v>884</v>
      </c>
      <c r="C101" s="663"/>
      <c r="D101" s="663"/>
      <c r="E101" s="663"/>
      <c r="F101" s="663"/>
      <c r="G101" s="661"/>
      <c r="H101" s="661"/>
      <c r="I101" s="661"/>
    </row>
    <row r="102" spans="2:9" ht="15.75" x14ac:dyDescent="0.25">
      <c r="B102" s="660" t="s">
        <v>885</v>
      </c>
      <c r="C102" s="663"/>
      <c r="D102" s="663"/>
      <c r="E102" s="663"/>
      <c r="F102" s="663"/>
      <c r="G102" s="661"/>
      <c r="H102" s="661"/>
      <c r="I102" s="661"/>
    </row>
    <row r="103" spans="2:9" ht="15.75" x14ac:dyDescent="0.25">
      <c r="B103" s="660" t="s">
        <v>886</v>
      </c>
      <c r="C103" s="663"/>
      <c r="D103" s="663"/>
      <c r="E103" s="663"/>
      <c r="F103" s="663"/>
      <c r="G103" s="661"/>
      <c r="H103" s="661"/>
      <c r="I103" s="661"/>
    </row>
    <row r="104" spans="2:9" ht="15.75" x14ac:dyDescent="0.25">
      <c r="B104" s="660" t="s">
        <v>887</v>
      </c>
      <c r="C104" s="663"/>
      <c r="D104" s="663"/>
      <c r="E104" s="663"/>
      <c r="F104" s="663"/>
      <c r="G104" s="661"/>
      <c r="H104" s="661"/>
      <c r="I104" s="661"/>
    </row>
    <row r="105" spans="2:9" ht="15.75" x14ac:dyDescent="0.25">
      <c r="B105" s="806" t="s">
        <v>999</v>
      </c>
      <c r="C105" s="807"/>
      <c r="D105" s="807"/>
      <c r="E105" s="807"/>
      <c r="F105" s="807"/>
      <c r="G105" s="661"/>
      <c r="H105" s="661"/>
      <c r="I105" s="661"/>
    </row>
    <row r="108" spans="2:9" x14ac:dyDescent="0.2">
      <c r="G108" s="66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zoomScaleNormal="100" workbookViewId="0">
      <selection activeCell="E41" sqref="E41"/>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6" width="8.109375" style="82" customWidth="1"/>
    <col min="7" max="7" width="10.21875" style="82" customWidth="1"/>
    <col min="8" max="8" width="8.88671875" style="82" customWidth="1"/>
    <col min="9" max="9" width="5" style="82" customWidth="1"/>
    <col min="10" max="10" width="10" style="82" customWidth="1"/>
    <col min="11" max="16384" width="8.88671875" style="82"/>
  </cols>
  <sheetData>
    <row r="1" spans="2:11" x14ac:dyDescent="0.2">
      <c r="B1" s="256" t="str">
        <f>inputPrYr!D3</f>
        <v>City of Herington</v>
      </c>
      <c r="C1" s="86"/>
      <c r="D1" s="86"/>
      <c r="E1" s="281">
        <f>inputPrYr!C10</f>
        <v>2013</v>
      </c>
    </row>
    <row r="2" spans="2:11" x14ac:dyDescent="0.2">
      <c r="B2" s="86"/>
      <c r="C2" s="86"/>
      <c r="D2" s="86"/>
      <c r="E2" s="230"/>
    </row>
    <row r="3" spans="2:11" x14ac:dyDescent="0.2">
      <c r="B3" s="512" t="s">
        <v>6</v>
      </c>
      <c r="C3" s="388"/>
      <c r="D3" s="388"/>
      <c r="E3" s="388"/>
    </row>
    <row r="4" spans="2:11" x14ac:dyDescent="0.2">
      <c r="B4" s="234" t="s">
        <v>301</v>
      </c>
      <c r="C4" s="633" t="s">
        <v>833</v>
      </c>
      <c r="D4" s="634" t="s">
        <v>834</v>
      </c>
      <c r="E4" s="206" t="s">
        <v>835</v>
      </c>
    </row>
    <row r="5" spans="2:11" x14ac:dyDescent="0.2">
      <c r="B5" s="579" t="str">
        <f>inputPrYr!B22</f>
        <v>General</v>
      </c>
      <c r="C5" s="454" t="str">
        <f>CONCATENATE("Actual for ",E1-2,"")</f>
        <v>Actual for 2011</v>
      </c>
      <c r="D5" s="454" t="str">
        <f>CONCATENATE("Estimate for ",E1-1,"")</f>
        <v>Estimate for 2012</v>
      </c>
      <c r="E5" s="272" t="str">
        <f>CONCATENATE("Year for ",E1,"")</f>
        <v>Year for 2013</v>
      </c>
      <c r="K5" s="639"/>
    </row>
    <row r="6" spans="2:11" x14ac:dyDescent="0.2">
      <c r="B6" s="365" t="s">
        <v>60</v>
      </c>
      <c r="C6" s="446">
        <v>336214</v>
      </c>
      <c r="D6" s="451">
        <f>C112</f>
        <v>394309</v>
      </c>
      <c r="E6" s="351">
        <f>D112</f>
        <v>319871</v>
      </c>
    </row>
    <row r="7" spans="2:11" x14ac:dyDescent="0.2">
      <c r="B7" s="366" t="s">
        <v>62</v>
      </c>
      <c r="C7" s="220"/>
      <c r="D7" s="220"/>
      <c r="E7" s="126"/>
    </row>
    <row r="8" spans="2:11" x14ac:dyDescent="0.2">
      <c r="B8" s="365" t="s">
        <v>302</v>
      </c>
      <c r="C8" s="446">
        <v>334551</v>
      </c>
      <c r="D8" s="451">
        <f>IF(inputPrYr!H21&gt;0,inputPrYr!G22,inputPrYr!E22)</f>
        <v>315496</v>
      </c>
      <c r="E8" s="389" t="s">
        <v>290</v>
      </c>
    </row>
    <row r="9" spans="2:11" x14ac:dyDescent="0.2">
      <c r="B9" s="365" t="s">
        <v>303</v>
      </c>
      <c r="C9" s="446">
        <v>9447</v>
      </c>
      <c r="D9" s="446"/>
      <c r="E9" s="108"/>
    </row>
    <row r="10" spans="2:11" x14ac:dyDescent="0.2">
      <c r="B10" s="365" t="s">
        <v>304</v>
      </c>
      <c r="C10" s="446">
        <v>53763</v>
      </c>
      <c r="D10" s="446">
        <v>47106</v>
      </c>
      <c r="E10" s="351">
        <f>mvalloc!D8</f>
        <v>41855</v>
      </c>
    </row>
    <row r="11" spans="2:11" x14ac:dyDescent="0.2">
      <c r="B11" s="365" t="s">
        <v>305</v>
      </c>
      <c r="C11" s="446">
        <v>1496</v>
      </c>
      <c r="D11" s="446">
        <v>1263</v>
      </c>
      <c r="E11" s="351">
        <f>mvalloc!E8</f>
        <v>1305</v>
      </c>
    </row>
    <row r="12" spans="2:11" x14ac:dyDescent="0.2">
      <c r="B12" s="365" t="s">
        <v>38</v>
      </c>
      <c r="C12" s="446">
        <v>375</v>
      </c>
      <c r="D12" s="446">
        <v>389</v>
      </c>
      <c r="E12" s="351">
        <f>mvalloc!F8</f>
        <v>343</v>
      </c>
    </row>
    <row r="13" spans="2:11" x14ac:dyDescent="0.2">
      <c r="B13" s="365" t="s">
        <v>39</v>
      </c>
      <c r="C13" s="446"/>
      <c r="D13" s="446"/>
      <c r="E13" s="351">
        <f>inputOth!E24</f>
        <v>0</v>
      </c>
    </row>
    <row r="14" spans="2:11" x14ac:dyDescent="0.2">
      <c r="B14" s="365" t="s">
        <v>96</v>
      </c>
      <c r="C14" s="446"/>
      <c r="D14" s="446"/>
      <c r="E14" s="351">
        <f>inputOth!E61</f>
        <v>0</v>
      </c>
    </row>
    <row r="15" spans="2:11" x14ac:dyDescent="0.2">
      <c r="B15" s="365" t="s">
        <v>97</v>
      </c>
      <c r="C15" s="446"/>
      <c r="D15" s="446"/>
      <c r="E15" s="351">
        <f>inputOth!E62</f>
        <v>0</v>
      </c>
    </row>
    <row r="16" spans="2:11" x14ac:dyDescent="0.2">
      <c r="B16" s="390" t="s">
        <v>1032</v>
      </c>
      <c r="C16" s="446">
        <v>462</v>
      </c>
      <c r="D16" s="446"/>
      <c r="E16" s="108"/>
    </row>
    <row r="17" spans="2:5" x14ac:dyDescent="0.2">
      <c r="B17" s="390" t="s">
        <v>306</v>
      </c>
      <c r="C17" s="446">
        <v>6021</v>
      </c>
      <c r="D17" s="446">
        <v>7400</v>
      </c>
      <c r="E17" s="108">
        <v>7500</v>
      </c>
    </row>
    <row r="18" spans="2:5" x14ac:dyDescent="0.2">
      <c r="B18" s="463" t="s">
        <v>695</v>
      </c>
      <c r="C18" s="446">
        <v>76513</v>
      </c>
      <c r="D18" s="446">
        <v>70000</v>
      </c>
      <c r="E18" s="108">
        <v>76000</v>
      </c>
    </row>
    <row r="19" spans="2:5" x14ac:dyDescent="0.2">
      <c r="B19" s="463" t="s">
        <v>696</v>
      </c>
      <c r="C19" s="446">
        <v>103919</v>
      </c>
      <c r="D19" s="446">
        <v>106900</v>
      </c>
      <c r="E19" s="108">
        <v>105290</v>
      </c>
    </row>
    <row r="20" spans="2:5" x14ac:dyDescent="0.2">
      <c r="B20" s="463" t="s">
        <v>1033</v>
      </c>
      <c r="C20" s="446">
        <v>197246</v>
      </c>
      <c r="D20" s="446">
        <v>208000</v>
      </c>
      <c r="E20" s="108">
        <v>210000</v>
      </c>
    </row>
    <row r="21" spans="2:5" x14ac:dyDescent="0.2">
      <c r="B21" s="390" t="s">
        <v>1034</v>
      </c>
      <c r="C21" s="446">
        <v>5849</v>
      </c>
      <c r="D21" s="446">
        <v>5200</v>
      </c>
      <c r="E21" s="108">
        <v>5800</v>
      </c>
    </row>
    <row r="22" spans="2:5" x14ac:dyDescent="0.2">
      <c r="B22" s="390" t="s">
        <v>1035</v>
      </c>
      <c r="C22" s="446">
        <v>4160</v>
      </c>
      <c r="D22" s="446">
        <v>6000</v>
      </c>
      <c r="E22" s="108">
        <v>5100</v>
      </c>
    </row>
    <row r="23" spans="2:5" x14ac:dyDescent="0.2">
      <c r="B23" s="390" t="s">
        <v>1036</v>
      </c>
      <c r="C23" s="446">
        <v>28996</v>
      </c>
      <c r="D23" s="446">
        <v>29909</v>
      </c>
      <c r="E23" s="108">
        <v>30000</v>
      </c>
    </row>
    <row r="24" spans="2:5" x14ac:dyDescent="0.2">
      <c r="B24" s="390" t="s">
        <v>1037</v>
      </c>
      <c r="C24" s="446">
        <v>9204</v>
      </c>
      <c r="D24" s="446">
        <v>9200</v>
      </c>
      <c r="E24" s="108">
        <v>9216</v>
      </c>
    </row>
    <row r="25" spans="2:5" x14ac:dyDescent="0.2">
      <c r="B25" s="390" t="s">
        <v>1038</v>
      </c>
      <c r="C25" s="446">
        <v>88903</v>
      </c>
      <c r="D25" s="446">
        <v>97000</v>
      </c>
      <c r="E25" s="108">
        <v>94000</v>
      </c>
    </row>
    <row r="26" spans="2:5" x14ac:dyDescent="0.2">
      <c r="B26" s="390" t="s">
        <v>1039</v>
      </c>
      <c r="C26" s="446">
        <v>3410</v>
      </c>
      <c r="D26" s="446">
        <v>3200</v>
      </c>
      <c r="E26" s="108">
        <v>3700</v>
      </c>
    </row>
    <row r="27" spans="2:5" x14ac:dyDescent="0.2">
      <c r="B27" s="390" t="s">
        <v>1040</v>
      </c>
      <c r="C27" s="446">
        <v>3212</v>
      </c>
      <c r="D27" s="446">
        <v>4100</v>
      </c>
      <c r="E27" s="108">
        <v>4500</v>
      </c>
    </row>
    <row r="28" spans="2:5" x14ac:dyDescent="0.2">
      <c r="B28" s="390" t="s">
        <v>1041</v>
      </c>
      <c r="C28" s="446">
        <v>1700</v>
      </c>
      <c r="D28" s="446">
        <v>1700</v>
      </c>
      <c r="E28" s="108">
        <v>1700</v>
      </c>
    </row>
    <row r="29" spans="2:5" x14ac:dyDescent="0.2">
      <c r="B29" s="390" t="s">
        <v>1042</v>
      </c>
      <c r="C29" s="446">
        <v>19782</v>
      </c>
      <c r="D29" s="446">
        <v>14000</v>
      </c>
      <c r="E29" s="108">
        <v>0</v>
      </c>
    </row>
    <row r="30" spans="2:5" x14ac:dyDescent="0.2">
      <c r="B30" s="390" t="s">
        <v>1043</v>
      </c>
      <c r="C30" s="446">
        <v>6574</v>
      </c>
      <c r="D30" s="446">
        <v>7500</v>
      </c>
      <c r="E30" s="108">
        <v>7000</v>
      </c>
    </row>
    <row r="31" spans="2:5" x14ac:dyDescent="0.2">
      <c r="B31" s="390" t="s">
        <v>1044</v>
      </c>
      <c r="C31" s="446">
        <v>413</v>
      </c>
      <c r="D31" s="446">
        <v>500</v>
      </c>
      <c r="E31" s="108">
        <v>450</v>
      </c>
    </row>
    <row r="32" spans="2:5" x14ac:dyDescent="0.2">
      <c r="B32" s="390" t="s">
        <v>1045</v>
      </c>
      <c r="C32" s="446">
        <v>2887</v>
      </c>
      <c r="D32" s="446">
        <v>3900</v>
      </c>
      <c r="E32" s="108">
        <v>3500</v>
      </c>
    </row>
    <row r="33" spans="2:5" x14ac:dyDescent="0.2">
      <c r="B33" s="390" t="s">
        <v>1046</v>
      </c>
      <c r="C33" s="446">
        <v>15856</v>
      </c>
      <c r="D33" s="446">
        <v>18000</v>
      </c>
      <c r="E33" s="108">
        <v>22000</v>
      </c>
    </row>
    <row r="34" spans="2:5" x14ac:dyDescent="0.2">
      <c r="B34" s="390" t="s">
        <v>1047</v>
      </c>
      <c r="C34" s="446">
        <v>34158</v>
      </c>
      <c r="D34" s="446">
        <v>38000</v>
      </c>
      <c r="E34" s="108">
        <v>42000</v>
      </c>
    </row>
    <row r="35" spans="2:5" x14ac:dyDescent="0.2">
      <c r="B35" s="390" t="s">
        <v>1048</v>
      </c>
      <c r="C35" s="446">
        <v>16063</v>
      </c>
      <c r="D35" s="446">
        <v>17000</v>
      </c>
      <c r="E35" s="108">
        <v>21000</v>
      </c>
    </row>
    <row r="36" spans="2:5" x14ac:dyDescent="0.2">
      <c r="B36" s="390" t="s">
        <v>1049</v>
      </c>
      <c r="C36" s="446">
        <v>450</v>
      </c>
      <c r="D36" s="446">
        <v>500</v>
      </c>
      <c r="E36" s="108">
        <v>500</v>
      </c>
    </row>
    <row r="37" spans="2:5" x14ac:dyDescent="0.2">
      <c r="B37" s="390" t="s">
        <v>1050</v>
      </c>
      <c r="C37" s="446">
        <v>9382</v>
      </c>
      <c r="D37" s="446">
        <v>18000</v>
      </c>
      <c r="E37" s="108">
        <v>18000</v>
      </c>
    </row>
    <row r="38" spans="2:5" x14ac:dyDescent="0.2">
      <c r="B38" s="390" t="s">
        <v>1051</v>
      </c>
      <c r="C38" s="446">
        <v>8147</v>
      </c>
      <c r="D38" s="446">
        <v>7000</v>
      </c>
      <c r="E38" s="108">
        <v>9050</v>
      </c>
    </row>
    <row r="39" spans="2:5" x14ac:dyDescent="0.2">
      <c r="B39" s="390" t="s">
        <v>1052</v>
      </c>
      <c r="C39" s="446">
        <v>35286</v>
      </c>
      <c r="D39" s="446">
        <v>25000</v>
      </c>
      <c r="E39" s="108">
        <v>50000</v>
      </c>
    </row>
    <row r="40" spans="2:5" x14ac:dyDescent="0.2">
      <c r="B40" s="390" t="s">
        <v>1053</v>
      </c>
      <c r="C40" s="446">
        <v>10300</v>
      </c>
      <c r="D40" s="446">
        <v>10300</v>
      </c>
      <c r="E40" s="108">
        <v>10300</v>
      </c>
    </row>
    <row r="41" spans="2:5" x14ac:dyDescent="0.2">
      <c r="B41" s="390" t="s">
        <v>1054</v>
      </c>
      <c r="C41" s="446">
        <v>175000</v>
      </c>
      <c r="D41" s="446">
        <v>75000</v>
      </c>
      <c r="E41" s="108">
        <v>75000</v>
      </c>
    </row>
    <row r="42" spans="2:5" x14ac:dyDescent="0.2">
      <c r="B42" s="390" t="s">
        <v>1055</v>
      </c>
      <c r="C42" s="446">
        <v>86398</v>
      </c>
      <c r="D42" s="446">
        <v>71500</v>
      </c>
      <c r="E42" s="108">
        <v>91000</v>
      </c>
    </row>
    <row r="43" spans="2:5" x14ac:dyDescent="0.2">
      <c r="B43" s="390" t="s">
        <v>1056</v>
      </c>
      <c r="C43" s="446">
        <v>16174</v>
      </c>
      <c r="D43" s="446">
        <v>17000</v>
      </c>
      <c r="E43" s="108">
        <v>18500</v>
      </c>
    </row>
    <row r="44" spans="2:5" x14ac:dyDescent="0.2">
      <c r="B44" s="390" t="s">
        <v>1057</v>
      </c>
      <c r="C44" s="446">
        <v>6825</v>
      </c>
      <c r="D44" s="446">
        <v>25000</v>
      </c>
      <c r="E44" s="108"/>
    </row>
    <row r="45" spans="2:5" x14ac:dyDescent="0.2">
      <c r="B45" s="390" t="s">
        <v>1058</v>
      </c>
      <c r="C45" s="446">
        <v>147359</v>
      </c>
      <c r="D45" s="446">
        <v>164700</v>
      </c>
      <c r="E45" s="108">
        <v>153000</v>
      </c>
    </row>
    <row r="46" spans="2:5" x14ac:dyDescent="0.2">
      <c r="B46" s="390"/>
      <c r="C46" s="446"/>
      <c r="D46" s="446"/>
      <c r="E46" s="108">
        <v>0</v>
      </c>
    </row>
    <row r="47" spans="2:5" x14ac:dyDescent="0.2">
      <c r="B47" s="390"/>
      <c r="C47" s="446"/>
      <c r="D47" s="446"/>
      <c r="E47" s="108"/>
    </row>
    <row r="48" spans="2:5" x14ac:dyDescent="0.2">
      <c r="B48" s="390"/>
      <c r="C48" s="446"/>
      <c r="D48" s="446"/>
      <c r="E48" s="108"/>
    </row>
    <row r="49" spans="2:5" x14ac:dyDescent="0.2">
      <c r="B49" s="390"/>
      <c r="C49" s="446"/>
      <c r="D49" s="446"/>
      <c r="E49" s="108"/>
    </row>
    <row r="50" spans="2:5" x14ac:dyDescent="0.2">
      <c r="B50" s="390"/>
      <c r="C50" s="446"/>
      <c r="D50" s="446"/>
      <c r="E50" s="108"/>
    </row>
    <row r="51" spans="2:5" x14ac:dyDescent="0.2">
      <c r="B51" s="390"/>
      <c r="C51" s="446"/>
      <c r="D51" s="446"/>
      <c r="E51" s="108"/>
    </row>
    <row r="52" spans="2:5" x14ac:dyDescent="0.2">
      <c r="B52" s="390" t="s">
        <v>307</v>
      </c>
      <c r="C52" s="446"/>
      <c r="D52" s="446"/>
      <c r="E52" s="108"/>
    </row>
    <row r="53" spans="2:5" x14ac:dyDescent="0.2">
      <c r="B53" s="367" t="s">
        <v>308</v>
      </c>
      <c r="C53" s="446">
        <v>6718</v>
      </c>
      <c r="D53" s="446">
        <v>9200</v>
      </c>
      <c r="E53" s="117">
        <v>4872</v>
      </c>
    </row>
    <row r="54" spans="2:5" x14ac:dyDescent="0.2">
      <c r="B54" s="357" t="s">
        <v>198</v>
      </c>
      <c r="C54" s="446">
        <v>13898</v>
      </c>
      <c r="D54" s="446">
        <v>92000</v>
      </c>
      <c r="E54" s="108">
        <v>30000</v>
      </c>
    </row>
    <row r="55" spans="2:5" x14ac:dyDescent="0.2">
      <c r="B55" s="357" t="s">
        <v>693</v>
      </c>
      <c r="C55" s="447" t="str">
        <f>IF(C56*0.1&lt;C54,"Exceed 10% Rule","")</f>
        <v/>
      </c>
      <c r="D55" s="447" t="str">
        <f>IF(D56*0.1&lt;D54,"Exceed 10% Rule","")</f>
        <v/>
      </c>
      <c r="E55" s="384" t="str">
        <f>IF(E56*0.1+E118&lt;E54,"Exceed 10% Rule","")</f>
        <v/>
      </c>
    </row>
    <row r="56" spans="2:5" x14ac:dyDescent="0.2">
      <c r="B56" s="359" t="s">
        <v>309</v>
      </c>
      <c r="C56" s="450">
        <f>SUM(C8:C54)</f>
        <v>1540897</v>
      </c>
      <c r="D56" s="450">
        <f>SUM(D8:D54)</f>
        <v>1526963</v>
      </c>
      <c r="E56" s="361">
        <f>SUM(E9:E54)</f>
        <v>1152481</v>
      </c>
    </row>
    <row r="57" spans="2:5" x14ac:dyDescent="0.2">
      <c r="B57" s="359" t="s">
        <v>310</v>
      </c>
      <c r="C57" s="450">
        <f>C6+C56</f>
        <v>1877111</v>
      </c>
      <c r="D57" s="450">
        <f>D6+D56</f>
        <v>1921272</v>
      </c>
      <c r="E57" s="361">
        <f>E6+E56</f>
        <v>1472352</v>
      </c>
    </row>
    <row r="58" spans="2:5" x14ac:dyDescent="0.2">
      <c r="B58" s="86"/>
      <c r="C58" s="86"/>
      <c r="D58" s="86"/>
      <c r="E58" s="86"/>
    </row>
    <row r="59" spans="2:5" x14ac:dyDescent="0.2">
      <c r="B59" s="175"/>
      <c r="C59" s="199" t="s">
        <v>319</v>
      </c>
      <c r="D59" s="234">
        <f>IF(inputPrYr!D24&gt;0,8,7)</f>
        <v>8</v>
      </c>
      <c r="E59" s="175"/>
    </row>
    <row r="60" spans="2:5" x14ac:dyDescent="0.2">
      <c r="B60" s="175"/>
      <c r="C60" s="175"/>
      <c r="D60" s="175"/>
      <c r="E60" s="175"/>
    </row>
    <row r="61" spans="2:5" x14ac:dyDescent="0.2">
      <c r="B61" s="256" t="str">
        <f>inputPrYr!D3</f>
        <v>City of Herington</v>
      </c>
      <c r="C61" s="86"/>
      <c r="D61" s="86"/>
      <c r="E61" s="230"/>
    </row>
    <row r="62" spans="2:5" x14ac:dyDescent="0.2">
      <c r="B62" s="86"/>
      <c r="C62" s="86"/>
      <c r="D62" s="86"/>
      <c r="E62" s="199"/>
    </row>
    <row r="63" spans="2:5" x14ac:dyDescent="0.2">
      <c r="B63" s="291" t="s">
        <v>5</v>
      </c>
      <c r="C63" s="283"/>
      <c r="D63" s="283"/>
      <c r="E63" s="283"/>
    </row>
    <row r="64" spans="2:5" x14ac:dyDescent="0.2">
      <c r="B64" s="86" t="s">
        <v>301</v>
      </c>
      <c r="C64" s="592" t="s">
        <v>323</v>
      </c>
      <c r="D64" s="593" t="s">
        <v>83</v>
      </c>
      <c r="E64" s="594" t="s">
        <v>84</v>
      </c>
    </row>
    <row r="65" spans="2:5" x14ac:dyDescent="0.2">
      <c r="B65" s="116" t="str">
        <f>inputPrYr!B22</f>
        <v>General</v>
      </c>
      <c r="C65" s="449" t="str">
        <f>C5</f>
        <v>Actual for 2011</v>
      </c>
      <c r="D65" s="449" t="str">
        <f>D5</f>
        <v>Estimate for 2012</v>
      </c>
      <c r="E65" s="364" t="str">
        <f>E5</f>
        <v>Year for 2013</v>
      </c>
    </row>
    <row r="66" spans="2:5" x14ac:dyDescent="0.2">
      <c r="B66" s="391" t="s">
        <v>310</v>
      </c>
      <c r="C66" s="448">
        <f>C57</f>
        <v>1877111</v>
      </c>
      <c r="D66" s="448">
        <f>D57</f>
        <v>1921272</v>
      </c>
      <c r="E66" s="121">
        <f>E57</f>
        <v>1472352</v>
      </c>
    </row>
    <row r="67" spans="2:5" x14ac:dyDescent="0.2">
      <c r="B67" s="366" t="s">
        <v>312</v>
      </c>
      <c r="C67" s="220"/>
      <c r="D67" s="220"/>
      <c r="E67" s="126"/>
    </row>
    <row r="68" spans="2:5" x14ac:dyDescent="0.2">
      <c r="B68" s="392" t="s">
        <v>1059</v>
      </c>
      <c r="C68" s="785">
        <v>73587</v>
      </c>
      <c r="D68" s="785">
        <v>94700</v>
      </c>
      <c r="E68" s="786">
        <f>GenDetail!D14</f>
        <v>87180</v>
      </c>
    </row>
    <row r="69" spans="2:5" x14ac:dyDescent="0.2">
      <c r="B69" s="392" t="s">
        <v>1060</v>
      </c>
      <c r="C69" s="785">
        <v>378660</v>
      </c>
      <c r="D69" s="785">
        <v>399700</v>
      </c>
      <c r="E69" s="786">
        <f>GenDetail!D21</f>
        <v>454400</v>
      </c>
    </row>
    <row r="70" spans="2:5" x14ac:dyDescent="0.2">
      <c r="B70" s="392" t="s">
        <v>1061</v>
      </c>
      <c r="C70" s="785">
        <v>187369</v>
      </c>
      <c r="D70" s="785">
        <v>219077</v>
      </c>
      <c r="E70" s="786">
        <f>GenDetail!D28</f>
        <v>235077</v>
      </c>
    </row>
    <row r="71" spans="2:5" x14ac:dyDescent="0.2">
      <c r="B71" s="392" t="s">
        <v>1062</v>
      </c>
      <c r="C71" s="785">
        <v>316484</v>
      </c>
      <c r="D71" s="785">
        <v>311300</v>
      </c>
      <c r="E71" s="786">
        <v>335300</v>
      </c>
    </row>
    <row r="72" spans="2:5" x14ac:dyDescent="0.2">
      <c r="B72" s="392" t="s">
        <v>1063</v>
      </c>
      <c r="C72" s="785">
        <v>19815</v>
      </c>
      <c r="D72" s="785">
        <v>21650</v>
      </c>
      <c r="E72" s="786">
        <v>21450</v>
      </c>
    </row>
    <row r="73" spans="2:5" x14ac:dyDescent="0.2">
      <c r="B73" s="392" t="s">
        <v>1050</v>
      </c>
      <c r="C73" s="785">
        <v>18210</v>
      </c>
      <c r="D73" s="785">
        <v>22000</v>
      </c>
      <c r="E73" s="786">
        <f>GenDetail!D48</f>
        <v>20300</v>
      </c>
    </row>
    <row r="74" spans="2:5" x14ac:dyDescent="0.2">
      <c r="B74" s="392" t="s">
        <v>1064</v>
      </c>
      <c r="C74" s="785">
        <v>65961</v>
      </c>
      <c r="D74" s="785">
        <v>71800</v>
      </c>
      <c r="E74" s="786">
        <f>GenDetail!D55</f>
        <v>92800</v>
      </c>
    </row>
    <row r="75" spans="2:5" x14ac:dyDescent="0.2">
      <c r="B75" s="392" t="s">
        <v>1065</v>
      </c>
      <c r="C75" s="785">
        <v>58219</v>
      </c>
      <c r="D75" s="785">
        <v>70150</v>
      </c>
      <c r="E75" s="786">
        <f>GenDetail!D62</f>
        <v>75700</v>
      </c>
    </row>
    <row r="76" spans="2:5" x14ac:dyDescent="0.2">
      <c r="B76" s="392" t="s">
        <v>1066</v>
      </c>
      <c r="C76" s="785">
        <v>70438</v>
      </c>
      <c r="D76" s="785">
        <v>65000</v>
      </c>
      <c r="E76" s="786">
        <f>GenDetail!D79</f>
        <v>66900</v>
      </c>
    </row>
    <row r="77" spans="2:5" x14ac:dyDescent="0.2">
      <c r="B77" s="392" t="s">
        <v>1067</v>
      </c>
      <c r="C77" s="785">
        <v>122469</v>
      </c>
      <c r="D77" s="785">
        <v>150195</v>
      </c>
      <c r="E77" s="786">
        <v>160875</v>
      </c>
    </row>
    <row r="78" spans="2:5" x14ac:dyDescent="0.2">
      <c r="B78" s="392" t="s">
        <v>1068</v>
      </c>
      <c r="C78" s="785">
        <v>171590</v>
      </c>
      <c r="D78" s="785">
        <v>175829</v>
      </c>
      <c r="E78" s="786">
        <v>167065</v>
      </c>
    </row>
    <row r="79" spans="2:5" x14ac:dyDescent="0.2">
      <c r="B79" s="392">
        <f>GenDetail!A94</f>
        <v>0</v>
      </c>
      <c r="C79" s="785">
        <f>GenDetail!B99</f>
        <v>0</v>
      </c>
      <c r="D79" s="785">
        <f>GenDetail!C99</f>
        <v>0</v>
      </c>
      <c r="E79" s="786">
        <f>GenDetail!D99</f>
        <v>0</v>
      </c>
    </row>
    <row r="80" spans="2:5" x14ac:dyDescent="0.2">
      <c r="B80" s="392">
        <f>GenDetail!A100</f>
        <v>0</v>
      </c>
      <c r="C80" s="785">
        <f>GenDetail!B106</f>
        <v>0</v>
      </c>
      <c r="D80" s="785">
        <f>GenDetail!C106</f>
        <v>0</v>
      </c>
      <c r="E80" s="786">
        <f>GenDetail!D106</f>
        <v>0</v>
      </c>
    </row>
    <row r="81" spans="2:5" x14ac:dyDescent="0.2">
      <c r="B81" s="392">
        <f>GenDetail!A107</f>
        <v>0</v>
      </c>
      <c r="C81" s="785">
        <f>GenDetail!B113</f>
        <v>0</v>
      </c>
      <c r="D81" s="785">
        <f>GenDetail!C113</f>
        <v>0</v>
      </c>
      <c r="E81" s="786">
        <f>GenDetail!D113</f>
        <v>0</v>
      </c>
    </row>
    <row r="82" spans="2:5" x14ac:dyDescent="0.2">
      <c r="B82" s="392">
        <f>GenDetail!A114</f>
        <v>0</v>
      </c>
      <c r="C82" s="785">
        <f>GenDetail!B120</f>
        <v>0</v>
      </c>
      <c r="D82" s="785">
        <f>GenDetail!C120</f>
        <v>0</v>
      </c>
      <c r="E82" s="786">
        <f>GenDetail!D120</f>
        <v>0</v>
      </c>
    </row>
    <row r="83" spans="2:5" x14ac:dyDescent="0.2">
      <c r="B83" s="392">
        <f>GenDetail!A121</f>
        <v>0</v>
      </c>
      <c r="C83" s="785">
        <f>GenDetail!B127</f>
        <v>0</v>
      </c>
      <c r="D83" s="785">
        <f>GenDetail!C127</f>
        <v>0</v>
      </c>
      <c r="E83" s="786">
        <f>GenDetail!D127</f>
        <v>0</v>
      </c>
    </row>
    <row r="84" spans="2:5" x14ac:dyDescent="0.2">
      <c r="B84" s="393" t="s">
        <v>694</v>
      </c>
      <c r="C84" s="787">
        <f>SUM(C68:C83)</f>
        <v>1482802</v>
      </c>
      <c r="D84" s="787">
        <f>SUM(D68:D83)</f>
        <v>1601401</v>
      </c>
      <c r="E84" s="788">
        <f>SUM(E68:E83)</f>
        <v>1717047</v>
      </c>
    </row>
    <row r="85" spans="2:5" x14ac:dyDescent="0.2">
      <c r="B85" s="367"/>
      <c r="C85" s="446"/>
      <c r="D85" s="446"/>
      <c r="E85" s="108"/>
    </row>
    <row r="86" spans="2:5" x14ac:dyDescent="0.2">
      <c r="B86" s="367"/>
      <c r="C86" s="446"/>
      <c r="D86" s="446"/>
      <c r="E86" s="108"/>
    </row>
    <row r="87" spans="2:5" x14ac:dyDescent="0.2">
      <c r="B87" s="367"/>
      <c r="C87" s="446"/>
      <c r="D87" s="446"/>
      <c r="E87" s="108"/>
    </row>
    <row r="88" spans="2:5" x14ac:dyDescent="0.2">
      <c r="B88" s="367"/>
      <c r="C88" s="446"/>
      <c r="D88" s="446"/>
      <c r="E88" s="108"/>
    </row>
    <row r="89" spans="2:5" x14ac:dyDescent="0.2">
      <c r="B89" s="367"/>
      <c r="C89" s="446"/>
      <c r="D89" s="446"/>
      <c r="E89" s="108"/>
    </row>
    <row r="90" spans="2:5" x14ac:dyDescent="0.2">
      <c r="B90" s="367"/>
      <c r="C90" s="446"/>
      <c r="D90" s="446"/>
      <c r="E90" s="108"/>
    </row>
    <row r="91" spans="2:5" x14ac:dyDescent="0.2">
      <c r="B91" s="353"/>
      <c r="C91" s="446"/>
      <c r="D91" s="446"/>
      <c r="E91" s="108"/>
    </row>
    <row r="92" spans="2:5" x14ac:dyDescent="0.2">
      <c r="B92" s="353"/>
      <c r="C92" s="446"/>
      <c r="D92" s="446"/>
      <c r="E92" s="108"/>
    </row>
    <row r="93" spans="2:5" x14ac:dyDescent="0.2">
      <c r="B93" s="353"/>
      <c r="C93" s="446"/>
      <c r="D93" s="446"/>
      <c r="E93" s="108"/>
    </row>
    <row r="94" spans="2:5" x14ac:dyDescent="0.2">
      <c r="B94" s="353"/>
      <c r="C94" s="446"/>
      <c r="D94" s="446"/>
      <c r="E94" s="108"/>
    </row>
    <row r="95" spans="2:5" x14ac:dyDescent="0.2">
      <c r="B95" s="353"/>
      <c r="C95" s="446"/>
      <c r="D95" s="446"/>
      <c r="E95" s="108"/>
    </row>
    <row r="96" spans="2:5" x14ac:dyDescent="0.2">
      <c r="B96" s="353"/>
      <c r="C96" s="446"/>
      <c r="D96" s="446"/>
      <c r="E96" s="108"/>
    </row>
    <row r="97" spans="2:11" x14ac:dyDescent="0.2">
      <c r="B97" s="353"/>
      <c r="C97" s="446"/>
      <c r="D97" s="446"/>
      <c r="E97" s="108"/>
    </row>
    <row r="98" spans="2:11" x14ac:dyDescent="0.2">
      <c r="B98" s="353"/>
      <c r="C98" s="446"/>
      <c r="D98" s="446"/>
      <c r="E98" s="108"/>
    </row>
    <row r="99" spans="2:11" x14ac:dyDescent="0.2">
      <c r="B99" s="353"/>
      <c r="C99" s="446"/>
      <c r="D99" s="446"/>
      <c r="E99" s="108"/>
    </row>
    <row r="100" spans="2:11" x14ac:dyDescent="0.2">
      <c r="B100" s="353"/>
      <c r="C100" s="446"/>
      <c r="D100" s="446"/>
      <c r="E100" s="108"/>
    </row>
    <row r="101" spans="2:11" x14ac:dyDescent="0.2">
      <c r="B101" s="353"/>
      <c r="C101" s="446"/>
      <c r="D101" s="446"/>
      <c r="E101" s="108"/>
      <c r="G101" s="917" t="str">
        <f>CONCATENATE("Desired Carryover Into ",E1+1,"")</f>
        <v>Desired Carryover Into 2014</v>
      </c>
      <c r="H101" s="918"/>
      <c r="I101" s="918"/>
      <c r="J101" s="919"/>
    </row>
    <row r="102" spans="2:11" x14ac:dyDescent="0.2">
      <c r="B102" s="353"/>
      <c r="C102" s="446"/>
      <c r="D102" s="446"/>
      <c r="E102" s="108"/>
      <c r="G102" s="702"/>
      <c r="H102" s="703"/>
      <c r="I102" s="703"/>
      <c r="J102" s="704"/>
    </row>
    <row r="103" spans="2:11" x14ac:dyDescent="0.2">
      <c r="B103" s="353"/>
      <c r="C103" s="446"/>
      <c r="D103" s="446"/>
      <c r="E103" s="108"/>
      <c r="G103" s="705" t="s">
        <v>700</v>
      </c>
      <c r="H103" s="706"/>
      <c r="I103" s="706"/>
      <c r="J103" s="707">
        <v>0</v>
      </c>
    </row>
    <row r="104" spans="2:11" x14ac:dyDescent="0.2">
      <c r="B104" s="353"/>
      <c r="C104" s="446"/>
      <c r="D104" s="446"/>
      <c r="E104" s="108"/>
      <c r="G104" s="708" t="s">
        <v>701</v>
      </c>
      <c r="H104" s="709"/>
      <c r="I104" s="710"/>
      <c r="J104" s="711" t="str">
        <f>IF(J103=0,"",ROUND((J103+E118-G116)/inputOth!B14*1000,3)-G121)</f>
        <v/>
      </c>
    </row>
    <row r="105" spans="2:11" x14ac:dyDescent="0.2">
      <c r="B105" s="353"/>
      <c r="C105" s="446"/>
      <c r="D105" s="446"/>
      <c r="E105" s="108"/>
      <c r="G105" s="712" t="str">
        <f>CONCATENATE("",E1," Tot Exp/Non-Appr Must Be:")</f>
        <v>2013 Tot Exp/Non-Appr Must Be:</v>
      </c>
      <c r="H105" s="713"/>
      <c r="I105" s="714"/>
      <c r="J105" s="715">
        <f>IF(J103&gt;0,IF(E115&lt;E57,IF(J103=G116,E115,((J103-G116)*(1-D117))+E57),E115+(J103-G116)),0)</f>
        <v>0</v>
      </c>
    </row>
    <row r="106" spans="2:11" x14ac:dyDescent="0.2">
      <c r="B106" s="353"/>
      <c r="C106" s="446"/>
      <c r="D106" s="446"/>
      <c r="E106" s="108"/>
      <c r="G106" s="716" t="s">
        <v>919</v>
      </c>
      <c r="H106" s="717"/>
      <c r="I106" s="717"/>
      <c r="J106" s="718">
        <f>IF(J103&gt;0,J105-E115,0)</f>
        <v>0</v>
      </c>
    </row>
    <row r="107" spans="2:11" x14ac:dyDescent="0.2">
      <c r="B107" s="353"/>
      <c r="C107" s="446"/>
      <c r="D107" s="446"/>
      <c r="E107" s="108"/>
    </row>
    <row r="108" spans="2:11" x14ac:dyDescent="0.2">
      <c r="B108" s="357" t="s">
        <v>197</v>
      </c>
      <c r="C108" s="446"/>
      <c r="D108" s="446"/>
      <c r="E108" s="113" t="str">
        <f>nhood!E6</f>
        <v/>
      </c>
      <c r="G108" s="917" t="str">
        <f>CONCATENATE("Projected Carryover Into ",E1+1,"")</f>
        <v>Projected Carryover Into 2014</v>
      </c>
      <c r="H108" s="920"/>
      <c r="I108" s="920"/>
      <c r="J108" s="921"/>
    </row>
    <row r="109" spans="2:11" x14ac:dyDescent="0.2">
      <c r="B109" s="357" t="s">
        <v>198</v>
      </c>
      <c r="C109" s="446"/>
      <c r="D109" s="446"/>
      <c r="E109" s="354"/>
      <c r="G109" s="702"/>
      <c r="H109" s="703"/>
      <c r="I109" s="703"/>
      <c r="J109" s="704"/>
    </row>
    <row r="110" spans="2:11" x14ac:dyDescent="0.2">
      <c r="B110" s="357" t="s">
        <v>692</v>
      </c>
      <c r="C110" s="447" t="str">
        <f>IF(C111*0.1&lt;C109,"Exceed 10% Rule","")</f>
        <v/>
      </c>
      <c r="D110" s="447" t="str">
        <f>IF(D111*0.1&lt;D109,"Exceed 10% Rule","")</f>
        <v/>
      </c>
      <c r="E110" s="384" t="str">
        <f>IF(E111*0.1&lt;E109,"Exceed 10% Rule","")</f>
        <v/>
      </c>
      <c r="G110" s="719">
        <f>D112</f>
        <v>319871</v>
      </c>
      <c r="H110" s="720" t="str">
        <f>CONCATENATE("",E1-1," Ending Cash Balance (est.)")</f>
        <v>2012 Ending Cash Balance (est.)</v>
      </c>
      <c r="I110" s="721"/>
      <c r="J110" s="704"/>
    </row>
    <row r="111" spans="2:11" x14ac:dyDescent="0.2">
      <c r="B111" s="359" t="s">
        <v>316</v>
      </c>
      <c r="C111" s="450">
        <f>SUM(C84:C109)</f>
        <v>1482802</v>
      </c>
      <c r="D111" s="450">
        <f>SUM(D84:D109)</f>
        <v>1601401</v>
      </c>
      <c r="E111" s="361">
        <f>SUM(E84:E109)</f>
        <v>1717047</v>
      </c>
      <c r="G111" s="719">
        <f>E56</f>
        <v>1152481</v>
      </c>
      <c r="H111" s="706" t="str">
        <f>CONCATENATE("",E1," Non-AV Receipts (est.)")</f>
        <v>2013 Non-AV Receipts (est.)</v>
      </c>
      <c r="I111" s="721"/>
      <c r="J111" s="704"/>
    </row>
    <row r="112" spans="2:11" x14ac:dyDescent="0.2">
      <c r="B112" s="169" t="s">
        <v>61</v>
      </c>
      <c r="C112" s="448">
        <f>C57-C111</f>
        <v>394309</v>
      </c>
      <c r="D112" s="448">
        <f>D57-D111</f>
        <v>319871</v>
      </c>
      <c r="E112" s="389" t="s">
        <v>290</v>
      </c>
      <c r="G112" s="722">
        <f>IF(E117&gt;0,E116,E118)</f>
        <v>244695</v>
      </c>
      <c r="H112" s="706" t="str">
        <f>CONCATENATE("",E1," Ad Valorem Tax (est.)")</f>
        <v>2013 Ad Valorem Tax (est.)</v>
      </c>
      <c r="I112" s="721"/>
      <c r="J112" s="704"/>
      <c r="K112" s="723" t="str">
        <f>IF(G112=E118,"","Note: Does not include Delinquent Taxes")</f>
        <v/>
      </c>
    </row>
    <row r="113" spans="2:10" x14ac:dyDescent="0.2">
      <c r="B113" s="199" t="str">
        <f>CONCATENATE("",E1-2,"/",E1-1," Budget Authority Amount:")</f>
        <v>2011/2012 Budget Authority Amount:</v>
      </c>
      <c r="C113" s="307">
        <f>inputOth!B81</f>
        <v>1616533</v>
      </c>
      <c r="D113" s="307">
        <f>inputPrYr!D22</f>
        <v>1742401</v>
      </c>
      <c r="E113" s="389" t="s">
        <v>290</v>
      </c>
      <c r="F113" s="373"/>
      <c r="G113" s="719">
        <f>SUM(G110:G112)</f>
        <v>1717047</v>
      </c>
      <c r="H113" s="706" t="str">
        <f>CONCATENATE("Total ",E1," Resources Available")</f>
        <v>Total 2013 Resources Available</v>
      </c>
      <c r="I113" s="721"/>
      <c r="J113" s="704"/>
    </row>
    <row r="114" spans="2:10" x14ac:dyDescent="0.2">
      <c r="B114" s="199"/>
      <c r="C114" s="913" t="s">
        <v>697</v>
      </c>
      <c r="D114" s="914"/>
      <c r="E114" s="354"/>
      <c r="F114" s="724" t="str">
        <f>IF((E111/0.95)-E111&lt;E114,"Exceeds 5% ","")</f>
        <v/>
      </c>
      <c r="G114" s="725"/>
      <c r="H114" s="706"/>
      <c r="I114" s="706"/>
      <c r="J114" s="704"/>
    </row>
    <row r="115" spans="2:10" x14ac:dyDescent="0.2">
      <c r="B115" s="558" t="str">
        <f>CONCATENATE(C130,"     ",D130)</f>
        <v xml:space="preserve">     </v>
      </c>
      <c r="C115" s="915" t="s">
        <v>698</v>
      </c>
      <c r="D115" s="916"/>
      <c r="E115" s="126">
        <f>E111+E114</f>
        <v>1717047</v>
      </c>
      <c r="G115" s="722">
        <f>ROUND(C111*0.05+C111,0)</f>
        <v>1556942</v>
      </c>
      <c r="H115" s="706" t="str">
        <f>CONCATENATE("Less ",E1-2," Expenditures + 5%")</f>
        <v>Less 2011 Expenditures + 5%</v>
      </c>
      <c r="I115" s="721"/>
      <c r="J115" s="704"/>
    </row>
    <row r="116" spans="2:10" x14ac:dyDescent="0.2">
      <c r="B116" s="558" t="str">
        <f>CONCATENATE(C131,"     ",D131)</f>
        <v xml:space="preserve">     </v>
      </c>
      <c r="C116" s="363"/>
      <c r="D116" s="230" t="s">
        <v>317</v>
      </c>
      <c r="E116" s="113">
        <f>IF(E115-E57&gt;0,E115-E57,0)</f>
        <v>244695</v>
      </c>
      <c r="G116" s="726">
        <f>G113-G115</f>
        <v>160105</v>
      </c>
      <c r="H116" s="727" t="str">
        <f>CONCATENATE("Projected ",E1+1," Carryover (est.)")</f>
        <v>Projected 2014 Carryover (est.)</v>
      </c>
      <c r="I116" s="728"/>
      <c r="J116" s="729"/>
    </row>
    <row r="117" spans="2:10" x14ac:dyDescent="0.2">
      <c r="B117" s="230"/>
      <c r="C117" s="508" t="s">
        <v>699</v>
      </c>
      <c r="D117" s="789">
        <f>inputOth!E66</f>
        <v>0</v>
      </c>
      <c r="E117" s="126">
        <f>ROUND(IF(D117&gt;0,(E116*D117),0),0)</f>
        <v>0</v>
      </c>
    </row>
    <row r="118" spans="2:10" ht="16.5" thickBot="1" x14ac:dyDescent="0.25">
      <c r="B118" s="86"/>
      <c r="C118" s="911" t="str">
        <f>CONCATENATE("Amount of  ",$E$1-1," Ad Valorem Tax")</f>
        <v>Amount of  2012 Ad Valorem Tax</v>
      </c>
      <c r="D118" s="912"/>
      <c r="E118" s="640">
        <f>E116+E117</f>
        <v>244695</v>
      </c>
      <c r="G118" s="922" t="s">
        <v>920</v>
      </c>
      <c r="H118" s="923"/>
      <c r="I118" s="923"/>
      <c r="J118" s="924"/>
    </row>
    <row r="119" spans="2:10" ht="16.5" thickTop="1" x14ac:dyDescent="0.2">
      <c r="B119" s="86"/>
      <c r="C119" s="86"/>
      <c r="D119" s="86"/>
      <c r="E119" s="86"/>
      <c r="G119" s="730"/>
      <c r="H119" s="731"/>
      <c r="I119" s="732"/>
      <c r="J119" s="733"/>
    </row>
    <row r="120" spans="2:10" x14ac:dyDescent="0.2">
      <c r="B120" s="175"/>
      <c r="C120" s="199" t="s">
        <v>319</v>
      </c>
      <c r="D120" s="234" t="str">
        <f>CONCATENATE("",D59,"a")</f>
        <v>8a</v>
      </c>
      <c r="E120" s="175"/>
      <c r="G120" s="734">
        <f>summ!H15</f>
        <v>22.952000000000002</v>
      </c>
      <c r="H120" s="731" t="str">
        <f>CONCATENATE("",E1," Fund Mill Rate")</f>
        <v>2013 Fund Mill Rate</v>
      </c>
      <c r="I120" s="732"/>
      <c r="J120" s="733"/>
    </row>
    <row r="121" spans="2:10" x14ac:dyDescent="0.2">
      <c r="G121" s="735">
        <f>summ!E15</f>
        <v>29.513000000000002</v>
      </c>
      <c r="H121" s="731" t="str">
        <f>CONCATENATE("",E1-1," Fund Mill Rate")</f>
        <v>2012 Fund Mill Rate</v>
      </c>
      <c r="I121" s="732"/>
      <c r="J121" s="733"/>
    </row>
    <row r="122" spans="2:10" x14ac:dyDescent="0.2">
      <c r="B122" s="146"/>
      <c r="G122" s="736">
        <f>summ!H52</f>
        <v>66.711000000000013</v>
      </c>
      <c r="H122" s="731" t="str">
        <f>CONCATENATE("Total ",E1," Mill Rate")</f>
        <v>Total 2013 Mill Rate</v>
      </c>
      <c r="I122" s="732"/>
      <c r="J122" s="733"/>
    </row>
    <row r="123" spans="2:10" x14ac:dyDescent="0.2">
      <c r="G123" s="735">
        <f>summ!E52</f>
        <v>66.711000000000013</v>
      </c>
      <c r="H123" s="737" t="str">
        <f>CONCATENATE("Total ",E1-1," Mill Rate")</f>
        <v>Total 2012 Mill Rate</v>
      </c>
      <c r="I123" s="738"/>
      <c r="J123" s="739"/>
    </row>
    <row r="124" spans="2:10" x14ac:dyDescent="0.2">
      <c r="G124" s="740"/>
      <c r="H124" s="741"/>
      <c r="I124" s="741"/>
      <c r="J124" s="742"/>
    </row>
    <row r="125" spans="2:10" x14ac:dyDescent="0.2">
      <c r="B125" s="69"/>
      <c r="C125" s="69"/>
      <c r="G125" s="741"/>
      <c r="H125" s="535"/>
      <c r="I125" s="535"/>
      <c r="J125" s="743" t="str">
        <f>IF(J124=0,"",ROUND((J124+E118-G118)/inputOth!B14*1000,3)-general!G120)</f>
        <v/>
      </c>
    </row>
    <row r="126" spans="2:10" x14ac:dyDescent="0.2">
      <c r="G126" s="744"/>
      <c r="H126" s="535"/>
      <c r="I126" s="741"/>
      <c r="J126" s="745"/>
    </row>
    <row r="130" spans="3:4" x14ac:dyDescent="0.2">
      <c r="C130" s="82" t="str">
        <f>IF(C111&gt;C113,"See Tab A","")</f>
        <v/>
      </c>
      <c r="D130" s="82" t="str">
        <f>IF(D111&gt;D113,"See Tab C","")</f>
        <v/>
      </c>
    </row>
    <row r="131" spans="3:4" x14ac:dyDescent="0.2">
      <c r="C131" s="82" t="str">
        <f>IF(C112&lt;0,"See Tab B","")</f>
        <v/>
      </c>
      <c r="D131" s="82" t="str">
        <f>IF(D112&lt;0,"See Tab D","")</f>
        <v/>
      </c>
    </row>
  </sheetData>
  <sheetProtection sheet="1"/>
  <mergeCells count="6">
    <mergeCell ref="C118:D118"/>
    <mergeCell ref="C114:D114"/>
    <mergeCell ref="C115:D115"/>
    <mergeCell ref="G101:J101"/>
    <mergeCell ref="G108:J108"/>
    <mergeCell ref="G118:J118"/>
  </mergeCells>
  <phoneticPr fontId="0" type="noConversion"/>
  <conditionalFormatting sqref="E109">
    <cfRule type="cellIs" dxfId="325" priority="2" stopIfTrue="1" operator="greaterThan">
      <formula>$E$111*0.1</formula>
    </cfRule>
  </conditionalFormatting>
  <conditionalFormatting sqref="E114">
    <cfRule type="cellIs" dxfId="324" priority="3" stopIfTrue="1" operator="greaterThan">
      <formula>$E$111/0.95-$E$111</formula>
    </cfRule>
  </conditionalFormatting>
  <conditionalFormatting sqref="C111">
    <cfRule type="cellIs" dxfId="323" priority="4" stopIfTrue="1" operator="greaterThan">
      <formula>$C$113</formula>
    </cfRule>
  </conditionalFormatting>
  <conditionalFormatting sqref="C54">
    <cfRule type="cellIs" dxfId="322" priority="5" stopIfTrue="1" operator="greaterThan">
      <formula>$C$56*0.1</formula>
    </cfRule>
  </conditionalFormatting>
  <conditionalFormatting sqref="D54">
    <cfRule type="cellIs" dxfId="321" priority="6" stopIfTrue="1" operator="greaterThan">
      <formula>$D$56*0.1</formula>
    </cfRule>
  </conditionalFormatting>
  <conditionalFormatting sqref="C109">
    <cfRule type="cellIs" dxfId="320" priority="7" stopIfTrue="1" operator="greaterThan">
      <formula>$C$111*0.1</formula>
    </cfRule>
  </conditionalFormatting>
  <conditionalFormatting sqref="D109">
    <cfRule type="cellIs" dxfId="319" priority="8" stopIfTrue="1" operator="greaterThan">
      <formula>$D$111*0.1</formula>
    </cfRule>
  </conditionalFormatting>
  <conditionalFormatting sqref="D111">
    <cfRule type="cellIs" dxfId="318" priority="9" stopIfTrue="1" operator="greaterThan">
      <formula>$D$113</formula>
    </cfRule>
  </conditionalFormatting>
  <conditionalFormatting sqref="C112">
    <cfRule type="cellIs" dxfId="317" priority="10" stopIfTrue="1" operator="lessThan">
      <formula>0</formula>
    </cfRule>
  </conditionalFormatting>
  <conditionalFormatting sqref="D112">
    <cfRule type="cellIs" dxfId="316" priority="1" stopIfTrue="1" operator="lessThan">
      <formula>0</formula>
    </cfRule>
  </conditionalFormatting>
  <conditionalFormatting sqref="E54">
    <cfRule type="cellIs" dxfId="315" priority="14" stopIfTrue="1" operator="greaterThan">
      <formula>$E$56*0.1+$E$118</formula>
    </cfRule>
  </conditionalFormatting>
  <pageMargins left="0.5" right="0.5" top="1" bottom="0.5" header="0.5" footer="0.5"/>
  <pageSetup scale="73" fitToHeight="2" orientation="portrait" blackAndWhite="1" horizontalDpi="120" verticalDpi="144" r:id="rId1"/>
  <headerFooter alignWithMargins="0">
    <oddHeader>&amp;RState of KansasCity</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zoomScaleNormal="100" workbookViewId="0">
      <selection activeCell="D62" sqref="D62"/>
    </sheetView>
  </sheetViews>
  <sheetFormatPr defaultRowHeight="15.75" x14ac:dyDescent="0.2"/>
  <cols>
    <col min="1" max="1" width="28.33203125" style="69" customWidth="1"/>
    <col min="2" max="3" width="15.77734375" style="69" customWidth="1"/>
    <col min="4" max="4" width="16.109375" style="69" customWidth="1"/>
    <col min="5" max="16384" width="8.88671875" style="69"/>
  </cols>
  <sheetData>
    <row r="1" spans="1:4" x14ac:dyDescent="0.2">
      <c r="A1" s="256" t="str">
        <f>inputPrYr!D3</f>
        <v>City of Herington</v>
      </c>
      <c r="B1" s="86"/>
      <c r="C1" s="234"/>
      <c r="D1" s="86">
        <f>inputPrYr!C10</f>
        <v>2013</v>
      </c>
    </row>
    <row r="2" spans="1:4" x14ac:dyDescent="0.2">
      <c r="A2" s="347"/>
      <c r="B2" s="394"/>
      <c r="C2" s="394"/>
      <c r="D2" s="394"/>
    </row>
    <row r="3" spans="1:4" x14ac:dyDescent="0.2">
      <c r="A3" s="234" t="s">
        <v>301</v>
      </c>
      <c r="B3" s="633" t="s">
        <v>833</v>
      </c>
      <c r="C3" s="634" t="s">
        <v>834</v>
      </c>
      <c r="D3" s="206" t="s">
        <v>835</v>
      </c>
    </row>
    <row r="4" spans="1:4" x14ac:dyDescent="0.2">
      <c r="A4" s="101" t="s">
        <v>236</v>
      </c>
      <c r="B4" s="454" t="str">
        <f>CONCATENATE("Actual for ",D1-2,"")</f>
        <v>Actual for 2011</v>
      </c>
      <c r="C4" s="454" t="str">
        <f>CONCATENATE("Estimate for ",D1-1,"")</f>
        <v>Estimate for 2012</v>
      </c>
      <c r="D4" s="272" t="str">
        <f>CONCATENATE("Year for ",D1,"")</f>
        <v>Year for 2013</v>
      </c>
    </row>
    <row r="5" spans="1:4" x14ac:dyDescent="0.2">
      <c r="A5" s="395" t="s">
        <v>312</v>
      </c>
      <c r="B5" s="126"/>
      <c r="C5" s="126"/>
      <c r="D5" s="126"/>
    </row>
    <row r="6" spans="1:4" x14ac:dyDescent="0.2">
      <c r="A6" s="396" t="s">
        <v>1059</v>
      </c>
      <c r="B6" s="126"/>
      <c r="C6" s="126"/>
      <c r="D6" s="126"/>
    </row>
    <row r="7" spans="1:4" x14ac:dyDescent="0.2">
      <c r="A7" s="397" t="s">
        <v>320</v>
      </c>
      <c r="B7" s="354">
        <v>19170</v>
      </c>
      <c r="C7" s="354">
        <v>19400</v>
      </c>
      <c r="D7" s="354">
        <v>18720</v>
      </c>
    </row>
    <row r="8" spans="1:4" x14ac:dyDescent="0.2">
      <c r="A8" s="397" t="s">
        <v>313</v>
      </c>
      <c r="B8" s="354">
        <v>39253</v>
      </c>
      <c r="C8" s="354">
        <v>50000</v>
      </c>
      <c r="D8" s="354">
        <v>55460</v>
      </c>
    </row>
    <row r="9" spans="1:4" x14ac:dyDescent="0.2">
      <c r="A9" s="397" t="s">
        <v>314</v>
      </c>
      <c r="B9" s="354">
        <v>9701</v>
      </c>
      <c r="C9" s="354">
        <v>11300</v>
      </c>
      <c r="D9" s="354">
        <v>8000</v>
      </c>
    </row>
    <row r="10" spans="1:4" x14ac:dyDescent="0.2">
      <c r="A10" s="397" t="s">
        <v>315</v>
      </c>
      <c r="B10" s="354">
        <v>5000</v>
      </c>
      <c r="C10" s="354">
        <v>14000</v>
      </c>
      <c r="D10" s="354">
        <v>5000</v>
      </c>
    </row>
    <row r="11" spans="1:4" x14ac:dyDescent="0.2">
      <c r="A11" s="397" t="s">
        <v>1069</v>
      </c>
      <c r="B11" s="354">
        <v>463</v>
      </c>
      <c r="C11" s="354"/>
      <c r="D11" s="354"/>
    </row>
    <row r="12" spans="1:4" x14ac:dyDescent="0.2">
      <c r="A12" s="110"/>
      <c r="B12" s="354"/>
      <c r="C12" s="354"/>
      <c r="D12" s="354"/>
    </row>
    <row r="13" spans="1:4" x14ac:dyDescent="0.2">
      <c r="A13" s="110"/>
      <c r="B13" s="354"/>
      <c r="C13" s="354"/>
      <c r="D13" s="354"/>
    </row>
    <row r="14" spans="1:4" x14ac:dyDescent="0.2">
      <c r="A14" s="395" t="s">
        <v>277</v>
      </c>
      <c r="B14" s="360">
        <f>SUM(B7:B13)</f>
        <v>73587</v>
      </c>
      <c r="C14" s="360">
        <f>SUM(C7:C13)</f>
        <v>94700</v>
      </c>
      <c r="D14" s="360">
        <f>SUM(D7:D13)</f>
        <v>87180</v>
      </c>
    </row>
    <row r="15" spans="1:4" x14ac:dyDescent="0.2">
      <c r="A15" s="301" t="s">
        <v>1060</v>
      </c>
      <c r="B15" s="256"/>
      <c r="C15" s="256"/>
      <c r="D15" s="256"/>
    </row>
    <row r="16" spans="1:4" x14ac:dyDescent="0.2">
      <c r="A16" s="397" t="s">
        <v>320</v>
      </c>
      <c r="B16" s="354">
        <v>266154</v>
      </c>
      <c r="C16" s="354">
        <v>271000</v>
      </c>
      <c r="D16" s="354">
        <v>292000</v>
      </c>
    </row>
    <row r="17" spans="1:4" x14ac:dyDescent="0.2">
      <c r="A17" s="397" t="s">
        <v>313</v>
      </c>
      <c r="B17" s="354">
        <v>30054</v>
      </c>
      <c r="C17" s="354">
        <v>38500</v>
      </c>
      <c r="D17" s="354">
        <v>39600</v>
      </c>
    </row>
    <row r="18" spans="1:4" x14ac:dyDescent="0.2">
      <c r="A18" s="397" t="s">
        <v>314</v>
      </c>
      <c r="B18" s="354">
        <v>57992</v>
      </c>
      <c r="C18" s="354">
        <v>58200</v>
      </c>
      <c r="D18" s="354">
        <v>64300</v>
      </c>
    </row>
    <row r="19" spans="1:4" x14ac:dyDescent="0.2">
      <c r="A19" s="397" t="s">
        <v>315</v>
      </c>
      <c r="B19" s="354">
        <v>24087</v>
      </c>
      <c r="C19" s="354">
        <v>32000</v>
      </c>
      <c r="D19" s="354">
        <v>58500</v>
      </c>
    </row>
    <row r="20" spans="1:4" x14ac:dyDescent="0.2">
      <c r="A20" s="397" t="s">
        <v>1069</v>
      </c>
      <c r="B20" s="354">
        <v>373</v>
      </c>
      <c r="C20" s="354"/>
      <c r="D20" s="354"/>
    </row>
    <row r="21" spans="1:4" x14ac:dyDescent="0.2">
      <c r="A21" s="395" t="s">
        <v>277</v>
      </c>
      <c r="B21" s="360">
        <f>SUM(B16:B20)</f>
        <v>378660</v>
      </c>
      <c r="C21" s="360">
        <f>SUM(C16:C20)</f>
        <v>399700</v>
      </c>
      <c r="D21" s="360">
        <f>SUM(D16:D20)</f>
        <v>454400</v>
      </c>
    </row>
    <row r="22" spans="1:4" x14ac:dyDescent="0.2">
      <c r="A22" s="301" t="s">
        <v>1061</v>
      </c>
      <c r="B22" s="256"/>
      <c r="C22" s="256"/>
      <c r="D22" s="256"/>
    </row>
    <row r="23" spans="1:4" x14ac:dyDescent="0.2">
      <c r="A23" s="397" t="s">
        <v>320</v>
      </c>
      <c r="B23" s="354">
        <v>101894</v>
      </c>
      <c r="C23" s="354">
        <v>114500</v>
      </c>
      <c r="D23" s="354">
        <v>114500</v>
      </c>
    </row>
    <row r="24" spans="1:4" x14ac:dyDescent="0.2">
      <c r="A24" s="397" t="s">
        <v>313</v>
      </c>
      <c r="B24" s="354">
        <v>22735</v>
      </c>
      <c r="C24" s="354">
        <v>25130</v>
      </c>
      <c r="D24" s="354">
        <v>26930</v>
      </c>
    </row>
    <row r="25" spans="1:4" x14ac:dyDescent="0.2">
      <c r="A25" s="397" t="s">
        <v>314</v>
      </c>
      <c r="B25" s="354">
        <v>35092</v>
      </c>
      <c r="C25" s="354">
        <v>34300</v>
      </c>
      <c r="D25" s="354">
        <v>35500</v>
      </c>
    </row>
    <row r="26" spans="1:4" x14ac:dyDescent="0.2">
      <c r="A26" s="397" t="s">
        <v>315</v>
      </c>
      <c r="B26" s="354">
        <v>22647</v>
      </c>
      <c r="C26" s="354">
        <v>35147</v>
      </c>
      <c r="D26" s="354">
        <v>43147</v>
      </c>
    </row>
    <row r="27" spans="1:4" x14ac:dyDescent="0.2">
      <c r="A27" s="397" t="s">
        <v>1121</v>
      </c>
      <c r="B27" s="354">
        <v>5000</v>
      </c>
      <c r="C27" s="354">
        <v>10000</v>
      </c>
      <c r="D27" s="354">
        <v>15000</v>
      </c>
    </row>
    <row r="28" spans="1:4" x14ac:dyDescent="0.2">
      <c r="A28" s="395" t="s">
        <v>277</v>
      </c>
      <c r="B28" s="360">
        <f>SUM(B23:B27)</f>
        <v>187368</v>
      </c>
      <c r="C28" s="360">
        <f>SUM(C23:C27)</f>
        <v>219077</v>
      </c>
      <c r="D28" s="360">
        <f>SUM(D23:D27)</f>
        <v>235077</v>
      </c>
    </row>
    <row r="29" spans="1:4" x14ac:dyDescent="0.2">
      <c r="A29" s="301" t="s">
        <v>1063</v>
      </c>
      <c r="B29" s="256"/>
      <c r="C29" s="256"/>
      <c r="D29" s="256"/>
    </row>
    <row r="30" spans="1:4" x14ac:dyDescent="0.2">
      <c r="A30" s="397" t="s">
        <v>320</v>
      </c>
      <c r="B30" s="354">
        <v>13830</v>
      </c>
      <c r="C30" s="354">
        <v>15000</v>
      </c>
      <c r="D30" s="354">
        <v>15000</v>
      </c>
    </row>
    <row r="31" spans="1:4" x14ac:dyDescent="0.2">
      <c r="A31" s="397" t="s">
        <v>313</v>
      </c>
      <c r="B31" s="354">
        <v>1232</v>
      </c>
      <c r="C31" s="354">
        <v>1600</v>
      </c>
      <c r="D31" s="354">
        <v>1500</v>
      </c>
    </row>
    <row r="32" spans="1:4" x14ac:dyDescent="0.2">
      <c r="A32" s="397" t="s">
        <v>314</v>
      </c>
      <c r="B32" s="354">
        <v>4753</v>
      </c>
      <c r="C32" s="354">
        <v>4050</v>
      </c>
      <c r="D32" s="354">
        <v>3950</v>
      </c>
    </row>
    <row r="33" spans="1:4" x14ac:dyDescent="0.2">
      <c r="A33" s="397" t="s">
        <v>315</v>
      </c>
      <c r="B33" s="354"/>
      <c r="C33" s="354">
        <v>1000</v>
      </c>
      <c r="D33" s="354">
        <v>1000</v>
      </c>
    </row>
    <row r="34" spans="1:4" x14ac:dyDescent="0.2">
      <c r="A34" s="395" t="s">
        <v>277</v>
      </c>
      <c r="B34" s="360">
        <f>SUM(B30:B33)</f>
        <v>19815</v>
      </c>
      <c r="C34" s="360">
        <f>SUM(C30:C33)</f>
        <v>21650</v>
      </c>
      <c r="D34" s="360">
        <f>SUM(D30:D33)</f>
        <v>21450</v>
      </c>
    </row>
    <row r="35" spans="1:4" x14ac:dyDescent="0.2">
      <c r="A35" s="301" t="s">
        <v>1062</v>
      </c>
      <c r="B35" s="256"/>
      <c r="C35" s="256"/>
      <c r="D35" s="256"/>
    </row>
    <row r="36" spans="1:4" x14ac:dyDescent="0.2">
      <c r="A36" s="397" t="s">
        <v>320</v>
      </c>
      <c r="B36" s="354">
        <v>99087</v>
      </c>
      <c r="C36" s="354">
        <v>100000</v>
      </c>
      <c r="D36" s="354">
        <v>125000</v>
      </c>
    </row>
    <row r="37" spans="1:4" x14ac:dyDescent="0.2">
      <c r="A37" s="397" t="s">
        <v>313</v>
      </c>
      <c r="B37" s="354">
        <v>21417</v>
      </c>
      <c r="C37" s="354">
        <v>19100</v>
      </c>
      <c r="D37" s="354">
        <v>18450</v>
      </c>
    </row>
    <row r="38" spans="1:4" x14ac:dyDescent="0.2">
      <c r="A38" s="397" t="s">
        <v>314</v>
      </c>
      <c r="B38" s="354">
        <v>89717</v>
      </c>
      <c r="C38" s="354">
        <v>73200</v>
      </c>
      <c r="D38" s="354">
        <v>75850</v>
      </c>
    </row>
    <row r="39" spans="1:4" x14ac:dyDescent="0.2">
      <c r="A39" s="397" t="s">
        <v>1070</v>
      </c>
      <c r="B39" s="354">
        <v>96263</v>
      </c>
      <c r="C39" s="354">
        <v>109000</v>
      </c>
      <c r="D39" s="354">
        <v>106000</v>
      </c>
    </row>
    <row r="40" spans="1:4" x14ac:dyDescent="0.2">
      <c r="A40" s="397" t="s">
        <v>1071</v>
      </c>
      <c r="B40" s="354">
        <v>10000</v>
      </c>
      <c r="C40" s="354">
        <v>10000</v>
      </c>
      <c r="D40" s="354">
        <v>10000</v>
      </c>
    </row>
    <row r="41" spans="1:4" x14ac:dyDescent="0.2">
      <c r="A41" s="395" t="s">
        <v>277</v>
      </c>
      <c r="B41" s="360">
        <f>SUM(B36:B40)</f>
        <v>316484</v>
      </c>
      <c r="C41" s="360">
        <f>SUM(C36:C40)</f>
        <v>311300</v>
      </c>
      <c r="D41" s="360">
        <f>SUM(D36:D40)</f>
        <v>335300</v>
      </c>
    </row>
    <row r="42" spans="1:4" x14ac:dyDescent="0.2">
      <c r="A42" s="301" t="s">
        <v>1050</v>
      </c>
      <c r="B42" s="256"/>
      <c r="C42" s="256"/>
      <c r="D42" s="256"/>
    </row>
    <row r="43" spans="1:4" x14ac:dyDescent="0.2">
      <c r="A43" s="397" t="s">
        <v>320</v>
      </c>
      <c r="B43" s="354"/>
      <c r="C43" s="354"/>
      <c r="D43" s="354"/>
    </row>
    <row r="44" spans="1:4" x14ac:dyDescent="0.2">
      <c r="A44" s="397" t="s">
        <v>313</v>
      </c>
      <c r="B44" s="354">
        <v>9472</v>
      </c>
      <c r="C44" s="354">
        <v>13000</v>
      </c>
      <c r="D44" s="354">
        <v>14300</v>
      </c>
    </row>
    <row r="45" spans="1:4" x14ac:dyDescent="0.2">
      <c r="A45" s="397" t="s">
        <v>314</v>
      </c>
      <c r="B45" s="354">
        <v>8738</v>
      </c>
      <c r="C45" s="354">
        <v>8000</v>
      </c>
      <c r="D45" s="354">
        <v>5000</v>
      </c>
    </row>
    <row r="46" spans="1:4" x14ac:dyDescent="0.2">
      <c r="A46" s="397" t="s">
        <v>315</v>
      </c>
      <c r="B46" s="354"/>
      <c r="C46" s="354">
        <v>1000</v>
      </c>
      <c r="D46" s="354">
        <v>1000</v>
      </c>
    </row>
    <row r="47" spans="1:4" x14ac:dyDescent="0.2">
      <c r="A47" s="397"/>
      <c r="B47" s="354"/>
      <c r="C47" s="354"/>
      <c r="D47" s="354"/>
    </row>
    <row r="48" spans="1:4" x14ac:dyDescent="0.2">
      <c r="A48" s="395" t="s">
        <v>277</v>
      </c>
      <c r="B48" s="360">
        <f>SUM(B43:B47)</f>
        <v>18210</v>
      </c>
      <c r="C48" s="360">
        <f>SUM(C43:C47)</f>
        <v>22000</v>
      </c>
      <c r="D48" s="360">
        <f>SUM(D43:D47)</f>
        <v>20300</v>
      </c>
    </row>
    <row r="49" spans="1:4" x14ac:dyDescent="0.2">
      <c r="A49" s="301" t="s">
        <v>1064</v>
      </c>
      <c r="B49" s="256"/>
      <c r="C49" s="256"/>
      <c r="D49" s="256"/>
    </row>
    <row r="50" spans="1:4" x14ac:dyDescent="0.2">
      <c r="A50" s="397" t="s">
        <v>320</v>
      </c>
      <c r="B50" s="354">
        <v>49578</v>
      </c>
      <c r="C50" s="354">
        <v>52800</v>
      </c>
      <c r="D50" s="354">
        <v>54500</v>
      </c>
    </row>
    <row r="51" spans="1:4" x14ac:dyDescent="0.2">
      <c r="A51" s="397" t="s">
        <v>313</v>
      </c>
      <c r="B51" s="354">
        <v>5382</v>
      </c>
      <c r="C51" s="354">
        <v>3500</v>
      </c>
      <c r="D51" s="354">
        <v>10300</v>
      </c>
    </row>
    <row r="52" spans="1:4" x14ac:dyDescent="0.2">
      <c r="A52" s="397" t="s">
        <v>314</v>
      </c>
      <c r="B52" s="354">
        <v>1585</v>
      </c>
      <c r="C52" s="354">
        <v>3500</v>
      </c>
      <c r="D52" s="354">
        <v>4500</v>
      </c>
    </row>
    <row r="53" spans="1:4" x14ac:dyDescent="0.2">
      <c r="A53" s="397" t="s">
        <v>315</v>
      </c>
      <c r="B53" s="354">
        <v>311</v>
      </c>
      <c r="C53" s="354">
        <v>1500</v>
      </c>
      <c r="D53" s="354">
        <v>1000</v>
      </c>
    </row>
    <row r="54" spans="1:4" x14ac:dyDescent="0.2">
      <c r="A54" s="397" t="s">
        <v>1072</v>
      </c>
      <c r="B54" s="354">
        <v>9105</v>
      </c>
      <c r="C54" s="354">
        <v>10500</v>
      </c>
      <c r="D54" s="354">
        <v>22500</v>
      </c>
    </row>
    <row r="55" spans="1:4" x14ac:dyDescent="0.2">
      <c r="A55" s="395" t="s">
        <v>277</v>
      </c>
      <c r="B55" s="360">
        <f>SUM(B50:B54)</f>
        <v>65961</v>
      </c>
      <c r="C55" s="360">
        <f>SUM(C50:C54)</f>
        <v>71800</v>
      </c>
      <c r="D55" s="360">
        <f>SUM(D50:D54)</f>
        <v>92800</v>
      </c>
    </row>
    <row r="56" spans="1:4" x14ac:dyDescent="0.2">
      <c r="A56" s="301" t="s">
        <v>1065</v>
      </c>
      <c r="B56" s="256"/>
      <c r="C56" s="256"/>
      <c r="D56" s="256"/>
    </row>
    <row r="57" spans="1:4" x14ac:dyDescent="0.2">
      <c r="A57" s="397" t="s">
        <v>320</v>
      </c>
      <c r="B57" s="354">
        <v>31055</v>
      </c>
      <c r="C57" s="354">
        <v>25200</v>
      </c>
      <c r="D57" s="354">
        <v>31000</v>
      </c>
    </row>
    <row r="58" spans="1:4" x14ac:dyDescent="0.2">
      <c r="A58" s="397" t="s">
        <v>313</v>
      </c>
      <c r="B58" s="354">
        <v>8437</v>
      </c>
      <c r="C58" s="354">
        <v>12750</v>
      </c>
      <c r="D58" s="354">
        <v>12000</v>
      </c>
    </row>
    <row r="59" spans="1:4" x14ac:dyDescent="0.2">
      <c r="A59" s="397" t="s">
        <v>314</v>
      </c>
      <c r="B59" s="354">
        <v>15614</v>
      </c>
      <c r="C59" s="354">
        <v>22200</v>
      </c>
      <c r="D59" s="354">
        <v>21700</v>
      </c>
    </row>
    <row r="60" spans="1:4" x14ac:dyDescent="0.2">
      <c r="A60" s="397" t="s">
        <v>315</v>
      </c>
      <c r="B60" s="354">
        <v>3112</v>
      </c>
      <c r="C60" s="354">
        <v>10000</v>
      </c>
      <c r="D60" s="354">
        <v>11000</v>
      </c>
    </row>
    <row r="61" spans="1:4" x14ac:dyDescent="0.2">
      <c r="A61" s="397"/>
      <c r="B61" s="354"/>
      <c r="C61" s="354"/>
      <c r="D61" s="354"/>
    </row>
    <row r="62" spans="1:4" x14ac:dyDescent="0.2">
      <c r="A62" s="395" t="s">
        <v>277</v>
      </c>
      <c r="B62" s="360">
        <f>SUM(B57:B61)</f>
        <v>58218</v>
      </c>
      <c r="C62" s="360">
        <f>SUM(C57:C61)</f>
        <v>70150</v>
      </c>
      <c r="D62" s="360">
        <f>SUM(D57:D61)</f>
        <v>75700</v>
      </c>
    </row>
    <row r="63" spans="1:4" x14ac:dyDescent="0.2">
      <c r="A63" s="86"/>
      <c r="B63" s="256"/>
      <c r="C63" s="256"/>
      <c r="D63" s="256"/>
    </row>
    <row r="64" spans="1:4" ht="16.5" thickBot="1" x14ac:dyDescent="0.25">
      <c r="A64" s="395" t="s">
        <v>321</v>
      </c>
      <c r="B64" s="398">
        <f>B14+B21+B28+B34+B41+B48+B55+B62</f>
        <v>1118303</v>
      </c>
      <c r="C64" s="398">
        <f>C14+C21+C28+C34+C41+C48+C55+C62</f>
        <v>1210377</v>
      </c>
      <c r="D64" s="398">
        <f>D14+D21+D28+D34+D41+D48+D55+D62</f>
        <v>1322207</v>
      </c>
    </row>
    <row r="65" spans="1:6" ht="16.5" thickTop="1" x14ac:dyDescent="0.2">
      <c r="A65" s="399"/>
      <c r="B65" s="256"/>
      <c r="C65" s="256"/>
      <c r="D65" s="256"/>
    </row>
    <row r="66" spans="1:6" x14ac:dyDescent="0.2">
      <c r="A66" s="199" t="s">
        <v>319</v>
      </c>
      <c r="B66" s="401" t="str">
        <f>CONCATENATE("",general!D59,"b")</f>
        <v>8b</v>
      </c>
      <c r="C66" s="256"/>
      <c r="D66" s="256"/>
    </row>
    <row r="67" spans="1:6" x14ac:dyDescent="0.2">
      <c r="A67" s="400"/>
      <c r="B67" s="401"/>
      <c r="C67" s="401"/>
      <c r="D67" s="401"/>
    </row>
    <row r="68" spans="1:6" x14ac:dyDescent="0.2">
      <c r="A68" s="401" t="str">
        <f>A1</f>
        <v>City of Herington</v>
      </c>
      <c r="B68" s="400"/>
      <c r="C68" s="402"/>
      <c r="D68" s="400">
        <f>D1</f>
        <v>2013</v>
      </c>
    </row>
    <row r="69" spans="1:6" x14ac:dyDescent="0.2">
      <c r="A69" s="400"/>
      <c r="B69" s="400"/>
      <c r="C69" s="400"/>
      <c r="D69" s="402"/>
    </row>
    <row r="70" spans="1:6" x14ac:dyDescent="0.2">
      <c r="A70" s="636" t="s">
        <v>301</v>
      </c>
      <c r="B70" s="596" t="str">
        <f t="shared" ref="B70:D71" si="0">B3</f>
        <v xml:space="preserve">Prior Year </v>
      </c>
      <c r="C70" s="596" t="str">
        <f t="shared" si="0"/>
        <v>Current Year</v>
      </c>
      <c r="D70" s="596" t="str">
        <f t="shared" si="0"/>
        <v xml:space="preserve">Proposed Budget </v>
      </c>
    </row>
    <row r="71" spans="1:6" x14ac:dyDescent="0.2">
      <c r="A71" s="637" t="s">
        <v>416</v>
      </c>
      <c r="B71" s="638" t="str">
        <f t="shared" si="0"/>
        <v>Actual for 2011</v>
      </c>
      <c r="C71" s="638" t="str">
        <f t="shared" si="0"/>
        <v>Estimate for 2012</v>
      </c>
      <c r="D71" s="638" t="str">
        <f t="shared" si="0"/>
        <v>Year for 2013</v>
      </c>
    </row>
    <row r="72" spans="1:6" x14ac:dyDescent="0.2">
      <c r="A72" s="403" t="s">
        <v>312</v>
      </c>
      <c r="B72" s="404"/>
      <c r="C72" s="404"/>
      <c r="D72" s="404"/>
    </row>
    <row r="73" spans="1:6" x14ac:dyDescent="0.2">
      <c r="A73" s="405" t="s">
        <v>1066</v>
      </c>
      <c r="B73" s="404"/>
      <c r="C73" s="404"/>
      <c r="D73" s="404"/>
      <c r="F73" s="635"/>
    </row>
    <row r="74" spans="1:6" x14ac:dyDescent="0.2">
      <c r="A74" s="405" t="s">
        <v>320</v>
      </c>
      <c r="B74" s="406">
        <v>33614</v>
      </c>
      <c r="C74" s="406">
        <v>32000</v>
      </c>
      <c r="D74" s="406">
        <v>35000</v>
      </c>
    </row>
    <row r="75" spans="1:6" x14ac:dyDescent="0.2">
      <c r="A75" s="405" t="s">
        <v>313</v>
      </c>
      <c r="B75" s="406">
        <v>1973</v>
      </c>
      <c r="C75" s="406">
        <v>3000</v>
      </c>
      <c r="D75" s="406">
        <v>2900</v>
      </c>
    </row>
    <row r="76" spans="1:6" x14ac:dyDescent="0.2">
      <c r="A76" s="405" t="s">
        <v>314</v>
      </c>
      <c r="B76" s="406">
        <v>25085</v>
      </c>
      <c r="C76" s="406">
        <v>25000</v>
      </c>
      <c r="D76" s="406">
        <v>26000</v>
      </c>
    </row>
    <row r="77" spans="1:6" x14ac:dyDescent="0.2">
      <c r="A77" s="405" t="s">
        <v>315</v>
      </c>
      <c r="B77" s="406">
        <v>9766</v>
      </c>
      <c r="C77" s="406">
        <v>5000</v>
      </c>
      <c r="D77" s="406">
        <v>3000</v>
      </c>
    </row>
    <row r="78" spans="1:6" x14ac:dyDescent="0.2">
      <c r="A78" s="407"/>
      <c r="B78" s="406"/>
      <c r="C78" s="406"/>
      <c r="D78" s="406"/>
    </row>
    <row r="79" spans="1:6" x14ac:dyDescent="0.2">
      <c r="A79" s="403" t="s">
        <v>277</v>
      </c>
      <c r="B79" s="408">
        <f>SUM(B74:B78)</f>
        <v>70438</v>
      </c>
      <c r="C79" s="408">
        <f>SUM(C74:C78)</f>
        <v>65000</v>
      </c>
      <c r="D79" s="408">
        <f>SUM(D74:D78)</f>
        <v>66900</v>
      </c>
    </row>
    <row r="80" spans="1:6" x14ac:dyDescent="0.2">
      <c r="A80" s="409" t="s">
        <v>1068</v>
      </c>
      <c r="B80" s="401"/>
      <c r="C80" s="401"/>
      <c r="D80" s="401"/>
    </row>
    <row r="81" spans="1:4" x14ac:dyDescent="0.2">
      <c r="A81" s="405" t="s">
        <v>320</v>
      </c>
      <c r="B81" s="406">
        <v>24966</v>
      </c>
      <c r="C81" s="406">
        <v>23350</v>
      </c>
      <c r="D81" s="406">
        <v>13465</v>
      </c>
    </row>
    <row r="82" spans="1:4" x14ac:dyDescent="0.2">
      <c r="A82" s="405" t="s">
        <v>313</v>
      </c>
      <c r="B82" s="406">
        <v>13362</v>
      </c>
      <c r="C82" s="406">
        <v>7080</v>
      </c>
      <c r="D82" s="406">
        <v>14900</v>
      </c>
    </row>
    <row r="83" spans="1:4" x14ac:dyDescent="0.2">
      <c r="A83" s="405" t="s">
        <v>314</v>
      </c>
      <c r="B83" s="406">
        <v>3151</v>
      </c>
      <c r="C83" s="406">
        <v>8400</v>
      </c>
      <c r="D83" s="406">
        <v>6000</v>
      </c>
    </row>
    <row r="84" spans="1:4" x14ac:dyDescent="0.2">
      <c r="A84" s="405" t="s">
        <v>315</v>
      </c>
      <c r="B84" s="406"/>
      <c r="C84" s="406">
        <v>18718</v>
      </c>
      <c r="D84" s="406">
        <v>10000</v>
      </c>
    </row>
    <row r="85" spans="1:4" x14ac:dyDescent="0.2">
      <c r="A85" s="405" t="s">
        <v>1122</v>
      </c>
      <c r="B85" s="406">
        <v>130112</v>
      </c>
      <c r="C85" s="406">
        <v>118281</v>
      </c>
      <c r="D85" s="406">
        <v>122700</v>
      </c>
    </row>
    <row r="86" spans="1:4" x14ac:dyDescent="0.2">
      <c r="A86" s="403" t="s">
        <v>277</v>
      </c>
      <c r="B86" s="408">
        <f>SUM(B81:B85)</f>
        <v>171591</v>
      </c>
      <c r="C86" s="408">
        <f>SUM(C81:C85)</f>
        <v>175829</v>
      </c>
      <c r="D86" s="408">
        <f>SUM(D81:D85)</f>
        <v>167065</v>
      </c>
    </row>
    <row r="87" spans="1:4" x14ac:dyDescent="0.2">
      <c r="A87" s="409" t="s">
        <v>1073</v>
      </c>
      <c r="B87" s="401"/>
      <c r="C87" s="401"/>
      <c r="D87" s="401"/>
    </row>
    <row r="88" spans="1:4" x14ac:dyDescent="0.2">
      <c r="A88" s="405" t="s">
        <v>320</v>
      </c>
      <c r="B88" s="406">
        <v>64476</v>
      </c>
      <c r="C88" s="406">
        <v>70095</v>
      </c>
      <c r="D88" s="406">
        <v>83715</v>
      </c>
    </row>
    <row r="89" spans="1:4" x14ac:dyDescent="0.2">
      <c r="A89" s="405" t="s">
        <v>313</v>
      </c>
      <c r="B89" s="406">
        <v>34814</v>
      </c>
      <c r="C89" s="406">
        <v>47300</v>
      </c>
      <c r="D89" s="406">
        <v>37600</v>
      </c>
    </row>
    <row r="90" spans="1:4" x14ac:dyDescent="0.2">
      <c r="A90" s="405" t="s">
        <v>314</v>
      </c>
      <c r="B90" s="406">
        <v>23180</v>
      </c>
      <c r="C90" s="406">
        <v>21800</v>
      </c>
      <c r="D90" s="406">
        <v>24560</v>
      </c>
    </row>
    <row r="91" spans="1:4" x14ac:dyDescent="0.2">
      <c r="A91" s="405" t="s">
        <v>315</v>
      </c>
      <c r="B91" s="406"/>
      <c r="C91" s="406">
        <v>11000</v>
      </c>
      <c r="D91" s="406">
        <v>15000</v>
      </c>
    </row>
    <row r="92" spans="1:4" x14ac:dyDescent="0.2">
      <c r="A92" s="405"/>
      <c r="B92" s="406"/>
      <c r="C92" s="406"/>
      <c r="D92" s="406"/>
    </row>
    <row r="93" spans="1:4" x14ac:dyDescent="0.2">
      <c r="A93" s="403" t="s">
        <v>277</v>
      </c>
      <c r="B93" s="408">
        <f>SUM(B88:B92)</f>
        <v>122470</v>
      </c>
      <c r="C93" s="408">
        <f>SUM(C88:C92)</f>
        <v>150195</v>
      </c>
      <c r="D93" s="408">
        <f>SUM(D88:D92)</f>
        <v>160875</v>
      </c>
    </row>
    <row r="94" spans="1:4" x14ac:dyDescent="0.2">
      <c r="A94" s="409"/>
      <c r="B94" s="401"/>
      <c r="C94" s="401"/>
      <c r="D94" s="401"/>
    </row>
    <row r="95" spans="1:4" x14ac:dyDescent="0.2">
      <c r="A95" s="405" t="s">
        <v>320</v>
      </c>
      <c r="B95" s="406"/>
      <c r="C95" s="406"/>
      <c r="D95" s="406"/>
    </row>
    <row r="96" spans="1:4" x14ac:dyDescent="0.2">
      <c r="A96" s="405" t="s">
        <v>313</v>
      </c>
      <c r="B96" s="406"/>
      <c r="C96" s="406"/>
      <c r="D96" s="406"/>
    </row>
    <row r="97" spans="1:4" x14ac:dyDescent="0.2">
      <c r="A97" s="405" t="s">
        <v>314</v>
      </c>
      <c r="B97" s="406"/>
      <c r="C97" s="406"/>
      <c r="D97" s="406"/>
    </row>
    <row r="98" spans="1:4" x14ac:dyDescent="0.2">
      <c r="A98" s="405" t="s">
        <v>315</v>
      </c>
      <c r="B98" s="406"/>
      <c r="C98" s="406"/>
      <c r="D98" s="406"/>
    </row>
    <row r="99" spans="1:4" x14ac:dyDescent="0.2">
      <c r="A99" s="403" t="s">
        <v>277</v>
      </c>
      <c r="B99" s="408">
        <f>SUM(B95:B98)</f>
        <v>0</v>
      </c>
      <c r="C99" s="408">
        <f>SUM(C95:C98)</f>
        <v>0</v>
      </c>
      <c r="D99" s="408">
        <f>SUM(D95:D98)</f>
        <v>0</v>
      </c>
    </row>
    <row r="100" spans="1:4" x14ac:dyDescent="0.2">
      <c r="A100" s="409"/>
      <c r="B100" s="401"/>
      <c r="C100" s="401"/>
      <c r="D100" s="401"/>
    </row>
    <row r="101" spans="1:4" x14ac:dyDescent="0.2">
      <c r="A101" s="405" t="s">
        <v>320</v>
      </c>
      <c r="B101" s="406"/>
      <c r="C101" s="406"/>
      <c r="D101" s="406"/>
    </row>
    <row r="102" spans="1:4" x14ac:dyDescent="0.2">
      <c r="A102" s="405" t="s">
        <v>313</v>
      </c>
      <c r="B102" s="406"/>
      <c r="C102" s="406"/>
      <c r="D102" s="406"/>
    </row>
    <row r="103" spans="1:4" x14ac:dyDescent="0.2">
      <c r="A103" s="405" t="s">
        <v>314</v>
      </c>
      <c r="B103" s="406"/>
      <c r="C103" s="406"/>
      <c r="D103" s="406"/>
    </row>
    <row r="104" spans="1:4" x14ac:dyDescent="0.2">
      <c r="A104" s="405" t="s">
        <v>315</v>
      </c>
      <c r="B104" s="406"/>
      <c r="C104" s="406"/>
      <c r="D104" s="406"/>
    </row>
    <row r="105" spans="1:4" x14ac:dyDescent="0.2">
      <c r="A105" s="405"/>
      <c r="B105" s="406"/>
      <c r="C105" s="406"/>
      <c r="D105" s="406"/>
    </row>
    <row r="106" spans="1:4" x14ac:dyDescent="0.2">
      <c r="A106" s="403" t="s">
        <v>277</v>
      </c>
      <c r="B106" s="408">
        <f>SUM(B101:B105)</f>
        <v>0</v>
      </c>
      <c r="C106" s="408">
        <f>SUM(C101:C105)</f>
        <v>0</v>
      </c>
      <c r="D106" s="408">
        <f>SUM(D101:D105)</f>
        <v>0</v>
      </c>
    </row>
    <row r="107" spans="1:4" x14ac:dyDescent="0.2">
      <c r="A107" s="409"/>
      <c r="B107" s="401"/>
      <c r="C107" s="401"/>
      <c r="D107" s="401"/>
    </row>
    <row r="108" spans="1:4" x14ac:dyDescent="0.2">
      <c r="A108" s="405" t="s">
        <v>320</v>
      </c>
      <c r="B108" s="406"/>
      <c r="C108" s="406"/>
      <c r="D108" s="406"/>
    </row>
    <row r="109" spans="1:4" x14ac:dyDescent="0.2">
      <c r="A109" s="405" t="s">
        <v>313</v>
      </c>
      <c r="B109" s="406"/>
      <c r="C109" s="406"/>
      <c r="D109" s="406"/>
    </row>
    <row r="110" spans="1:4" x14ac:dyDescent="0.2">
      <c r="A110" s="405" t="s">
        <v>314</v>
      </c>
      <c r="B110" s="406"/>
      <c r="C110" s="406"/>
      <c r="D110" s="406"/>
    </row>
    <row r="111" spans="1:4" x14ac:dyDescent="0.2">
      <c r="A111" s="405" t="s">
        <v>315</v>
      </c>
      <c r="B111" s="406"/>
      <c r="C111" s="406"/>
      <c r="D111" s="406"/>
    </row>
    <row r="112" spans="1:4" x14ac:dyDescent="0.2">
      <c r="A112" s="405"/>
      <c r="B112" s="406"/>
      <c r="C112" s="406"/>
      <c r="D112" s="406"/>
    </row>
    <row r="113" spans="1:4" x14ac:dyDescent="0.2">
      <c r="A113" s="403" t="s">
        <v>277</v>
      </c>
      <c r="B113" s="408">
        <f>SUM(B108:B112)</f>
        <v>0</v>
      </c>
      <c r="C113" s="408">
        <f>SUM(C108:C112)</f>
        <v>0</v>
      </c>
      <c r="D113" s="408">
        <f>SUM(D108:D112)</f>
        <v>0</v>
      </c>
    </row>
    <row r="114" spans="1:4" x14ac:dyDescent="0.2">
      <c r="A114" s="409"/>
      <c r="B114" s="401"/>
      <c r="C114" s="401"/>
      <c r="D114" s="401"/>
    </row>
    <row r="115" spans="1:4" x14ac:dyDescent="0.2">
      <c r="A115" s="405" t="s">
        <v>320</v>
      </c>
      <c r="B115" s="406"/>
      <c r="C115" s="406"/>
      <c r="D115" s="406"/>
    </row>
    <row r="116" spans="1:4" x14ac:dyDescent="0.2">
      <c r="A116" s="405" t="s">
        <v>313</v>
      </c>
      <c r="B116" s="406"/>
      <c r="C116" s="406"/>
      <c r="D116" s="406"/>
    </row>
    <row r="117" spans="1:4" x14ac:dyDescent="0.2">
      <c r="A117" s="405" t="s">
        <v>314</v>
      </c>
      <c r="B117" s="406"/>
      <c r="C117" s="406"/>
      <c r="D117" s="406"/>
    </row>
    <row r="118" spans="1:4" x14ac:dyDescent="0.2">
      <c r="A118" s="405" t="s">
        <v>315</v>
      </c>
      <c r="B118" s="406"/>
      <c r="C118" s="406"/>
      <c r="D118" s="406"/>
    </row>
    <row r="119" spans="1:4" x14ac:dyDescent="0.2">
      <c r="A119" s="405"/>
      <c r="B119" s="406"/>
      <c r="C119" s="406"/>
      <c r="D119" s="406"/>
    </row>
    <row r="120" spans="1:4" x14ac:dyDescent="0.2">
      <c r="A120" s="403" t="s">
        <v>277</v>
      </c>
      <c r="B120" s="408">
        <f>SUM(B115:B119)</f>
        <v>0</v>
      </c>
      <c r="C120" s="408">
        <f>SUM(C115:C119)</f>
        <v>0</v>
      </c>
      <c r="D120" s="408">
        <f>SUM(D115:D119)</f>
        <v>0</v>
      </c>
    </row>
    <row r="121" spans="1:4" x14ac:dyDescent="0.2">
      <c r="A121" s="409"/>
      <c r="B121" s="401"/>
      <c r="C121" s="401"/>
      <c r="D121" s="401"/>
    </row>
    <row r="122" spans="1:4" x14ac:dyDescent="0.2">
      <c r="A122" s="405" t="s">
        <v>320</v>
      </c>
      <c r="B122" s="406"/>
      <c r="C122" s="406"/>
      <c r="D122" s="406"/>
    </row>
    <row r="123" spans="1:4" x14ac:dyDescent="0.2">
      <c r="A123" s="405" t="s">
        <v>313</v>
      </c>
      <c r="B123" s="406"/>
      <c r="C123" s="406"/>
      <c r="D123" s="406"/>
    </row>
    <row r="124" spans="1:4" x14ac:dyDescent="0.2">
      <c r="A124" s="405" t="s">
        <v>314</v>
      </c>
      <c r="B124" s="406"/>
      <c r="C124" s="406"/>
      <c r="D124" s="406"/>
    </row>
    <row r="125" spans="1:4" x14ac:dyDescent="0.2">
      <c r="A125" s="405" t="s">
        <v>315</v>
      </c>
      <c r="B125" s="406"/>
      <c r="C125" s="406"/>
      <c r="D125" s="406"/>
    </row>
    <row r="126" spans="1:4" x14ac:dyDescent="0.2">
      <c r="A126" s="405"/>
      <c r="B126" s="406"/>
      <c r="C126" s="406"/>
      <c r="D126" s="406"/>
    </row>
    <row r="127" spans="1:4" x14ac:dyDescent="0.2">
      <c r="A127" s="403" t="s">
        <v>277</v>
      </c>
      <c r="B127" s="408">
        <f>SUM(B122:B126)</f>
        <v>0</v>
      </c>
      <c r="C127" s="408">
        <f>SUM(C122:C126)</f>
        <v>0</v>
      </c>
      <c r="D127" s="408">
        <f>SUM(D122:D126)</f>
        <v>0</v>
      </c>
    </row>
    <row r="128" spans="1:4" x14ac:dyDescent="0.2">
      <c r="A128" s="403"/>
      <c r="B128" s="401"/>
      <c r="C128" s="401"/>
      <c r="D128" s="401"/>
    </row>
    <row r="129" spans="1:4" x14ac:dyDescent="0.2">
      <c r="A129" s="410" t="s">
        <v>417</v>
      </c>
      <c r="B129" s="411">
        <f>B79+B86+B93+B99+B106+B113+B120+B127</f>
        <v>364499</v>
      </c>
      <c r="C129" s="411">
        <f>C79+C86+C93+C99+C106+C113+C120+C127</f>
        <v>391024</v>
      </c>
      <c r="D129" s="411">
        <f>D79+D86+D93+D99+D106+D113+D120+D127</f>
        <v>394840</v>
      </c>
    </row>
    <row r="130" spans="1:4" x14ac:dyDescent="0.2">
      <c r="A130" s="403" t="s">
        <v>418</v>
      </c>
      <c r="B130" s="408">
        <f>B64</f>
        <v>1118303</v>
      </c>
      <c r="C130" s="408">
        <f>C64</f>
        <v>1210377</v>
      </c>
      <c r="D130" s="408">
        <f>D64</f>
        <v>1322207</v>
      </c>
    </row>
    <row r="131" spans="1:4" ht="16.5" thickBot="1" x14ac:dyDescent="0.25">
      <c r="A131" s="403" t="s">
        <v>419</v>
      </c>
      <c r="B131" s="413">
        <f>SUM(B129:B130)</f>
        <v>1482802</v>
      </c>
      <c r="C131" s="413">
        <f>SUM(C129:C130)</f>
        <v>1601401</v>
      </c>
      <c r="D131" s="413">
        <f>SUM(D129:D130)</f>
        <v>1717047</v>
      </c>
    </row>
    <row r="132" spans="1:4" ht="16.5" thickTop="1" x14ac:dyDescent="0.2">
      <c r="A132" s="412" t="s">
        <v>237</v>
      </c>
      <c r="B132" s="401"/>
      <c r="C132" s="401"/>
      <c r="D132" s="401"/>
    </row>
    <row r="133" spans="1:4" x14ac:dyDescent="0.2">
      <c r="A133" s="199" t="s">
        <v>319</v>
      </c>
      <c r="B133" s="401" t="str">
        <f>CONCATENATE("",general!D59,"c")</f>
        <v>8c</v>
      </c>
      <c r="C133" s="401"/>
      <c r="D133" s="401"/>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KansasCity</oddHeader>
  </headerFooter>
  <rowBreaks count="1" manualBreakCount="1">
    <brk id="66"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zoomScaleNormal="100" workbookViewId="0">
      <selection activeCell="D30" sqref="D30"/>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346">
        <f>inputPrYr!$C$10</f>
        <v>2013</v>
      </c>
    </row>
    <row r="2" spans="2:5" x14ac:dyDescent="0.2">
      <c r="B2" s="86"/>
      <c r="C2" s="86"/>
      <c r="D2" s="86"/>
      <c r="E2" s="230"/>
    </row>
    <row r="3" spans="2:5" x14ac:dyDescent="0.2">
      <c r="B3" s="512" t="s">
        <v>6</v>
      </c>
      <c r="C3" s="263"/>
      <c r="D3" s="263"/>
      <c r="E3" s="377"/>
    </row>
    <row r="4" spans="2:5" x14ac:dyDescent="0.2">
      <c r="B4" s="93" t="s">
        <v>301</v>
      </c>
      <c r="C4" s="633" t="s">
        <v>833</v>
      </c>
      <c r="D4" s="634" t="s">
        <v>834</v>
      </c>
      <c r="E4" s="206" t="s">
        <v>835</v>
      </c>
    </row>
    <row r="5" spans="2:5" x14ac:dyDescent="0.2">
      <c r="B5" s="579" t="str">
        <f>inputPrYr!B23</f>
        <v>Debt Service</v>
      </c>
      <c r="C5" s="454" t="str">
        <f>CONCATENATE("Actual for ",E1-2,"")</f>
        <v>Actual for 2011</v>
      </c>
      <c r="D5" s="454" t="str">
        <f>CONCATENATE("Estimate for ",E1-1,"")</f>
        <v>Estimate for 2012</v>
      </c>
      <c r="E5" s="272" t="str">
        <f>CONCATENATE("Year for ",E1,"")</f>
        <v>Year for 2013</v>
      </c>
    </row>
    <row r="6" spans="2:5" x14ac:dyDescent="0.2">
      <c r="B6" s="169" t="s">
        <v>60</v>
      </c>
      <c r="C6" s="453">
        <v>-4820.62</v>
      </c>
      <c r="D6" s="511">
        <f>C34</f>
        <v>49206.380000000005</v>
      </c>
      <c r="E6" s="378">
        <f>D34</f>
        <v>16515.380000000005</v>
      </c>
    </row>
    <row r="7" spans="2:5" x14ac:dyDescent="0.2">
      <c r="B7" s="352" t="s">
        <v>62</v>
      </c>
      <c r="C7" s="455"/>
      <c r="D7" s="511"/>
      <c r="E7" s="378"/>
    </row>
    <row r="8" spans="2:5" x14ac:dyDescent="0.2">
      <c r="B8" s="169" t="s">
        <v>302</v>
      </c>
      <c r="C8" s="453">
        <v>42587</v>
      </c>
      <c r="D8" s="455">
        <f>IF(inputPrYr!H21&gt;0,inputPrYr!G23,inputPrYr!E23)</f>
        <v>8382</v>
      </c>
      <c r="E8" s="372" t="s">
        <v>290</v>
      </c>
    </row>
    <row r="9" spans="2:5" x14ac:dyDescent="0.2">
      <c r="B9" s="169" t="s">
        <v>303</v>
      </c>
      <c r="C9" s="453">
        <v>1258</v>
      </c>
      <c r="D9" s="453"/>
      <c r="E9" s="379"/>
    </row>
    <row r="10" spans="2:5" x14ac:dyDescent="0.2">
      <c r="B10" s="169" t="s">
        <v>304</v>
      </c>
      <c r="C10" s="453">
        <v>5742</v>
      </c>
      <c r="D10" s="453">
        <v>5996</v>
      </c>
      <c r="E10" s="380">
        <f>mvalloc!D9</f>
        <v>1112</v>
      </c>
    </row>
    <row r="11" spans="2:5" x14ac:dyDescent="0.2">
      <c r="B11" s="169" t="s">
        <v>305</v>
      </c>
      <c r="C11" s="453">
        <v>158</v>
      </c>
      <c r="D11" s="453">
        <v>161</v>
      </c>
      <c r="E11" s="380">
        <f>mvalloc!E9</f>
        <v>35</v>
      </c>
    </row>
    <row r="12" spans="2:5" x14ac:dyDescent="0.2">
      <c r="B12" s="381" t="s">
        <v>38</v>
      </c>
      <c r="C12" s="453">
        <v>14</v>
      </c>
      <c r="D12" s="453">
        <v>49</v>
      </c>
      <c r="E12" s="380">
        <f>mvalloc!F9</f>
        <v>9</v>
      </c>
    </row>
    <row r="13" spans="2:5" x14ac:dyDescent="0.2">
      <c r="B13" s="379" t="s">
        <v>1035</v>
      </c>
      <c r="C13" s="453" t="s">
        <v>278</v>
      </c>
      <c r="D13" s="453"/>
      <c r="E13" s="379"/>
    </row>
    <row r="14" spans="2:5" x14ac:dyDescent="0.2">
      <c r="B14" s="379" t="s">
        <v>1074</v>
      </c>
      <c r="C14" s="453">
        <v>162352</v>
      </c>
      <c r="D14" s="453">
        <v>113175</v>
      </c>
      <c r="E14" s="379">
        <v>114000</v>
      </c>
    </row>
    <row r="15" spans="2:5" x14ac:dyDescent="0.2">
      <c r="B15" s="382" t="s">
        <v>1081</v>
      </c>
      <c r="C15" s="453">
        <v>30000</v>
      </c>
      <c r="D15" s="453">
        <v>30000</v>
      </c>
      <c r="E15" s="379">
        <v>20000</v>
      </c>
    </row>
    <row r="16" spans="2:5" x14ac:dyDescent="0.2">
      <c r="B16" s="382" t="s">
        <v>1075</v>
      </c>
      <c r="C16" s="453">
        <v>8170</v>
      </c>
      <c r="D16" s="453">
        <v>7812</v>
      </c>
      <c r="E16" s="379">
        <v>7710</v>
      </c>
    </row>
    <row r="17" spans="2:10" x14ac:dyDescent="0.2">
      <c r="B17" s="383" t="s">
        <v>308</v>
      </c>
      <c r="C17" s="453"/>
      <c r="D17" s="453"/>
      <c r="E17" s="379"/>
    </row>
    <row r="18" spans="2:10" x14ac:dyDescent="0.2">
      <c r="B18" s="357" t="s">
        <v>198</v>
      </c>
      <c r="C18" s="453"/>
      <c r="D18" s="453"/>
      <c r="E18" s="379"/>
    </row>
    <row r="19" spans="2:10" x14ac:dyDescent="0.2">
      <c r="B19" s="357" t="s">
        <v>693</v>
      </c>
      <c r="C19" s="447" t="str">
        <f>IF(C20*0.1&lt;C18,"Exceed 10% Rule","")</f>
        <v/>
      </c>
      <c r="D19" s="447" t="str">
        <f>IF(D20*0.1&lt;D18,"Exceed 10% Rule","")</f>
        <v/>
      </c>
      <c r="E19" s="384" t="str">
        <f>IF(E20*0.1+E40&lt;E18,"Exceed 10% Rule","")</f>
        <v/>
      </c>
    </row>
    <row r="20" spans="2:10" x14ac:dyDescent="0.2">
      <c r="B20" s="359" t="s">
        <v>309</v>
      </c>
      <c r="C20" s="456">
        <f>SUM(C8:C18)</f>
        <v>250281</v>
      </c>
      <c r="D20" s="457">
        <f>SUM(D8:D18)</f>
        <v>165575</v>
      </c>
      <c r="E20" s="385">
        <f>SUM(E8:E18)</f>
        <v>142866</v>
      </c>
    </row>
    <row r="21" spans="2:10" x14ac:dyDescent="0.2">
      <c r="B21" s="359" t="s">
        <v>310</v>
      </c>
      <c r="C21" s="457">
        <f>C6+C20</f>
        <v>245460.38</v>
      </c>
      <c r="D21" s="457">
        <f>D6+D20</f>
        <v>214781.38</v>
      </c>
      <c r="E21" s="386">
        <f>E6+E20</f>
        <v>159381.38</v>
      </c>
    </row>
    <row r="22" spans="2:10" x14ac:dyDescent="0.2">
      <c r="B22" s="352" t="s">
        <v>312</v>
      </c>
      <c r="C22" s="455"/>
      <c r="D22" s="455"/>
      <c r="E22" s="380"/>
    </row>
    <row r="23" spans="2:10" x14ac:dyDescent="0.2">
      <c r="B23" s="353" t="s">
        <v>1076</v>
      </c>
      <c r="C23" s="453">
        <v>30000</v>
      </c>
      <c r="D23" s="453">
        <v>30000</v>
      </c>
      <c r="E23" s="379">
        <v>0</v>
      </c>
    </row>
    <row r="24" spans="2:10" x14ac:dyDescent="0.2">
      <c r="B24" s="353" t="s">
        <v>1077</v>
      </c>
      <c r="C24" s="453">
        <v>8816</v>
      </c>
      <c r="D24" s="453">
        <v>3636</v>
      </c>
      <c r="E24" s="379">
        <v>0</v>
      </c>
      <c r="G24" s="925" t="str">
        <f>CONCATENATE("Desired Carryover Into ",E1+1,"")</f>
        <v>Desired Carryover Into 2014</v>
      </c>
      <c r="H24" s="920"/>
      <c r="I24" s="920"/>
      <c r="J24" s="921"/>
    </row>
    <row r="25" spans="2:10" x14ac:dyDescent="0.2">
      <c r="B25" s="353" t="s">
        <v>1082</v>
      </c>
      <c r="C25" s="453">
        <v>85000</v>
      </c>
      <c r="D25" s="453">
        <v>90000</v>
      </c>
      <c r="E25" s="379">
        <v>0</v>
      </c>
      <c r="G25" s="746"/>
      <c r="H25" s="506"/>
      <c r="I25" s="747"/>
      <c r="J25" s="748"/>
    </row>
    <row r="26" spans="2:10" x14ac:dyDescent="0.2">
      <c r="B26" s="353" t="s">
        <v>1078</v>
      </c>
      <c r="C26" s="453">
        <v>26278</v>
      </c>
      <c r="D26" s="453">
        <v>19675</v>
      </c>
      <c r="E26" s="379">
        <v>0</v>
      </c>
      <c r="G26" s="749" t="s">
        <v>700</v>
      </c>
      <c r="H26" s="747"/>
      <c r="I26" s="747"/>
      <c r="J26" s="750">
        <v>0</v>
      </c>
    </row>
    <row r="27" spans="2:10" x14ac:dyDescent="0.2">
      <c r="B27" s="353" t="s">
        <v>1079</v>
      </c>
      <c r="C27" s="453">
        <v>25000</v>
      </c>
      <c r="D27" s="453">
        <v>25000</v>
      </c>
      <c r="E27" s="379">
        <v>25000</v>
      </c>
      <c r="G27" s="746" t="s">
        <v>701</v>
      </c>
      <c r="H27" s="506"/>
      <c r="I27" s="506"/>
      <c r="J27" s="751" t="str">
        <f>IF(J26=0,"",ROUND((J26+E40-G39)/inputOth!B14*1000,3)-G44)</f>
        <v/>
      </c>
    </row>
    <row r="28" spans="2:10" x14ac:dyDescent="0.2">
      <c r="B28" s="353" t="s">
        <v>1080</v>
      </c>
      <c r="C28" s="453">
        <v>21155</v>
      </c>
      <c r="D28" s="453">
        <v>19805</v>
      </c>
      <c r="E28" s="379">
        <v>18555</v>
      </c>
      <c r="G28" s="752" t="str">
        <f>CONCATENATE("",E1," Tot Exp/Non-Appr Must Be:")</f>
        <v>2013 Tot Exp/Non-Appr Must Be:</v>
      </c>
      <c r="H28" s="753"/>
      <c r="I28" s="754"/>
      <c r="J28" s="755">
        <f>IF(J26&gt;0,IF(E37&lt;E21,IF(J26=G39,E37,((J26-G39)*(1-D39))+E21),E37+(J26-G39)),0)</f>
        <v>0</v>
      </c>
    </row>
    <row r="29" spans="2:10" x14ac:dyDescent="0.2">
      <c r="B29" s="353" t="s">
        <v>1180</v>
      </c>
      <c r="C29" s="453"/>
      <c r="D29" s="453"/>
      <c r="E29" s="379">
        <v>135000</v>
      </c>
      <c r="G29" s="716" t="s">
        <v>919</v>
      </c>
      <c r="H29" s="756"/>
      <c r="I29" s="756"/>
      <c r="J29" s="718">
        <f>IF(J26&gt;0,J28-E37,0)</f>
        <v>0</v>
      </c>
    </row>
    <row r="30" spans="2:10" x14ac:dyDescent="0.2">
      <c r="B30" s="357" t="s">
        <v>1181</v>
      </c>
      <c r="C30" s="453"/>
      <c r="D30" s="453"/>
      <c r="E30" s="387">
        <v>8625</v>
      </c>
    </row>
    <row r="31" spans="2:10" x14ac:dyDescent="0.2">
      <c r="B31" s="357" t="s">
        <v>198</v>
      </c>
      <c r="C31" s="453">
        <v>5</v>
      </c>
      <c r="D31" s="453">
        <v>10150</v>
      </c>
      <c r="E31" s="379"/>
      <c r="G31" s="926" t="str">
        <f>CONCATENATE("Projected Carryover Into ",E1+1,"")</f>
        <v>Projected Carryover Into 2014</v>
      </c>
      <c r="H31" s="927"/>
      <c r="I31" s="927"/>
      <c r="J31" s="921"/>
    </row>
    <row r="32" spans="2:10" x14ac:dyDescent="0.2">
      <c r="B32" s="357" t="s">
        <v>199</v>
      </c>
      <c r="C32" s="447" t="str">
        <f>IF(C33*0.1&lt;C31,"Exceed 10% Rule","")</f>
        <v/>
      </c>
      <c r="D32" s="447" t="str">
        <f>IF(D33*0.1&lt;D31,"Exceed 10% Rule","")</f>
        <v/>
      </c>
      <c r="E32" s="384" t="str">
        <f>IF(E33*0.1&lt;E31,"Exceed 10% Rule","")</f>
        <v/>
      </c>
      <c r="G32" s="702"/>
      <c r="H32" s="703"/>
      <c r="I32" s="703"/>
      <c r="J32" s="757"/>
    </row>
    <row r="33" spans="2:11" x14ac:dyDescent="0.2">
      <c r="B33" s="359" t="s">
        <v>316</v>
      </c>
      <c r="C33" s="456">
        <f>SUM(C23:C31)</f>
        <v>196254</v>
      </c>
      <c r="D33" s="457">
        <f>SUM(D23:D31)</f>
        <v>198266</v>
      </c>
      <c r="E33" s="385">
        <f>SUM(E23:E31)</f>
        <v>187180</v>
      </c>
      <c r="G33" s="758">
        <f>D34</f>
        <v>16515.380000000005</v>
      </c>
      <c r="H33" s="759" t="str">
        <f>CONCATENATE("",E1-1," Ending Cash Balance (est.)")</f>
        <v>2012 Ending Cash Balance (est.)</v>
      </c>
      <c r="I33" s="704"/>
      <c r="J33" s="757"/>
    </row>
    <row r="34" spans="2:11" x14ac:dyDescent="0.2">
      <c r="B34" s="169" t="s">
        <v>61</v>
      </c>
      <c r="C34" s="458">
        <f>C21-C33</f>
        <v>49206.380000000005</v>
      </c>
      <c r="D34" s="458">
        <f>D21-D33</f>
        <v>16515.380000000005</v>
      </c>
      <c r="E34" s="372" t="s">
        <v>290</v>
      </c>
      <c r="G34" s="758">
        <f>E20</f>
        <v>142866</v>
      </c>
      <c r="H34" s="760" t="str">
        <f>CONCATENATE("",E1," Non-AV Receipts (est.)")</f>
        <v>2013 Non-AV Receipts (est.)</v>
      </c>
      <c r="I34" s="703"/>
      <c r="J34" s="757"/>
    </row>
    <row r="35" spans="2:11" x14ac:dyDescent="0.2">
      <c r="B35" s="199" t="str">
        <f>CONCATENATE("",E1-2,"/",E1-1," Budget Authority Amount:")</f>
        <v>2011/2012 Budget Authority Amount:</v>
      </c>
      <c r="C35" s="307">
        <f>inputOth!B82</f>
        <v>206399</v>
      </c>
      <c r="D35" s="307">
        <f>inputPrYr!D23</f>
        <v>205401</v>
      </c>
      <c r="E35" s="372" t="s">
        <v>290</v>
      </c>
      <c r="F35" s="373"/>
      <c r="G35" s="761">
        <f>IF(E39&gt;0,E38,E40)</f>
        <v>27798.619999999995</v>
      </c>
      <c r="H35" s="760" t="str">
        <f>CONCATENATE("",E1," Ad Valorem Tax (est.)")</f>
        <v>2013 Ad Valorem Tax (est.)</v>
      </c>
      <c r="I35" s="703"/>
      <c r="J35" s="757"/>
      <c r="K35" s="762" t="str">
        <f>IF(G35=E40,"","Note: Does not include Delinquent Taxes")</f>
        <v/>
      </c>
    </row>
    <row r="36" spans="2:11" x14ac:dyDescent="0.2">
      <c r="B36" s="199"/>
      <c r="C36" s="913" t="s">
        <v>697</v>
      </c>
      <c r="D36" s="914"/>
      <c r="E36" s="108"/>
      <c r="F36" s="724" t="str">
        <f>IF(E33/0.95-E33&lt;E36,"Exceeds 5%","")</f>
        <v/>
      </c>
      <c r="G36" s="758">
        <f>SUM(G33:G35)</f>
        <v>187180</v>
      </c>
      <c r="H36" s="760" t="str">
        <f>CONCATENATE("Total ",E1," Resources Available")</f>
        <v>Total 2013 Resources Available</v>
      </c>
      <c r="I36" s="704"/>
      <c r="J36" s="757"/>
    </row>
    <row r="37" spans="2:11" x14ac:dyDescent="0.2">
      <c r="B37" s="558" t="str">
        <f>CONCATENATE(C91,"     ",D91)</f>
        <v xml:space="preserve">     </v>
      </c>
      <c r="C37" s="915" t="s">
        <v>698</v>
      </c>
      <c r="D37" s="916"/>
      <c r="E37" s="351">
        <f>E33+E36</f>
        <v>187180</v>
      </c>
      <c r="G37" s="763"/>
      <c r="H37" s="760"/>
      <c r="I37" s="703"/>
      <c r="J37" s="757"/>
    </row>
    <row r="38" spans="2:11" x14ac:dyDescent="0.2">
      <c r="B38" s="558" t="str">
        <f>CONCATENATE(C92,"     ",D92)</f>
        <v xml:space="preserve">     </v>
      </c>
      <c r="C38" s="363"/>
      <c r="D38" s="230" t="s">
        <v>317</v>
      </c>
      <c r="E38" s="121">
        <f>IF(E37-E21&gt;0,E37-E21,0)</f>
        <v>27798.619999999995</v>
      </c>
      <c r="G38" s="761">
        <f>C33</f>
        <v>196254</v>
      </c>
      <c r="H38" s="760" t="str">
        <f>CONCATENATE("Less ",E1-2," Expenditures")</f>
        <v>Less 2011 Expenditures</v>
      </c>
      <c r="I38" s="703"/>
      <c r="J38" s="757"/>
    </row>
    <row r="39" spans="2:11" x14ac:dyDescent="0.2">
      <c r="B39" s="230"/>
      <c r="C39" s="508" t="s">
        <v>699</v>
      </c>
      <c r="D39" s="789">
        <f>inputOth!$E$66</f>
        <v>0</v>
      </c>
      <c r="E39" s="351">
        <f>ROUND(IF(D39&gt;0,(E38*D39),0),0)</f>
        <v>0</v>
      </c>
      <c r="G39" s="764">
        <f>SUM(G36-G38)</f>
        <v>-9074</v>
      </c>
      <c r="H39" s="765" t="str">
        <f>CONCATENATE("Projected ",E1+1," carryover (est.)")</f>
        <v>Projected 2014 carryover (est.)</v>
      </c>
      <c r="I39" s="729"/>
      <c r="J39" s="766"/>
    </row>
    <row r="40" spans="2:11" ht="16.5" thickBot="1" x14ac:dyDescent="0.25">
      <c r="B40" s="86"/>
      <c r="C40" s="911" t="str">
        <f>CONCATENATE("Amount of  ",$E$1-1," Ad Valorem Tax")</f>
        <v>Amount of  2012 Ad Valorem Tax</v>
      </c>
      <c r="D40" s="912"/>
      <c r="E40" s="376">
        <f>E38+E39</f>
        <v>27798.619999999995</v>
      </c>
    </row>
    <row r="41" spans="2:11" ht="16.5" thickTop="1" x14ac:dyDescent="0.2">
      <c r="B41" s="86"/>
      <c r="C41" s="452"/>
      <c r="D41" s="86"/>
      <c r="E41" s="86"/>
      <c r="G41" s="922" t="s">
        <v>920</v>
      </c>
      <c r="H41" s="923"/>
      <c r="I41" s="923"/>
      <c r="J41" s="924"/>
    </row>
    <row r="42" spans="2:11" x14ac:dyDescent="0.2">
      <c r="B42" s="93"/>
      <c r="C42" s="295"/>
      <c r="D42" s="295"/>
      <c r="E42" s="295"/>
      <c r="G42" s="730"/>
      <c r="H42" s="731"/>
      <c r="I42" s="732"/>
      <c r="J42" s="733"/>
    </row>
    <row r="43" spans="2:11" x14ac:dyDescent="0.2">
      <c r="B43" s="93" t="s">
        <v>301</v>
      </c>
      <c r="C43" s="633" t="s">
        <v>833</v>
      </c>
      <c r="D43" s="634" t="s">
        <v>836</v>
      </c>
      <c r="E43" s="206" t="s">
        <v>835</v>
      </c>
      <c r="G43" s="734">
        <f>summ!H16</f>
        <v>2.6070000000000002</v>
      </c>
      <c r="H43" s="731" t="str">
        <f>CONCATENATE("",E1," Fund Mill Rate")</f>
        <v>2013 Fund Mill Rate</v>
      </c>
      <c r="I43" s="732"/>
      <c r="J43" s="733"/>
    </row>
    <row r="44" spans="2:11" x14ac:dyDescent="0.2">
      <c r="B44" s="578" t="str">
        <f>inputPrYr!B24</f>
        <v>Library</v>
      </c>
      <c r="C44" s="454" t="str">
        <f>C5</f>
        <v>Actual for 2011</v>
      </c>
      <c r="D44" s="454" t="str">
        <f>D5</f>
        <v>Estimate for 2012</v>
      </c>
      <c r="E44" s="272" t="str">
        <f>E5</f>
        <v>Year for 2013</v>
      </c>
      <c r="G44" s="735">
        <f>summ!E16</f>
        <v>0.78400000000000003</v>
      </c>
      <c r="H44" s="731" t="str">
        <f>CONCATENATE("",E1-1," Fund Mill Rate")</f>
        <v>2012 Fund Mill Rate</v>
      </c>
      <c r="I44" s="732"/>
      <c r="J44" s="733"/>
    </row>
    <row r="45" spans="2:11" x14ac:dyDescent="0.2">
      <c r="B45" s="365" t="s">
        <v>60</v>
      </c>
      <c r="C45" s="446">
        <v>0</v>
      </c>
      <c r="D45" s="451">
        <f>C74</f>
        <v>0</v>
      </c>
      <c r="E45" s="351">
        <f>D74</f>
        <v>0</v>
      </c>
      <c r="G45" s="736">
        <f>summ!H52</f>
        <v>66.711000000000013</v>
      </c>
      <c r="H45" s="731" t="str">
        <f>CONCATENATE("Total ",E1," Mill Rate")</f>
        <v>Total 2013 Mill Rate</v>
      </c>
      <c r="I45" s="732"/>
      <c r="J45" s="733"/>
    </row>
    <row r="46" spans="2:11" x14ac:dyDescent="0.2">
      <c r="B46" s="365" t="s">
        <v>62</v>
      </c>
      <c r="C46" s="220"/>
      <c r="D46" s="220"/>
      <c r="E46" s="126"/>
      <c r="G46" s="735">
        <f>summ!E52</f>
        <v>66.711000000000013</v>
      </c>
      <c r="H46" s="737" t="str">
        <f>CONCATENATE("Total ",E1-1," Mill Rate")</f>
        <v>Total 2012 Mill Rate</v>
      </c>
      <c r="I46" s="738"/>
      <c r="J46" s="739"/>
    </row>
    <row r="47" spans="2:11" x14ac:dyDescent="0.2">
      <c r="B47" s="169" t="s">
        <v>302</v>
      </c>
      <c r="C47" s="446">
        <v>70034</v>
      </c>
      <c r="D47" s="451">
        <f>IF(inputPrYr!H21&gt;0,inputPrYr!G24,inputPrYr!E24)</f>
        <v>76008</v>
      </c>
      <c r="E47" s="372" t="s">
        <v>290</v>
      </c>
    </row>
    <row r="48" spans="2:11" x14ac:dyDescent="0.2">
      <c r="B48" s="169" t="s">
        <v>303</v>
      </c>
      <c r="C48" s="446">
        <v>1838</v>
      </c>
      <c r="D48" s="446"/>
      <c r="E48" s="108"/>
    </row>
    <row r="49" spans="2:10" x14ac:dyDescent="0.2">
      <c r="B49" s="169" t="s">
        <v>304</v>
      </c>
      <c r="C49" s="446">
        <v>10460</v>
      </c>
      <c r="D49" s="446">
        <v>9861</v>
      </c>
      <c r="E49" s="351">
        <f>mvalloc!D10</f>
        <v>10084</v>
      </c>
    </row>
    <row r="50" spans="2:10" x14ac:dyDescent="0.2">
      <c r="B50" s="169" t="s">
        <v>305</v>
      </c>
      <c r="C50" s="446">
        <v>290</v>
      </c>
      <c r="D50" s="446">
        <v>265</v>
      </c>
      <c r="E50" s="351">
        <f>mvalloc!E10</f>
        <v>315</v>
      </c>
    </row>
    <row r="51" spans="2:10" x14ac:dyDescent="0.2">
      <c r="B51" s="220" t="s">
        <v>38</v>
      </c>
      <c r="C51" s="446">
        <v>67</v>
      </c>
      <c r="D51" s="446">
        <v>81</v>
      </c>
      <c r="E51" s="351">
        <f>mvalloc!F10</f>
        <v>83</v>
      </c>
    </row>
    <row r="52" spans="2:10" x14ac:dyDescent="0.2">
      <c r="B52" s="353"/>
      <c r="C52" s="446"/>
      <c r="D52" s="446"/>
      <c r="E52" s="108"/>
    </row>
    <row r="53" spans="2:10" x14ac:dyDescent="0.2">
      <c r="B53" s="353"/>
      <c r="C53" s="446"/>
      <c r="D53" s="446"/>
      <c r="E53" s="108"/>
    </row>
    <row r="54" spans="2:10" x14ac:dyDescent="0.2">
      <c r="B54" s="353"/>
      <c r="C54" s="446"/>
      <c r="D54" s="446"/>
      <c r="E54" s="108"/>
    </row>
    <row r="55" spans="2:10" x14ac:dyDescent="0.2">
      <c r="B55" s="353"/>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693</v>
      </c>
      <c r="C59" s="447" t="str">
        <f>IF(C60*0.1&lt;C58,"Exceed 10% Rule","")</f>
        <v/>
      </c>
      <c r="D59" s="447" t="str">
        <f>IF(D60*0.1&lt;D58,"Exceed 10% Rule","")</f>
        <v/>
      </c>
      <c r="E59" s="384" t="str">
        <f>IF(E60*0.1+E80&lt;E58,"Exceed 10% Rule","")</f>
        <v/>
      </c>
    </row>
    <row r="60" spans="2:10" x14ac:dyDescent="0.2">
      <c r="B60" s="359" t="s">
        <v>309</v>
      </c>
      <c r="C60" s="450">
        <f>SUM(C47:C58)</f>
        <v>82689</v>
      </c>
      <c r="D60" s="450">
        <f>SUM(D47:D58)</f>
        <v>86215</v>
      </c>
      <c r="E60" s="361">
        <f>SUM(E47:E58)</f>
        <v>10482</v>
      </c>
    </row>
    <row r="61" spans="2:10" x14ac:dyDescent="0.2">
      <c r="B61" s="359" t="s">
        <v>310</v>
      </c>
      <c r="C61" s="450">
        <f>C45+C60</f>
        <v>82689</v>
      </c>
      <c r="D61" s="450">
        <f>D45+D60</f>
        <v>86215</v>
      </c>
      <c r="E61" s="361">
        <f>E45+E60</f>
        <v>10482</v>
      </c>
    </row>
    <row r="62" spans="2:10" x14ac:dyDescent="0.2">
      <c r="B62" s="169" t="s">
        <v>312</v>
      </c>
      <c r="C62" s="357"/>
      <c r="D62" s="357"/>
      <c r="E62" s="107"/>
    </row>
    <row r="63" spans="2:10" x14ac:dyDescent="0.2">
      <c r="B63" s="353" t="s">
        <v>1083</v>
      </c>
      <c r="C63" s="446">
        <v>82689</v>
      </c>
      <c r="D63" s="446">
        <v>86215</v>
      </c>
      <c r="E63" s="108">
        <v>86216</v>
      </c>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nhood!E8</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692</v>
      </c>
      <c r="C72" s="447" t="str">
        <f>IF(C73*0.1&lt;C71,"Exceed 10% Rule","")</f>
        <v/>
      </c>
      <c r="D72" s="447" t="str">
        <f>IF(D73*0.1&lt;D71,"Exceed 10% Rule","")</f>
        <v/>
      </c>
      <c r="E72" s="384" t="str">
        <f>IF(E73*0.1&lt;E71,"Exceed 10% Rule","")</f>
        <v/>
      </c>
      <c r="G72" s="507"/>
      <c r="H72" s="506"/>
      <c r="I72" s="506"/>
      <c r="J72" s="505"/>
    </row>
    <row r="73" spans="2:11" x14ac:dyDescent="0.2">
      <c r="B73" s="375" t="s">
        <v>316</v>
      </c>
      <c r="C73" s="450">
        <f>SUM(C63:C71)</f>
        <v>82689</v>
      </c>
      <c r="D73" s="450">
        <f>SUM(D63:D71)</f>
        <v>86215</v>
      </c>
      <c r="E73" s="361">
        <f>SUM(E63:E71)</f>
        <v>86216</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10482</v>
      </c>
      <c r="H74" s="747" t="str">
        <f>CONCATENATE("",E1," Non-AV Receipts (est.)")</f>
        <v>2013 Non-AV Receipts (est.)</v>
      </c>
      <c r="I74" s="770"/>
      <c r="J74" s="505"/>
    </row>
    <row r="75" spans="2:11" x14ac:dyDescent="0.2">
      <c r="B75" s="199" t="str">
        <f>CONCATENATE("",E1-2,"/",E1-1," Budget Authority Amount:")</f>
        <v>2011/2012 Budget Authority Amount:</v>
      </c>
      <c r="C75" s="307">
        <f>inputOth!B83</f>
        <v>84580</v>
      </c>
      <c r="D75" s="307">
        <f>inputPrYr!D24</f>
        <v>86215</v>
      </c>
      <c r="E75" s="372" t="s">
        <v>290</v>
      </c>
      <c r="F75" s="373"/>
      <c r="G75" s="771">
        <f>IF(D79&gt;0,E78,E80)</f>
        <v>75734</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86216</v>
      </c>
      <c r="H76" s="747" t="str">
        <f>CONCATENATE("Total ",E1," Resources Available")</f>
        <v>Total 2013 Resources Available</v>
      </c>
      <c r="I76" s="505"/>
      <c r="J76" s="505"/>
    </row>
    <row r="77" spans="2:11" x14ac:dyDescent="0.2">
      <c r="B77" s="558" t="str">
        <f>CONCATENATE(C93,"     ",D93)</f>
        <v xml:space="preserve">     </v>
      </c>
      <c r="C77" s="915" t="s">
        <v>698</v>
      </c>
      <c r="D77" s="916"/>
      <c r="E77" s="351">
        <f>E73+E76</f>
        <v>86216</v>
      </c>
      <c r="G77" s="530"/>
      <c r="H77" s="532"/>
      <c r="I77" s="506"/>
      <c r="J77" s="505"/>
    </row>
    <row r="78" spans="2:11" x14ac:dyDescent="0.2">
      <c r="B78" s="558" t="str">
        <f>CONCATENATE(C94,"     ",D94)</f>
        <v xml:space="preserve">     </v>
      </c>
      <c r="C78" s="363"/>
      <c r="D78" s="230" t="s">
        <v>317</v>
      </c>
      <c r="E78" s="121">
        <f>IF(E77-E61&gt;0,E77-E61,0)</f>
        <v>75734</v>
      </c>
      <c r="G78" s="531">
        <f>ROUND(C73*0.05+C73,0)</f>
        <v>86823</v>
      </c>
      <c r="H78" s="532" t="str">
        <f>CONCATENATE("Less ",E1-2," Expenditures + 5%")</f>
        <v>Less 2011 Expenditures + 5%</v>
      </c>
      <c r="I78" s="505"/>
      <c r="J78" s="505"/>
    </row>
    <row r="79" spans="2:11" x14ac:dyDescent="0.25">
      <c r="B79" s="230"/>
      <c r="C79" s="508" t="s">
        <v>699</v>
      </c>
      <c r="D79" s="789">
        <f>inputOth!$E$66</f>
        <v>0</v>
      </c>
      <c r="E79" s="351">
        <f>ROUND(IF(D79&gt;0,(E78*D79),0),0)</f>
        <v>0</v>
      </c>
      <c r="G79" s="529">
        <f>G76-G78</f>
        <v>-607</v>
      </c>
      <c r="H79" s="528" t="str">
        <f>CONCATENATE("Projected ",E1+1," carryover (est.)")</f>
        <v>Projected 2014 carryover (est.)</v>
      </c>
      <c r="I79" s="504"/>
      <c r="J79" s="777"/>
    </row>
    <row r="80" spans="2:11" ht="16.5" thickBot="1" x14ac:dyDescent="0.3">
      <c r="B80" s="86"/>
      <c r="C80" s="911" t="str">
        <f>CONCATENATE("Amount of  ",$E$1-1," Ad Valorem Tax")</f>
        <v>Amount of  2012 Ad Valorem Tax</v>
      </c>
      <c r="D80" s="912"/>
      <c r="E80" s="376">
        <f>E78+E79</f>
        <v>75734</v>
      </c>
      <c r="F80" s="790" t="str">
        <f>IF('Library Grant '!F33="","",IF('Library Grant '!F33="Qualify","Qualifies for State Library Grant","See 'Library Grant' tab"))</f>
        <v>Qualifies for State Library Grant</v>
      </c>
      <c r="G80" s="3"/>
      <c r="H80" s="3"/>
      <c r="I80" s="3"/>
    </row>
    <row r="81" spans="2:10" ht="16.5" thickTop="1" x14ac:dyDescent="0.2">
      <c r="B81" s="86"/>
      <c r="C81" s="452"/>
      <c r="D81" s="86"/>
      <c r="E81" s="86"/>
      <c r="G81" s="922" t="s">
        <v>920</v>
      </c>
      <c r="H81" s="923"/>
      <c r="I81" s="923"/>
      <c r="J81" s="924"/>
    </row>
    <row r="82" spans="2:10" x14ac:dyDescent="0.2">
      <c r="B82" s="199" t="s">
        <v>319</v>
      </c>
      <c r="C82" s="301">
        <v>9</v>
      </c>
      <c r="D82" s="86"/>
      <c r="E82" s="86"/>
      <c r="G82" s="730"/>
      <c r="H82" s="731"/>
      <c r="I82" s="732"/>
      <c r="J82" s="733"/>
    </row>
    <row r="83" spans="2:10" x14ac:dyDescent="0.2">
      <c r="G83" s="734">
        <f>summ!H17</f>
        <v>7.1040000000000001</v>
      </c>
      <c r="H83" s="731" t="str">
        <f>CONCATENATE("",E1," Fund Mill Rate")</f>
        <v>2013 Fund Mill Rate</v>
      </c>
      <c r="I83" s="732"/>
      <c r="J83" s="733"/>
    </row>
    <row r="84" spans="2:10" x14ac:dyDescent="0.2">
      <c r="G84" s="735">
        <f>summ!E17</f>
        <v>7.11</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1" spans="2:10" hidden="1" x14ac:dyDescent="0.2">
      <c r="C91" s="82" t="str">
        <f>IF(C33&gt;C35,"See Tab A","")</f>
        <v/>
      </c>
      <c r="D91" s="82" t="str">
        <f>IF(D33&gt;D35,"See Tab C","")</f>
        <v/>
      </c>
    </row>
    <row r="92" spans="2:10" hidden="1" x14ac:dyDescent="0.2">
      <c r="C92" s="82" t="str">
        <f>IF(C34&lt;0,"See Tab B","")</f>
        <v/>
      </c>
      <c r="D92" s="82" t="str">
        <f>IF(D34&lt;0,"See Tab D","")</f>
        <v/>
      </c>
    </row>
    <row r="93" spans="2:10" hidden="1" x14ac:dyDescent="0.2">
      <c r="C93" s="82" t="str">
        <f>IF(C73&gt;C75,"See Tab A","")</f>
        <v/>
      </c>
      <c r="D93" s="82" t="str">
        <f>IF(D73&gt;D75,"See Tab C","")</f>
        <v/>
      </c>
    </row>
    <row r="94" spans="2:10" hidden="1" x14ac:dyDescent="0.2">
      <c r="C94" s="82" t="str">
        <f>IF(C74&lt;0,"See Tab B","")</f>
        <v/>
      </c>
      <c r="D94" s="82" t="str">
        <f>IF(D74&lt;0,"See Tab D","")</f>
        <v/>
      </c>
    </row>
  </sheetData>
  <mergeCells count="12">
    <mergeCell ref="G81:J81"/>
    <mergeCell ref="G24:J24"/>
    <mergeCell ref="G31:J31"/>
    <mergeCell ref="G41:J41"/>
    <mergeCell ref="G64:J64"/>
    <mergeCell ref="G71:J71"/>
    <mergeCell ref="C76:D76"/>
    <mergeCell ref="C77:D77"/>
    <mergeCell ref="C80:D80"/>
    <mergeCell ref="C36:D36"/>
    <mergeCell ref="C37:D37"/>
    <mergeCell ref="C40:D40"/>
  </mergeCells>
  <phoneticPr fontId="9" type="noConversion"/>
  <conditionalFormatting sqref="E31">
    <cfRule type="cellIs" dxfId="314" priority="13" stopIfTrue="1" operator="greaterThan">
      <formula>$E$33*0.1</formula>
    </cfRule>
  </conditionalFormatting>
  <conditionalFormatting sqref="E36">
    <cfRule type="cellIs" dxfId="313" priority="14" stopIfTrue="1" operator="greaterThan">
      <formula>$E$33/0.95-$E$33</formula>
    </cfRule>
  </conditionalFormatting>
  <conditionalFormatting sqref="D18">
    <cfRule type="cellIs" dxfId="312" priority="15" stopIfTrue="1" operator="greaterThan">
      <formula>$D$20*0.1</formula>
    </cfRule>
  </conditionalFormatting>
  <conditionalFormatting sqref="C18">
    <cfRule type="cellIs" dxfId="311" priority="16" stopIfTrue="1" operator="greaterThan">
      <formula>$C$20*0.1</formula>
    </cfRule>
  </conditionalFormatting>
  <conditionalFormatting sqref="D31">
    <cfRule type="cellIs" dxfId="310" priority="17" stopIfTrue="1" operator="greaterThan">
      <formula>$D$33*0.1</formula>
    </cfRule>
  </conditionalFormatting>
  <conditionalFormatting sqref="D33">
    <cfRule type="cellIs" dxfId="309" priority="18" stopIfTrue="1" operator="greaterThan">
      <formula>$D$35</formula>
    </cfRule>
  </conditionalFormatting>
  <conditionalFormatting sqref="C31">
    <cfRule type="cellIs" dxfId="308" priority="19" stopIfTrue="1" operator="greaterThan">
      <formula>$C$33*0.1</formula>
    </cfRule>
  </conditionalFormatting>
  <conditionalFormatting sqref="C33">
    <cfRule type="cellIs" dxfId="307" priority="20" stopIfTrue="1" operator="greaterThan">
      <formula>$C$35</formula>
    </cfRule>
  </conditionalFormatting>
  <conditionalFormatting sqref="C34">
    <cfRule type="cellIs" dxfId="306" priority="21" stopIfTrue="1" operator="lessThan">
      <formula>0</formula>
    </cfRule>
  </conditionalFormatting>
  <conditionalFormatting sqref="D34">
    <cfRule type="cellIs" dxfId="305" priority="12" stopIfTrue="1" operator="lessThan">
      <formula>0</formula>
    </cfRule>
  </conditionalFormatting>
  <conditionalFormatting sqref="E18">
    <cfRule type="cellIs" dxfId="304" priority="25" stopIfTrue="1" operator="greaterThan">
      <formula>$E$20*0.1+$E$40</formula>
    </cfRule>
  </conditionalFormatting>
  <conditionalFormatting sqref="E71">
    <cfRule type="cellIs" dxfId="303" priority="11" stopIfTrue="1" operator="greaterThan">
      <formula>$E$73*0.1</formula>
    </cfRule>
  </conditionalFormatting>
  <conditionalFormatting sqref="E76">
    <cfRule type="cellIs" dxfId="302" priority="10" stopIfTrue="1" operator="greaterThan">
      <formula>$E$73/0.95-$E$73</formula>
    </cfRule>
  </conditionalFormatting>
  <conditionalFormatting sqref="D71">
    <cfRule type="cellIs" dxfId="301" priority="9" stopIfTrue="1" operator="greaterThan">
      <formula>$D$73*0.1</formula>
    </cfRule>
  </conditionalFormatting>
  <conditionalFormatting sqref="C71">
    <cfRule type="cellIs" dxfId="300" priority="8" stopIfTrue="1" operator="greaterThan">
      <formula>$C$73*0.1</formula>
    </cfRule>
  </conditionalFormatting>
  <conditionalFormatting sqref="D73">
    <cfRule type="cellIs" dxfId="299" priority="7" stopIfTrue="1" operator="greaterThan">
      <formula>$D$75</formula>
    </cfRule>
  </conditionalFormatting>
  <conditionalFormatting sqref="C73">
    <cfRule type="cellIs" dxfId="298" priority="6" stopIfTrue="1" operator="greaterThan">
      <formula>$C$75</formula>
    </cfRule>
  </conditionalFormatting>
  <conditionalFormatting sqref="C74">
    <cfRule type="cellIs" dxfId="297" priority="5" stopIfTrue="1" operator="lessThan">
      <formula>0</formula>
    </cfRule>
  </conditionalFormatting>
  <conditionalFormatting sqref="D58">
    <cfRule type="cellIs" dxfId="296" priority="4" stopIfTrue="1" operator="greaterThan">
      <formula>$D$60*0.1</formula>
    </cfRule>
  </conditionalFormatting>
  <conditionalFormatting sqref="C58">
    <cfRule type="cellIs" dxfId="295" priority="3" stopIfTrue="1" operator="greaterThan">
      <formula>$C$60*0.1</formula>
    </cfRule>
  </conditionalFormatting>
  <conditionalFormatting sqref="E58">
    <cfRule type="cellIs" dxfId="294" priority="2" stopIfTrue="1" operator="greaterThan">
      <formula>$E$60*0.1+$E$80</formula>
    </cfRule>
  </conditionalFormatting>
  <conditionalFormatting sqref="D74">
    <cfRule type="cellIs" dxfId="293" priority="1" stopIfTrue="1" operator="lessThan">
      <formula>0</formula>
    </cfRule>
  </conditionalFormatting>
  <pageMargins left="0.75" right="0.75" top="1" bottom="1" header="0.5" footer="0.5"/>
  <pageSetup scale="50" orientation="portrait" blackAndWhite="1" r:id="rId1"/>
  <headerFooter alignWithMargins="0">
    <oddHeader>&amp;RState of KansasCity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topLeftCell="A55" zoomScaleNormal="100" workbookViewId="0">
      <selection activeCell="M83" sqref="M83"/>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6</v>
      </c>
      <c r="C3" s="263"/>
      <c r="D3" s="263"/>
      <c r="E3" s="371"/>
    </row>
    <row r="4" spans="2:5" x14ac:dyDescent="0.2">
      <c r="B4" s="93" t="s">
        <v>301</v>
      </c>
      <c r="C4" s="633" t="s">
        <v>833</v>
      </c>
      <c r="D4" s="634" t="s">
        <v>834</v>
      </c>
      <c r="E4" s="206" t="s">
        <v>835</v>
      </c>
    </row>
    <row r="5" spans="2:5" x14ac:dyDescent="0.2">
      <c r="B5" s="579" t="str">
        <f>inputPrYr!B26</f>
        <v>Employee Benefit</v>
      </c>
      <c r="C5" s="454" t="str">
        <f>CONCATENATE("Actual for ",E1-2,"")</f>
        <v>Actual for 2011</v>
      </c>
      <c r="D5" s="454" t="str">
        <f>CONCATENATE("Estimate for ",E1-1,"")</f>
        <v>Estimate for 2012</v>
      </c>
      <c r="E5" s="272" t="str">
        <f>CONCATENATE("Year for ",E1,"")</f>
        <v>Year for 2013</v>
      </c>
    </row>
    <row r="6" spans="2:5" x14ac:dyDescent="0.2">
      <c r="B6" s="365" t="s">
        <v>60</v>
      </c>
      <c r="C6" s="446">
        <v>53481</v>
      </c>
      <c r="D6" s="451">
        <f>C34</f>
        <v>36326</v>
      </c>
      <c r="E6" s="351">
        <f>D34</f>
        <v>3353</v>
      </c>
    </row>
    <row r="7" spans="2:5" x14ac:dyDescent="0.2">
      <c r="B7" s="366" t="s">
        <v>62</v>
      </c>
      <c r="C7" s="220"/>
      <c r="D7" s="220"/>
      <c r="E7" s="126"/>
    </row>
    <row r="8" spans="2:5" x14ac:dyDescent="0.2">
      <c r="B8" s="169" t="s">
        <v>302</v>
      </c>
      <c r="C8" s="446">
        <v>250334</v>
      </c>
      <c r="D8" s="451">
        <f>IF(inputPrYr!H21&gt;0,inputPrYr!G26,inputPrYr!E26)</f>
        <v>307844</v>
      </c>
      <c r="E8" s="372" t="s">
        <v>290</v>
      </c>
    </row>
    <row r="9" spans="2:5" x14ac:dyDescent="0.2">
      <c r="B9" s="169" t="s">
        <v>303</v>
      </c>
      <c r="C9" s="446">
        <v>5672</v>
      </c>
      <c r="D9" s="446"/>
      <c r="E9" s="108"/>
    </row>
    <row r="10" spans="2:5" x14ac:dyDescent="0.2">
      <c r="B10" s="169" t="s">
        <v>304</v>
      </c>
      <c r="C10" s="446">
        <v>33393</v>
      </c>
      <c r="D10" s="446">
        <v>35246</v>
      </c>
      <c r="E10" s="351">
        <f>mvalloc!D11</f>
        <v>40840</v>
      </c>
    </row>
    <row r="11" spans="2:5" x14ac:dyDescent="0.2">
      <c r="B11" s="169" t="s">
        <v>305</v>
      </c>
      <c r="C11" s="446">
        <v>924</v>
      </c>
      <c r="D11" s="446">
        <v>946</v>
      </c>
      <c r="E11" s="351">
        <f>mvalloc!E11</f>
        <v>1274</v>
      </c>
    </row>
    <row r="12" spans="2:5" x14ac:dyDescent="0.2">
      <c r="B12" s="220" t="s">
        <v>38</v>
      </c>
      <c r="C12" s="446">
        <v>184</v>
      </c>
      <c r="D12" s="446">
        <v>291</v>
      </c>
      <c r="E12" s="351">
        <f>mvalloc!F11</f>
        <v>335</v>
      </c>
    </row>
    <row r="13" spans="2:5" x14ac:dyDescent="0.2">
      <c r="B13" s="353"/>
      <c r="C13" s="446"/>
      <c r="D13" s="446"/>
      <c r="E13" s="108"/>
    </row>
    <row r="14" spans="2:5" x14ac:dyDescent="0.2">
      <c r="B14" s="353"/>
      <c r="C14" s="446"/>
      <c r="D14" s="446"/>
      <c r="E14" s="108"/>
    </row>
    <row r="15" spans="2:5" x14ac:dyDescent="0.2">
      <c r="B15" s="353"/>
      <c r="C15" s="446"/>
      <c r="D15" s="446"/>
      <c r="E15" s="108"/>
    </row>
    <row r="16" spans="2:5" x14ac:dyDescent="0.2">
      <c r="B16" s="353"/>
      <c r="C16" s="446"/>
      <c r="D16" s="446"/>
      <c r="E16" s="108"/>
    </row>
    <row r="17" spans="2:10" x14ac:dyDescent="0.2">
      <c r="B17" s="367" t="s">
        <v>308</v>
      </c>
      <c r="C17" s="446"/>
      <c r="D17" s="446"/>
      <c r="E17" s="108"/>
    </row>
    <row r="18" spans="2:10" x14ac:dyDescent="0.2">
      <c r="B18" s="357" t="s">
        <v>198</v>
      </c>
      <c r="C18" s="446">
        <v>4292</v>
      </c>
      <c r="D18" s="446"/>
      <c r="E18" s="108"/>
    </row>
    <row r="19" spans="2:10" x14ac:dyDescent="0.2">
      <c r="B19" s="357" t="s">
        <v>693</v>
      </c>
      <c r="C19" s="447" t="str">
        <f>IF(C20*0.1&lt;C18,"Exceed 10% Rule","")</f>
        <v/>
      </c>
      <c r="D19" s="447" t="str">
        <f>IF(D20*0.1&lt;D18,"Exceed 10% Rule","")</f>
        <v/>
      </c>
      <c r="E19" s="384" t="str">
        <f>IF(E20*0.1+E40&lt;E18,"Exceed 10% Rule","")</f>
        <v/>
      </c>
    </row>
    <row r="20" spans="2:10" x14ac:dyDescent="0.2">
      <c r="B20" s="359" t="s">
        <v>309</v>
      </c>
      <c r="C20" s="450">
        <f>SUM(C8:C18)</f>
        <v>294799</v>
      </c>
      <c r="D20" s="450">
        <f>SUM(D8:D18)</f>
        <v>344327</v>
      </c>
      <c r="E20" s="361">
        <f>SUM(E8:E18)</f>
        <v>42449</v>
      </c>
    </row>
    <row r="21" spans="2:10" x14ac:dyDescent="0.2">
      <c r="B21" s="359" t="s">
        <v>310</v>
      </c>
      <c r="C21" s="448">
        <f>C6+C20</f>
        <v>348280</v>
      </c>
      <c r="D21" s="448">
        <f>D6+D20</f>
        <v>380653</v>
      </c>
      <c r="E21" s="121">
        <f>E6+E20</f>
        <v>45802</v>
      </c>
    </row>
    <row r="22" spans="2:10" x14ac:dyDescent="0.2">
      <c r="B22" s="169" t="s">
        <v>312</v>
      </c>
      <c r="C22" s="357"/>
      <c r="D22" s="357"/>
      <c r="E22" s="107"/>
    </row>
    <row r="23" spans="2:10" x14ac:dyDescent="0.2">
      <c r="B23" s="353" t="s">
        <v>1084</v>
      </c>
      <c r="C23" s="446">
        <v>51691</v>
      </c>
      <c r="D23" s="446">
        <v>60300</v>
      </c>
      <c r="E23" s="108">
        <v>55800</v>
      </c>
    </row>
    <row r="24" spans="2:10" x14ac:dyDescent="0.2">
      <c r="B24" s="353" t="s">
        <v>1085</v>
      </c>
      <c r="C24" s="446">
        <v>27110</v>
      </c>
      <c r="D24" s="446">
        <v>33000</v>
      </c>
      <c r="E24" s="108">
        <v>32500</v>
      </c>
      <c r="G24" s="925" t="str">
        <f>CONCATENATE("Desired Carryover Into ",E1+1,"")</f>
        <v>Desired Carryover Into 2014</v>
      </c>
      <c r="H24" s="920"/>
      <c r="I24" s="920"/>
      <c r="J24" s="921"/>
    </row>
    <row r="25" spans="2:10" x14ac:dyDescent="0.2">
      <c r="B25" s="353" t="s">
        <v>1086</v>
      </c>
      <c r="C25" s="446">
        <v>16489</v>
      </c>
      <c r="D25" s="446">
        <v>23000</v>
      </c>
      <c r="E25" s="108">
        <v>23000</v>
      </c>
      <c r="G25" s="746"/>
      <c r="H25" s="506"/>
      <c r="I25" s="747"/>
      <c r="J25" s="748"/>
    </row>
    <row r="26" spans="2:10" x14ac:dyDescent="0.2">
      <c r="B26" s="353" t="s">
        <v>1087</v>
      </c>
      <c r="C26" s="446">
        <v>53429</v>
      </c>
      <c r="D26" s="446">
        <v>53000</v>
      </c>
      <c r="E26" s="108">
        <v>62000</v>
      </c>
      <c r="G26" s="749" t="s">
        <v>700</v>
      </c>
      <c r="H26" s="747"/>
      <c r="I26" s="747"/>
      <c r="J26" s="750">
        <v>0</v>
      </c>
    </row>
    <row r="27" spans="2:10" x14ac:dyDescent="0.2">
      <c r="B27" s="353" t="s">
        <v>1088</v>
      </c>
      <c r="C27" s="446">
        <v>897</v>
      </c>
      <c r="D27" s="446">
        <v>2000</v>
      </c>
      <c r="E27" s="108">
        <v>2000</v>
      </c>
      <c r="G27" s="746" t="s">
        <v>701</v>
      </c>
      <c r="H27" s="506"/>
      <c r="I27" s="506"/>
      <c r="J27" s="767" t="str">
        <f>IF(J26=0,"",ROUND((J26+E40-G39)/inputOth!B14*1000,3)-G44)</f>
        <v/>
      </c>
    </row>
    <row r="28" spans="2:10" x14ac:dyDescent="0.2">
      <c r="B28" s="353" t="s">
        <v>1089</v>
      </c>
      <c r="C28" s="446">
        <v>162338</v>
      </c>
      <c r="D28" s="446">
        <v>206000</v>
      </c>
      <c r="E28" s="108">
        <v>203000</v>
      </c>
      <c r="G28" s="752" t="str">
        <f>CONCATENATE("",E1," Tot Exp/Non-Appr Must Be:")</f>
        <v>2013 Tot Exp/Non-Appr Must Be:</v>
      </c>
      <c r="H28" s="753"/>
      <c r="I28" s="754"/>
      <c r="J28" s="755">
        <f>IF(J26&gt;0,IF(E37&lt;E21,IF(J26=G39,E37,((J26-G39)*(1-D39))+E21),E37+(J26-G39)),0)</f>
        <v>0</v>
      </c>
    </row>
    <row r="29" spans="2:10" x14ac:dyDescent="0.2">
      <c r="B29" s="353"/>
      <c r="C29" s="446"/>
      <c r="D29" s="446"/>
      <c r="E29" s="108"/>
      <c r="G29" s="716" t="s">
        <v>919</v>
      </c>
      <c r="H29" s="756"/>
      <c r="I29" s="756"/>
      <c r="J29" s="718">
        <f>IF(J26&gt;0,J28-E37,0)</f>
        <v>0</v>
      </c>
    </row>
    <row r="30" spans="2:10" x14ac:dyDescent="0.25">
      <c r="B30" s="357" t="s">
        <v>197</v>
      </c>
      <c r="C30" s="446"/>
      <c r="D30" s="446"/>
      <c r="E30" s="121" t="str">
        <f>nhood!E9</f>
        <v/>
      </c>
      <c r="J30" s="3"/>
    </row>
    <row r="31" spans="2:10" x14ac:dyDescent="0.2">
      <c r="B31" s="357" t="s">
        <v>198</v>
      </c>
      <c r="C31" s="446"/>
      <c r="D31" s="446"/>
      <c r="E31" s="108"/>
      <c r="G31" s="925" t="str">
        <f>CONCATENATE("Projected Carryover Into ",E1+1,"")</f>
        <v>Projected Carryover Into 2014</v>
      </c>
      <c r="H31" s="927"/>
      <c r="I31" s="927"/>
      <c r="J31" s="929"/>
    </row>
    <row r="32" spans="2:10" x14ac:dyDescent="0.25">
      <c r="B32" s="357" t="s">
        <v>692</v>
      </c>
      <c r="C32" s="447" t="str">
        <f>IF(C33*0.1&lt;C31,"Exceed 10% Rule","")</f>
        <v/>
      </c>
      <c r="D32" s="447" t="str">
        <f>IF(D33*0.1&lt;D31,"Exceed 10% Rule","")</f>
        <v/>
      </c>
      <c r="E32" s="384" t="str">
        <f>IF(E33*0.1&lt;E31,"Exceed 10% Rule","")</f>
        <v/>
      </c>
      <c r="G32" s="746"/>
      <c r="H32" s="747"/>
      <c r="I32" s="747"/>
      <c r="J32" s="768"/>
    </row>
    <row r="33" spans="2:11" x14ac:dyDescent="0.25">
      <c r="B33" s="359" t="s">
        <v>316</v>
      </c>
      <c r="C33" s="450">
        <f>SUM(C23:C31)</f>
        <v>311954</v>
      </c>
      <c r="D33" s="450">
        <f>SUM(D23:D31)</f>
        <v>377300</v>
      </c>
      <c r="E33" s="361">
        <f>SUM(E23:E31)</f>
        <v>378300</v>
      </c>
      <c r="G33" s="769">
        <f>D34</f>
        <v>3353</v>
      </c>
      <c r="H33" s="731" t="str">
        <f>CONCATENATE("",E1-1," Ending Cash Balance (est.)")</f>
        <v>2012 Ending Cash Balance (est.)</v>
      </c>
      <c r="I33" s="770"/>
      <c r="J33" s="768"/>
    </row>
    <row r="34" spans="2:11" x14ac:dyDescent="0.25">
      <c r="B34" s="169" t="s">
        <v>61</v>
      </c>
      <c r="C34" s="448">
        <f>C21-C33</f>
        <v>36326</v>
      </c>
      <c r="D34" s="448">
        <f>D21-D33</f>
        <v>3353</v>
      </c>
      <c r="E34" s="372" t="s">
        <v>290</v>
      </c>
      <c r="G34" s="769">
        <f>E20</f>
        <v>42449</v>
      </c>
      <c r="H34" s="747" t="str">
        <f>CONCATENATE("",E1," Non-AV Receipts (est.)")</f>
        <v>2013 Non-AV Receipts (est.)</v>
      </c>
      <c r="I34" s="770"/>
      <c r="J34" s="768"/>
    </row>
    <row r="35" spans="2:11" x14ac:dyDescent="0.2">
      <c r="B35" s="199" t="str">
        <f>CONCATENATE("",E1-2,"/",E1-1," Budget Authority Amount:")</f>
        <v>2011/2012 Budget Authority Amount:</v>
      </c>
      <c r="C35" s="307">
        <f>inputOth!B84</f>
        <v>320900</v>
      </c>
      <c r="D35" s="307">
        <f>inputPrYr!D26</f>
        <v>377300</v>
      </c>
      <c r="E35" s="372" t="s">
        <v>290</v>
      </c>
      <c r="F35" s="373"/>
      <c r="G35" s="771">
        <f>IF(E39&gt;0,E38,E40)</f>
        <v>332498</v>
      </c>
      <c r="H35" s="747" t="str">
        <f>CONCATENATE("",E1," Ad Valorem Tax (est.)")</f>
        <v>2013 Ad Valorem Tax (est.)</v>
      </c>
      <c r="I35" s="770"/>
      <c r="J35" s="772"/>
      <c r="K35" s="762" t="str">
        <f>IF(G35=E40,"","Note: Does not include Delinquent Taxes")</f>
        <v/>
      </c>
    </row>
    <row r="36" spans="2:11" x14ac:dyDescent="0.25">
      <c r="B36" s="199"/>
      <c r="C36" s="913" t="s">
        <v>697</v>
      </c>
      <c r="D36" s="914"/>
      <c r="E36" s="108"/>
      <c r="F36" s="805" t="str">
        <f>IF(E33/0.95-E33&lt;E36,"Exceeds 5%","")</f>
        <v/>
      </c>
      <c r="G36" s="769">
        <f>SUM(G33:G35)</f>
        <v>378300</v>
      </c>
      <c r="H36" s="747" t="str">
        <f>CONCATENATE("Total ",E1," Resources Available")</f>
        <v>Total 2013 Resources Available</v>
      </c>
      <c r="I36" s="770"/>
      <c r="J36" s="768"/>
    </row>
    <row r="37" spans="2:11" x14ac:dyDescent="0.25">
      <c r="B37" s="558" t="str">
        <f>CONCATENATE(C91,"     ",D91)</f>
        <v xml:space="preserve">     </v>
      </c>
      <c r="C37" s="915" t="s">
        <v>698</v>
      </c>
      <c r="D37" s="916"/>
      <c r="E37" s="351">
        <f>E33+E36</f>
        <v>378300</v>
      </c>
      <c r="G37" s="773"/>
      <c r="H37" s="747"/>
      <c r="I37" s="747"/>
      <c r="J37" s="768"/>
    </row>
    <row r="38" spans="2:11" x14ac:dyDescent="0.25">
      <c r="B38" s="558" t="str">
        <f>CONCATENATE(C92,"     ",D92)</f>
        <v xml:space="preserve">     </v>
      </c>
      <c r="C38" s="363"/>
      <c r="D38" s="230" t="s">
        <v>317</v>
      </c>
      <c r="E38" s="121">
        <f>IF(E37-E21&gt;0,E37-E21,0)</f>
        <v>332498</v>
      </c>
      <c r="G38" s="771">
        <f>ROUND(C33*0.05+C33,0)</f>
        <v>327552</v>
      </c>
      <c r="H38" s="747" t="str">
        <f>CONCATENATE("Less ",E1-2," Expenditures + 5%")</f>
        <v>Less 2011 Expenditures + 5%</v>
      </c>
      <c r="I38" s="770"/>
      <c r="J38" s="768"/>
    </row>
    <row r="39" spans="2:11" x14ac:dyDescent="0.25">
      <c r="B39" s="230"/>
      <c r="C39" s="508" t="s">
        <v>699</v>
      </c>
      <c r="D39" s="789">
        <f>inputOth!$E$66</f>
        <v>0</v>
      </c>
      <c r="E39" s="351">
        <f>ROUND(IF(D39&gt;0,(E38*D39),0),0)</f>
        <v>0</v>
      </c>
      <c r="G39" s="774">
        <f>G36-G38</f>
        <v>50748</v>
      </c>
      <c r="H39" s="775" t="str">
        <f>CONCATENATE("Projected ",E1+1," carryover (est.)")</f>
        <v>Projected 2014 carryover (est.)</v>
      </c>
      <c r="I39" s="776"/>
      <c r="J39" s="777"/>
    </row>
    <row r="40" spans="2:11" ht="16.5" thickBot="1" x14ac:dyDescent="0.3">
      <c r="B40" s="230"/>
      <c r="C40" s="911" t="str">
        <f>CONCATENATE("Amount of  ",$E$1-1," Ad Valorem Tax")</f>
        <v>Amount of  2012 Ad Valorem Tax</v>
      </c>
      <c r="D40" s="912"/>
      <c r="E40" s="376">
        <f>E38+E39</f>
        <v>332498</v>
      </c>
      <c r="G40" s="3"/>
      <c r="H40" s="3"/>
      <c r="I40" s="3"/>
      <c r="J40" s="3"/>
    </row>
    <row r="41" spans="2:11" ht="16.5" thickTop="1" x14ac:dyDescent="0.2">
      <c r="B41" s="86"/>
      <c r="C41" s="911"/>
      <c r="D41" s="930"/>
      <c r="E41" s="115"/>
      <c r="G41" s="922" t="s">
        <v>920</v>
      </c>
      <c r="H41" s="923"/>
      <c r="I41" s="923"/>
      <c r="J41" s="924"/>
    </row>
    <row r="42" spans="2:11" x14ac:dyDescent="0.2">
      <c r="B42" s="93"/>
      <c r="C42" s="295"/>
      <c r="D42" s="295"/>
      <c r="E42" s="295"/>
      <c r="G42" s="730"/>
      <c r="H42" s="731"/>
      <c r="I42" s="732"/>
      <c r="J42" s="733"/>
    </row>
    <row r="43" spans="2:11" x14ac:dyDescent="0.2">
      <c r="B43" s="93" t="s">
        <v>301</v>
      </c>
      <c r="C43" s="633" t="s">
        <v>833</v>
      </c>
      <c r="D43" s="634" t="s">
        <v>836</v>
      </c>
      <c r="E43" s="206" t="s">
        <v>835</v>
      </c>
      <c r="G43" s="734">
        <f>summ!H18</f>
        <v>31.187000000000001</v>
      </c>
      <c r="H43" s="731" t="str">
        <f>CONCATENATE("",E1," Fund Mill Rate")</f>
        <v>2013 Fund Mill Rate</v>
      </c>
      <c r="I43" s="732"/>
      <c r="J43" s="733"/>
    </row>
    <row r="44" spans="2:11" x14ac:dyDescent="0.2">
      <c r="B44" s="578" t="str">
        <f>(inputPrYr!B27)</f>
        <v>Hospital</v>
      </c>
      <c r="C44" s="454" t="str">
        <f>C5</f>
        <v>Actual for 2011</v>
      </c>
      <c r="D44" s="454" t="str">
        <f>D5</f>
        <v>Estimate for 2012</v>
      </c>
      <c r="E44" s="272" t="str">
        <f>E5</f>
        <v>Year for 2013</v>
      </c>
      <c r="G44" s="735">
        <f>summ!E18</f>
        <v>28.797000000000001</v>
      </c>
      <c r="H44" s="731" t="str">
        <f>CONCATENATE("",E1-1," Fund Mill Rate")</f>
        <v>2012 Fund Mill Rate</v>
      </c>
      <c r="I44" s="732"/>
      <c r="J44" s="733"/>
    </row>
    <row r="45" spans="2:11" x14ac:dyDescent="0.2">
      <c r="B45" s="365" t="s">
        <v>60</v>
      </c>
      <c r="C45" s="446">
        <v>0</v>
      </c>
      <c r="D45" s="451">
        <f>C74</f>
        <v>0</v>
      </c>
      <c r="E45" s="351">
        <f>D74</f>
        <v>0</v>
      </c>
      <c r="G45" s="736">
        <f>summ!H52</f>
        <v>66.711000000000013</v>
      </c>
      <c r="H45" s="731" t="str">
        <f>CONCATENATE("Total ",E1," Mill Rate")</f>
        <v>Total 2013 Mill Rate</v>
      </c>
      <c r="I45" s="732"/>
      <c r="J45" s="733"/>
    </row>
    <row r="46" spans="2:11" x14ac:dyDescent="0.2">
      <c r="B46" s="365" t="s">
        <v>62</v>
      </c>
      <c r="C46" s="220"/>
      <c r="D46" s="220"/>
      <c r="E46" s="126"/>
      <c r="G46" s="735">
        <f>summ!E52</f>
        <v>66.711000000000013</v>
      </c>
      <c r="H46" s="737" t="str">
        <f>CONCATENATE("Total ",E1-1," Mill Rate")</f>
        <v>Total 2012 Mill Rate</v>
      </c>
      <c r="I46" s="738"/>
      <c r="J46" s="739"/>
    </row>
    <row r="47" spans="2:11" x14ac:dyDescent="0.2">
      <c r="B47" s="169" t="s">
        <v>302</v>
      </c>
      <c r="C47" s="446">
        <v>4997</v>
      </c>
      <c r="D47" s="451">
        <f>IF(inputPrYr!H21&gt;0,inputPrYr!G27,inputPrYr!E27)</f>
        <v>5426</v>
      </c>
      <c r="E47" s="372" t="s">
        <v>290</v>
      </c>
    </row>
    <row r="48" spans="2:11" x14ac:dyDescent="0.2">
      <c r="B48" s="169" t="s">
        <v>303</v>
      </c>
      <c r="C48" s="446">
        <v>125</v>
      </c>
      <c r="D48" s="446"/>
      <c r="E48" s="108"/>
    </row>
    <row r="49" spans="2:10" x14ac:dyDescent="0.2">
      <c r="B49" s="169" t="s">
        <v>304</v>
      </c>
      <c r="C49" s="446">
        <v>747</v>
      </c>
      <c r="D49" s="446">
        <v>704</v>
      </c>
      <c r="E49" s="351">
        <f>mvalloc!D12</f>
        <v>720</v>
      </c>
    </row>
    <row r="50" spans="2:10" x14ac:dyDescent="0.2">
      <c r="B50" s="169" t="s">
        <v>305</v>
      </c>
      <c r="C50" s="446">
        <v>21</v>
      </c>
      <c r="D50" s="446">
        <v>19</v>
      </c>
      <c r="E50" s="351">
        <f>mvalloc!E12</f>
        <v>22</v>
      </c>
    </row>
    <row r="51" spans="2:10" x14ac:dyDescent="0.2">
      <c r="B51" s="220" t="s">
        <v>38</v>
      </c>
      <c r="C51" s="446">
        <v>5</v>
      </c>
      <c r="D51" s="446">
        <v>6</v>
      </c>
      <c r="E51" s="351">
        <f>mvalloc!F12</f>
        <v>6</v>
      </c>
    </row>
    <row r="52" spans="2:10" x14ac:dyDescent="0.2">
      <c r="B52" s="353"/>
      <c r="C52" s="446"/>
      <c r="D52" s="446"/>
      <c r="E52" s="108"/>
    </row>
    <row r="53" spans="2:10" x14ac:dyDescent="0.2">
      <c r="B53" s="353"/>
      <c r="C53" s="446"/>
      <c r="D53" s="446"/>
      <c r="E53" s="108"/>
    </row>
    <row r="54" spans="2:10" x14ac:dyDescent="0.2">
      <c r="B54" s="353"/>
      <c r="C54" s="446"/>
      <c r="D54" s="446"/>
      <c r="E54" s="108"/>
    </row>
    <row r="55" spans="2:10" x14ac:dyDescent="0.2">
      <c r="B55" s="353"/>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693</v>
      </c>
      <c r="C59" s="447" t="str">
        <f>IF(C60*0.1&lt;C58,"Exceed 10% Rule","")</f>
        <v/>
      </c>
      <c r="D59" s="447" t="str">
        <f>IF(D60*0.1&lt;D58,"Exceed 10% Rule","")</f>
        <v/>
      </c>
      <c r="E59" s="384" t="str">
        <f>IF(E60*0.1+E80&lt;E58,"Exceed 10% Rule","")</f>
        <v/>
      </c>
    </row>
    <row r="60" spans="2:10" x14ac:dyDescent="0.2">
      <c r="B60" s="359" t="s">
        <v>309</v>
      </c>
      <c r="C60" s="450">
        <f>SUM(C47:C58)</f>
        <v>5895</v>
      </c>
      <c r="D60" s="450">
        <f>SUM(D47:D58)</f>
        <v>6155</v>
      </c>
      <c r="E60" s="361">
        <f>SUM(E47:E58)</f>
        <v>748</v>
      </c>
    </row>
    <row r="61" spans="2:10" x14ac:dyDescent="0.2">
      <c r="B61" s="359" t="s">
        <v>310</v>
      </c>
      <c r="C61" s="450">
        <f>C45+C60</f>
        <v>5895</v>
      </c>
      <c r="D61" s="450">
        <f>D45+D60</f>
        <v>6155</v>
      </c>
      <c r="E61" s="361">
        <f>E45+E60</f>
        <v>748</v>
      </c>
    </row>
    <row r="62" spans="2:10" x14ac:dyDescent="0.2">
      <c r="B62" s="169" t="s">
        <v>312</v>
      </c>
      <c r="C62" s="357"/>
      <c r="D62" s="357"/>
      <c r="E62" s="107"/>
    </row>
    <row r="63" spans="2:10" x14ac:dyDescent="0.2">
      <c r="B63" s="353" t="s">
        <v>1090</v>
      </c>
      <c r="C63" s="446">
        <v>5895</v>
      </c>
      <c r="D63" s="446">
        <v>6155</v>
      </c>
      <c r="E63" s="108">
        <v>31250</v>
      </c>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nhood!E10</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692</v>
      </c>
      <c r="C72" s="447" t="str">
        <f>IF(C73*0.1&lt;C71,"Exceed 10% Rule","")</f>
        <v/>
      </c>
      <c r="D72" s="447" t="str">
        <f>IF(D73*0.1&lt;D71,"Exceed 10% Rule","")</f>
        <v/>
      </c>
      <c r="E72" s="384" t="str">
        <f>IF(E73*0.1&lt;E71,"Exceed 10% Rule","")</f>
        <v/>
      </c>
      <c r="G72" s="507"/>
      <c r="H72" s="506"/>
      <c r="I72" s="506"/>
      <c r="J72" s="505"/>
    </row>
    <row r="73" spans="2:11" x14ac:dyDescent="0.2">
      <c r="B73" s="375" t="s">
        <v>316</v>
      </c>
      <c r="C73" s="450">
        <f>SUM(C63:C71)</f>
        <v>5895</v>
      </c>
      <c r="D73" s="450">
        <f>SUM(D63:D71)</f>
        <v>6155</v>
      </c>
      <c r="E73" s="361">
        <f>SUM(E63:E71)</f>
        <v>31250</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748</v>
      </c>
      <c r="H74" s="747" t="str">
        <f>CONCATENATE("",E1," Non-AV Receipts (est.)")</f>
        <v>2013 Non-AV Receipts (est.)</v>
      </c>
      <c r="I74" s="770"/>
      <c r="J74" s="505"/>
    </row>
    <row r="75" spans="2:11" x14ac:dyDescent="0.2">
      <c r="B75" s="199" t="str">
        <f>CONCATENATE("",E1-2,"/",E1-1," Budget Authority Amount:")</f>
        <v>2011/2012 Budget Authority Amount:</v>
      </c>
      <c r="C75" s="307">
        <f>inputOth!B85</f>
        <v>6040</v>
      </c>
      <c r="D75" s="307">
        <f>inputPrYr!D27</f>
        <v>6155</v>
      </c>
      <c r="E75" s="372" t="s">
        <v>290</v>
      </c>
      <c r="F75" s="373"/>
      <c r="G75" s="771">
        <f>IF(D79&gt;0,E78,E80)</f>
        <v>30502</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31250</v>
      </c>
      <c r="H76" s="747" t="str">
        <f>CONCATENATE("Total ",E1," Resources Available")</f>
        <v>Total 2013 Resources Available</v>
      </c>
      <c r="I76" s="505"/>
      <c r="J76" s="505"/>
    </row>
    <row r="77" spans="2:11" x14ac:dyDescent="0.2">
      <c r="B77" s="558" t="str">
        <f>CONCATENATE(C93,"     ",D93)</f>
        <v xml:space="preserve">     </v>
      </c>
      <c r="C77" s="915" t="s">
        <v>698</v>
      </c>
      <c r="D77" s="916"/>
      <c r="E77" s="351">
        <f>E73+E76</f>
        <v>31250</v>
      </c>
      <c r="G77" s="530"/>
      <c r="H77" s="532"/>
      <c r="I77" s="506"/>
      <c r="J77" s="505"/>
    </row>
    <row r="78" spans="2:11" x14ac:dyDescent="0.2">
      <c r="B78" s="558" t="str">
        <f>CONCATENATE(C94,"     ",D94)</f>
        <v xml:space="preserve">     </v>
      </c>
      <c r="C78" s="363"/>
      <c r="D78" s="230" t="s">
        <v>317</v>
      </c>
      <c r="E78" s="121">
        <f>IF(E77-E61&gt;0,E77-E61,0)</f>
        <v>30502</v>
      </c>
      <c r="G78" s="531">
        <f>ROUND(C73*0.05+C73,0)</f>
        <v>6190</v>
      </c>
      <c r="H78" s="532" t="str">
        <f>CONCATENATE("Less ",E1-2," Expenditures + 5%")</f>
        <v>Less 2011 Expenditures + 5%</v>
      </c>
      <c r="I78" s="505"/>
      <c r="J78" s="505"/>
    </row>
    <row r="79" spans="2:11" x14ac:dyDescent="0.25">
      <c r="B79" s="230"/>
      <c r="C79" s="508" t="s">
        <v>699</v>
      </c>
      <c r="D79" s="789">
        <f>inputOth!$E$66</f>
        <v>0</v>
      </c>
      <c r="E79" s="351">
        <f>ROUND(IF(D79&gt;0,(E78*D79),0),0)</f>
        <v>0</v>
      </c>
      <c r="G79" s="529">
        <f>G76-G78</f>
        <v>25060</v>
      </c>
      <c r="H79" s="528" t="str">
        <f>CONCATENATE("Projected ",E1+1," carryover (est.)")</f>
        <v>Projected 2014 carryover (est.)</v>
      </c>
      <c r="I79" s="504"/>
      <c r="J79" s="777"/>
    </row>
    <row r="80" spans="2:11" ht="16.5" thickBot="1" x14ac:dyDescent="0.3">
      <c r="B80" s="86"/>
      <c r="C80" s="911" t="str">
        <f>CONCATENATE("Amount of  ",$E$1-1," Ad Valorem Tax")</f>
        <v>Amount of  2012 Ad Valorem Tax</v>
      </c>
      <c r="D80" s="912"/>
      <c r="E80" s="376">
        <f>E78+E79</f>
        <v>30502</v>
      </c>
      <c r="G80" s="3"/>
      <c r="H80" s="3"/>
      <c r="I80" s="3"/>
    </row>
    <row r="81" spans="2:10" ht="16.5" thickTop="1" x14ac:dyDescent="0.2">
      <c r="B81" s="86"/>
      <c r="C81" s="452"/>
      <c r="D81" s="86"/>
      <c r="E81" s="86"/>
      <c r="G81" s="922" t="s">
        <v>920</v>
      </c>
      <c r="H81" s="923"/>
      <c r="I81" s="923"/>
      <c r="J81" s="924"/>
    </row>
    <row r="82" spans="2:10" x14ac:dyDescent="0.2">
      <c r="B82" s="199" t="s">
        <v>319</v>
      </c>
      <c r="C82" s="301">
        <v>10</v>
      </c>
      <c r="D82" s="86"/>
      <c r="E82" s="86"/>
      <c r="G82" s="730"/>
      <c r="H82" s="731"/>
      <c r="I82" s="732"/>
      <c r="J82" s="733"/>
    </row>
    <row r="83" spans="2:10" x14ac:dyDescent="0.2">
      <c r="B83" s="69"/>
      <c r="G83" s="734">
        <f>summ!H19</f>
        <v>2.8610000000000002</v>
      </c>
      <c r="H83" s="731" t="str">
        <f>CONCATENATE("",E1," Fund Mill Rate")</f>
        <v>2013 Fund Mill Rate</v>
      </c>
      <c r="I83" s="732"/>
      <c r="J83" s="733"/>
    </row>
    <row r="84" spans="2:10" x14ac:dyDescent="0.2">
      <c r="G84" s="735">
        <f>summ!E19</f>
        <v>0.50700000000000001</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1" spans="2:10" hidden="1" x14ac:dyDescent="0.2">
      <c r="C91" s="82" t="str">
        <f>IF(C33&gt;C35,"See Tab A","")</f>
        <v/>
      </c>
      <c r="D91" s="82" t="str">
        <f>IF(D33&gt;D35,"See Tab C","")</f>
        <v/>
      </c>
    </row>
    <row r="92" spans="2:10" hidden="1" x14ac:dyDescent="0.2">
      <c r="C92" s="82" t="str">
        <f>IF(C34&lt;0,"See Tab B","")</f>
        <v/>
      </c>
      <c r="D92" s="82" t="str">
        <f>IF(D34&lt;0,"See Tab D","")</f>
        <v/>
      </c>
    </row>
    <row r="93" spans="2:10" hidden="1" x14ac:dyDescent="0.2">
      <c r="C93" s="82" t="str">
        <f>IF(C73&gt;C75,"See Tab A","")</f>
        <v/>
      </c>
      <c r="D93" s="82" t="str">
        <f>IF(D73&gt;D75,"See Tab C","")</f>
        <v/>
      </c>
    </row>
    <row r="94" spans="2:10" hidden="1" x14ac:dyDescent="0.2">
      <c r="C94" s="82" t="str">
        <f>IF(C74&lt;0,"See Tab B","")</f>
        <v/>
      </c>
      <c r="D94" s="82" t="str">
        <f>IF(D74&lt;0,"See Tab D","")</f>
        <v/>
      </c>
    </row>
  </sheetData>
  <sheetProtection sheet="1"/>
  <mergeCells count="13">
    <mergeCell ref="G81:J81"/>
    <mergeCell ref="G24:J24"/>
    <mergeCell ref="G31:J31"/>
    <mergeCell ref="G41:J41"/>
    <mergeCell ref="G64:J64"/>
    <mergeCell ref="G71:J71"/>
    <mergeCell ref="C36:D36"/>
    <mergeCell ref="C37:D37"/>
    <mergeCell ref="C40:D40"/>
    <mergeCell ref="C80:D80"/>
    <mergeCell ref="C41:D41"/>
    <mergeCell ref="C76:D76"/>
    <mergeCell ref="C77:D77"/>
  </mergeCells>
  <phoneticPr fontId="0" type="noConversion"/>
  <conditionalFormatting sqref="E71">
    <cfRule type="cellIs" dxfId="292" priority="3" stopIfTrue="1" operator="greaterThan">
      <formula>$E$73*0.1</formula>
    </cfRule>
  </conditionalFormatting>
  <conditionalFormatting sqref="E31">
    <cfRule type="cellIs" dxfId="291" priority="4" stopIfTrue="1" operator="greaterThan">
      <formula>$E$33*0.1</formula>
    </cfRule>
  </conditionalFormatting>
  <conditionalFormatting sqref="E36">
    <cfRule type="cellIs" dxfId="290" priority="5" stopIfTrue="1" operator="greaterThan">
      <formula>$E$33/0.95-$E$33</formula>
    </cfRule>
  </conditionalFormatting>
  <conditionalFormatting sqref="E76">
    <cfRule type="cellIs" dxfId="289" priority="6" stopIfTrue="1" operator="greaterThan">
      <formula>$E$73/0.95-$E$73</formula>
    </cfRule>
  </conditionalFormatting>
  <conditionalFormatting sqref="D71">
    <cfRule type="cellIs" dxfId="288" priority="7" stopIfTrue="1" operator="greaterThan">
      <formula>$D$73*0.1</formula>
    </cfRule>
  </conditionalFormatting>
  <conditionalFormatting sqref="C71">
    <cfRule type="cellIs" dxfId="287" priority="8" stopIfTrue="1" operator="greaterThan">
      <formula>$C$73*0.1</formula>
    </cfRule>
  </conditionalFormatting>
  <conditionalFormatting sqref="D73">
    <cfRule type="cellIs" dxfId="286" priority="9" stopIfTrue="1" operator="greaterThan">
      <formula>$D$75</formula>
    </cfRule>
  </conditionalFormatting>
  <conditionalFormatting sqref="C73">
    <cfRule type="cellIs" dxfId="285" priority="10" stopIfTrue="1" operator="greaterThan">
      <formula>$C$75</formula>
    </cfRule>
  </conditionalFormatting>
  <conditionalFormatting sqref="C74 C34">
    <cfRule type="cellIs" dxfId="284" priority="11" stopIfTrue="1" operator="lessThan">
      <formula>0</formula>
    </cfRule>
  </conditionalFormatting>
  <conditionalFormatting sqref="D58">
    <cfRule type="cellIs" dxfId="283" priority="12" stopIfTrue="1" operator="greaterThan">
      <formula>$D$60*0.1</formula>
    </cfRule>
  </conditionalFormatting>
  <conditionalFormatting sqref="C58">
    <cfRule type="cellIs" dxfId="282" priority="13" stopIfTrue="1" operator="greaterThan">
      <formula>$C$60*0.1</formula>
    </cfRule>
  </conditionalFormatting>
  <conditionalFormatting sqref="D31">
    <cfRule type="cellIs" dxfId="281" priority="14" stopIfTrue="1" operator="greaterThan">
      <formula>$D$33*0.1</formula>
    </cfRule>
  </conditionalFormatting>
  <conditionalFormatting sqref="C31">
    <cfRule type="cellIs" dxfId="280" priority="15" stopIfTrue="1" operator="greaterThan">
      <formula>$C$33*0.1</formula>
    </cfRule>
  </conditionalFormatting>
  <conditionalFormatting sqref="D33">
    <cfRule type="cellIs" dxfId="279" priority="16" stopIfTrue="1" operator="greaterThan">
      <formula>$D$35</formula>
    </cfRule>
  </conditionalFormatting>
  <conditionalFormatting sqref="C33">
    <cfRule type="cellIs" dxfId="278" priority="17" stopIfTrue="1" operator="greaterThan">
      <formula>$C$35</formula>
    </cfRule>
  </conditionalFormatting>
  <conditionalFormatting sqref="D18">
    <cfRule type="cellIs" dxfId="277" priority="18" stopIfTrue="1" operator="greaterThan">
      <formula>$D$20*0.1</formula>
    </cfRule>
  </conditionalFormatting>
  <conditionalFormatting sqref="C18">
    <cfRule type="cellIs" dxfId="276" priority="19" stopIfTrue="1" operator="greaterThan">
      <formula>$C$20*0.1</formula>
    </cfRule>
  </conditionalFormatting>
  <conditionalFormatting sqref="E18">
    <cfRule type="cellIs" dxfId="275" priority="20" stopIfTrue="1" operator="greaterThan">
      <formula>$E$20*0.1+$E$40</formula>
    </cfRule>
  </conditionalFormatting>
  <conditionalFormatting sqref="E58">
    <cfRule type="cellIs" dxfId="274" priority="21" stopIfTrue="1" operator="greaterThan">
      <formula>$E$60*0.1+$E$80</formula>
    </cfRule>
  </conditionalFormatting>
  <conditionalFormatting sqref="D74 D34">
    <cfRule type="cellIs" dxfId="273"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zoomScaleNormal="100" workbookViewId="0">
      <selection activeCell="D47" sqref="D47"/>
    </sheetView>
  </sheetViews>
  <sheetFormatPr defaultRowHeight="15.75" x14ac:dyDescent="0.2"/>
  <cols>
    <col min="1" max="1" width="2.44140625" style="82" customWidth="1"/>
    <col min="2" max="2" width="31.109375" style="82" customWidth="1"/>
    <col min="3" max="4" width="15.77734375" style="82" customWidth="1"/>
    <col min="5" max="5" width="16.4414062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6</v>
      </c>
      <c r="C3" s="263"/>
      <c r="D3" s="263"/>
      <c r="E3" s="371"/>
    </row>
    <row r="4" spans="2:5" x14ac:dyDescent="0.2">
      <c r="B4" s="93" t="s">
        <v>301</v>
      </c>
      <c r="C4" s="633" t="s">
        <v>833</v>
      </c>
      <c r="D4" s="634" t="s">
        <v>834</v>
      </c>
      <c r="E4" s="206" t="s">
        <v>835</v>
      </c>
    </row>
    <row r="5" spans="2:5" x14ac:dyDescent="0.2">
      <c r="B5" s="579">
        <f>inputPrYr!B28</f>
        <v>0</v>
      </c>
      <c r="C5" s="454" t="str">
        <f>CONCATENATE("Actual for ",E1-2,"")</f>
        <v>Actual for 2011</v>
      </c>
      <c r="D5" s="454" t="str">
        <f>CONCATENATE("Estimate for ",E1-1,"")</f>
        <v>Estimate for 2012</v>
      </c>
      <c r="E5" s="272" t="str">
        <f>CONCATENATE("Year for ",E1,"")</f>
        <v>Year for 2013</v>
      </c>
    </row>
    <row r="6" spans="2:5" x14ac:dyDescent="0.2">
      <c r="B6" s="365" t="s">
        <v>60</v>
      </c>
      <c r="C6" s="446"/>
      <c r="D6" s="451">
        <f>C34</f>
        <v>0</v>
      </c>
      <c r="E6" s="351">
        <f>D34</f>
        <v>0</v>
      </c>
    </row>
    <row r="7" spans="2:5" x14ac:dyDescent="0.2">
      <c r="B7" s="366" t="s">
        <v>62</v>
      </c>
      <c r="C7" s="451"/>
      <c r="D7" s="451"/>
      <c r="E7" s="351"/>
    </row>
    <row r="8" spans="2:5" x14ac:dyDescent="0.2">
      <c r="B8" s="169" t="s">
        <v>302</v>
      </c>
      <c r="C8" s="446"/>
      <c r="D8" s="451">
        <f>IF(inputPrYr!H21&gt;0,inputPrYr!G28,inputPrYr!E28)</f>
        <v>0</v>
      </c>
      <c r="E8" s="372" t="s">
        <v>290</v>
      </c>
    </row>
    <row r="9" spans="2:5" x14ac:dyDescent="0.2">
      <c r="B9" s="169" t="s">
        <v>303</v>
      </c>
      <c r="C9" s="446"/>
      <c r="D9" s="446"/>
      <c r="E9" s="108"/>
    </row>
    <row r="10" spans="2:5" x14ac:dyDescent="0.2">
      <c r="B10" s="169" t="s">
        <v>304</v>
      </c>
      <c r="C10" s="446"/>
      <c r="D10" s="446"/>
      <c r="E10" s="351" t="str">
        <f>mvalloc!D13</f>
        <v xml:space="preserve">  </v>
      </c>
    </row>
    <row r="11" spans="2:5" x14ac:dyDescent="0.2">
      <c r="B11" s="169" t="s">
        <v>305</v>
      </c>
      <c r="C11" s="446"/>
      <c r="D11" s="446"/>
      <c r="E11" s="351" t="str">
        <f>mvalloc!E13</f>
        <v xml:space="preserve"> </v>
      </c>
    </row>
    <row r="12" spans="2:5" x14ac:dyDescent="0.2">
      <c r="B12" s="220" t="s">
        <v>38</v>
      </c>
      <c r="C12" s="446"/>
      <c r="D12" s="446"/>
      <c r="E12" s="351" t="str">
        <f>mvalloc!F13</f>
        <v xml:space="preserve"> </v>
      </c>
    </row>
    <row r="13" spans="2:5" x14ac:dyDescent="0.2">
      <c r="B13" s="353"/>
      <c r="C13" s="446"/>
      <c r="D13" s="446"/>
      <c r="E13" s="108"/>
    </row>
    <row r="14" spans="2:5" x14ac:dyDescent="0.2">
      <c r="B14" s="353"/>
      <c r="C14" s="446"/>
      <c r="D14" s="446"/>
      <c r="E14" s="108"/>
    </row>
    <row r="15" spans="2:5" x14ac:dyDescent="0.2">
      <c r="B15" s="353"/>
      <c r="C15" s="446"/>
      <c r="D15" s="446"/>
      <c r="E15" s="108"/>
    </row>
    <row r="16" spans="2:5" x14ac:dyDescent="0.2">
      <c r="B16" s="353"/>
      <c r="C16" s="446"/>
      <c r="D16" s="446"/>
      <c r="E16" s="108"/>
    </row>
    <row r="17" spans="2:10" x14ac:dyDescent="0.2">
      <c r="B17" s="367" t="s">
        <v>308</v>
      </c>
      <c r="C17" s="446"/>
      <c r="D17" s="446"/>
      <c r="E17" s="108"/>
    </row>
    <row r="18" spans="2:10" x14ac:dyDescent="0.2">
      <c r="B18" s="357" t="s">
        <v>198</v>
      </c>
      <c r="C18" s="446"/>
      <c r="D18" s="446"/>
      <c r="E18" s="108"/>
    </row>
    <row r="19" spans="2:10" x14ac:dyDescent="0.2">
      <c r="B19" s="357" t="s">
        <v>200</v>
      </c>
      <c r="C19" s="447" t="str">
        <f>IF(C20*0.1&lt;C18,"Exceed 10% Rule","")</f>
        <v/>
      </c>
      <c r="D19" s="447" t="str">
        <f>IF(D20*0.1&lt;D18,"Exceed 10% Rule","")</f>
        <v/>
      </c>
      <c r="E19" s="384" t="str">
        <f>IF(E20*0.1+E40&lt;E18,"Exceed 10% Rule","")</f>
        <v/>
      </c>
    </row>
    <row r="20" spans="2:10" x14ac:dyDescent="0.2">
      <c r="B20" s="359" t="s">
        <v>309</v>
      </c>
      <c r="C20" s="450">
        <f>SUM(C8:C18)</f>
        <v>0</v>
      </c>
      <c r="D20" s="450">
        <f>SUM(D8:D18)</f>
        <v>0</v>
      </c>
      <c r="E20" s="361">
        <f>SUM(E8:E18)</f>
        <v>0</v>
      </c>
    </row>
    <row r="21" spans="2:10" x14ac:dyDescent="0.2">
      <c r="B21" s="359" t="s">
        <v>310</v>
      </c>
      <c r="C21" s="450">
        <f>C6+C20</f>
        <v>0</v>
      </c>
      <c r="D21" s="450">
        <f>D6+D20</f>
        <v>0</v>
      </c>
      <c r="E21" s="361">
        <f>E6+E20</f>
        <v>0</v>
      </c>
    </row>
    <row r="22" spans="2:10" x14ac:dyDescent="0.2">
      <c r="B22" s="169" t="s">
        <v>312</v>
      </c>
      <c r="C22" s="357"/>
      <c r="D22" s="357"/>
      <c r="E22" s="107"/>
      <c r="F22" s="374"/>
    </row>
    <row r="23" spans="2:10" x14ac:dyDescent="0.2">
      <c r="B23" s="355"/>
      <c r="C23" s="446"/>
      <c r="D23" s="446"/>
      <c r="E23" s="117"/>
    </row>
    <row r="24" spans="2:10" x14ac:dyDescent="0.2">
      <c r="B24" s="353"/>
      <c r="C24" s="446"/>
      <c r="D24" s="446"/>
      <c r="E24" s="108"/>
      <c r="G24" s="925" t="str">
        <f>CONCATENATE("Desired Carryover Into ",E1+1,"")</f>
        <v>Desired Carryover Into 2014</v>
      </c>
      <c r="H24" s="920"/>
      <c r="I24" s="920"/>
      <c r="J24" s="921"/>
    </row>
    <row r="25" spans="2:10" x14ac:dyDescent="0.2">
      <c r="B25" s="353"/>
      <c r="C25" s="446"/>
      <c r="D25" s="446"/>
      <c r="E25" s="108"/>
      <c r="G25" s="746"/>
      <c r="H25" s="506"/>
      <c r="I25" s="747"/>
      <c r="J25" s="748"/>
    </row>
    <row r="26" spans="2:10" x14ac:dyDescent="0.2">
      <c r="B26" s="353"/>
      <c r="C26" s="446"/>
      <c r="D26" s="446"/>
      <c r="E26" s="108"/>
      <c r="G26" s="749" t="s">
        <v>700</v>
      </c>
      <c r="H26" s="747"/>
      <c r="I26" s="747"/>
      <c r="J26" s="750">
        <v>0</v>
      </c>
    </row>
    <row r="27" spans="2:10" x14ac:dyDescent="0.2">
      <c r="B27" s="353"/>
      <c r="C27" s="446"/>
      <c r="D27" s="446"/>
      <c r="E27" s="108"/>
      <c r="G27" s="746" t="s">
        <v>701</v>
      </c>
      <c r="H27" s="506"/>
      <c r="I27" s="506"/>
      <c r="J27" s="767" t="str">
        <f>IF(J26=0,"",ROUND((J26+E40-G39)/inputOth!B14*1000,3)-G44)</f>
        <v/>
      </c>
    </row>
    <row r="28" spans="2:10" x14ac:dyDescent="0.2">
      <c r="B28" s="353"/>
      <c r="C28" s="446"/>
      <c r="D28" s="446"/>
      <c r="E28" s="108"/>
      <c r="G28" s="752" t="str">
        <f>CONCATENATE("",E1," Tot Exp/Non-Appr Must Be:")</f>
        <v>2013 Tot Exp/Non-Appr Must Be:</v>
      </c>
      <c r="H28" s="753"/>
      <c r="I28" s="754"/>
      <c r="J28" s="755">
        <f>IF(J26&gt;0,IF(E37&lt;E21,IF(J26=G39,E37,((J26-G39)*(1-D39))+E21),E37+(J26-G39)),0)</f>
        <v>0</v>
      </c>
    </row>
    <row r="29" spans="2:10" x14ac:dyDescent="0.2">
      <c r="B29" s="353"/>
      <c r="C29" s="446"/>
      <c r="D29" s="446"/>
      <c r="E29" s="108"/>
      <c r="G29" s="716" t="s">
        <v>919</v>
      </c>
      <c r="H29" s="756"/>
      <c r="I29" s="756"/>
      <c r="J29" s="718">
        <f>IF(J26&gt;0,J28-E37,0)</f>
        <v>0</v>
      </c>
    </row>
    <row r="30" spans="2:10" x14ac:dyDescent="0.25">
      <c r="B30" s="357" t="s">
        <v>197</v>
      </c>
      <c r="C30" s="446"/>
      <c r="D30" s="446"/>
      <c r="E30" s="121" t="str">
        <f>nhood!E11</f>
        <v/>
      </c>
      <c r="J30" s="3"/>
    </row>
    <row r="31" spans="2:10" x14ac:dyDescent="0.2">
      <c r="B31" s="357" t="s">
        <v>198</v>
      </c>
      <c r="C31" s="446"/>
      <c r="D31" s="446"/>
      <c r="E31" s="108"/>
      <c r="G31" s="925" t="str">
        <f>CONCATENATE("Projected Carryover Into ",E1+1,"")</f>
        <v>Projected Carryover Into 2014</v>
      </c>
      <c r="H31" s="927"/>
      <c r="I31" s="927"/>
      <c r="J31" s="929"/>
    </row>
    <row r="32" spans="2:10" x14ac:dyDescent="0.25">
      <c r="B32" s="357" t="s">
        <v>199</v>
      </c>
      <c r="C32" s="447" t="str">
        <f>IF(C33*0.1&lt;C31,"Exceed 10% Rule","")</f>
        <v/>
      </c>
      <c r="D32" s="447" t="str">
        <f>IF(D33*0.1&lt;D31,"Exceed 10% Rule","")</f>
        <v/>
      </c>
      <c r="E32" s="384" t="str">
        <f>IF(E33*0.1&lt;E31,"Exceed 10% Rule","")</f>
        <v/>
      </c>
      <c r="G32" s="746"/>
      <c r="H32" s="747"/>
      <c r="I32" s="747"/>
      <c r="J32" s="768"/>
    </row>
    <row r="33" spans="2:11" x14ac:dyDescent="0.25">
      <c r="B33" s="359" t="s">
        <v>316</v>
      </c>
      <c r="C33" s="450">
        <f>SUM(C23:C31)</f>
        <v>0</v>
      </c>
      <c r="D33" s="450">
        <f>SUM(D23:D31)</f>
        <v>0</v>
      </c>
      <c r="E33" s="361">
        <f>SUM(E23:E31)</f>
        <v>0</v>
      </c>
      <c r="G33" s="769">
        <f>D34</f>
        <v>0</v>
      </c>
      <c r="H33" s="731" t="str">
        <f>CONCATENATE("",E1-1," Ending Cash Balance (est.)")</f>
        <v>2012 Ending Cash Balance (est.)</v>
      </c>
      <c r="I33" s="770"/>
      <c r="J33" s="768"/>
    </row>
    <row r="34" spans="2:11" x14ac:dyDescent="0.25">
      <c r="B34" s="169" t="s">
        <v>61</v>
      </c>
      <c r="C34" s="448">
        <f>C21-C33</f>
        <v>0</v>
      </c>
      <c r="D34" s="448">
        <f>D21-D33</f>
        <v>0</v>
      </c>
      <c r="E34" s="372" t="s">
        <v>290</v>
      </c>
      <c r="G34" s="769">
        <f>E20</f>
        <v>0</v>
      </c>
      <c r="H34" s="747" t="str">
        <f>CONCATENATE("",E1," Non-AV Receipts (est.)")</f>
        <v>2013 Non-AV Receipts (est.)</v>
      </c>
      <c r="I34" s="770"/>
      <c r="J34" s="768"/>
    </row>
    <row r="35" spans="2:11" x14ac:dyDescent="0.2">
      <c r="B35" s="199" t="str">
        <f>CONCATENATE("",E1-2,"/",E1-1," Budget Authority Amount:")</f>
        <v>2011/2012 Budget Authority Amount:</v>
      </c>
      <c r="C35" s="307">
        <f>inputOth!B86</f>
        <v>0</v>
      </c>
      <c r="D35" s="307">
        <f>inputPrYr!D28</f>
        <v>0</v>
      </c>
      <c r="E35" s="372" t="s">
        <v>290</v>
      </c>
      <c r="F35" s="373"/>
      <c r="G35" s="771">
        <f>IF(E39&gt;0,E38,E40)</f>
        <v>0</v>
      </c>
      <c r="H35" s="747" t="str">
        <f>CONCATENATE("",E1," Ad Valorem Tax (est.)")</f>
        <v>2013 Ad Valorem Tax (est.)</v>
      </c>
      <c r="I35" s="770"/>
      <c r="J35" s="772"/>
      <c r="K35" s="762" t="str">
        <f>IF(G35=E40,"","Note: Does not include Delinquent Taxes")</f>
        <v/>
      </c>
    </row>
    <row r="36" spans="2:11" x14ac:dyDescent="0.25">
      <c r="B36" s="199"/>
      <c r="C36" s="913" t="s">
        <v>697</v>
      </c>
      <c r="D36" s="914"/>
      <c r="E36" s="108"/>
      <c r="F36" s="805" t="str">
        <f>IF(E33/0.95-E33&lt;E36,"Exceeds 5%","")</f>
        <v/>
      </c>
      <c r="G36" s="769">
        <f>SUM(G33:G35)</f>
        <v>0</v>
      </c>
      <c r="H36" s="747" t="str">
        <f>CONCATENATE("Total ",E1," Resources Available")</f>
        <v>Total 2013 Resources Available</v>
      </c>
      <c r="I36" s="770"/>
      <c r="J36" s="768"/>
    </row>
    <row r="37" spans="2:11" x14ac:dyDescent="0.25">
      <c r="B37" s="558" t="str">
        <f>CONCATENATE(C90,"     ",D90)</f>
        <v xml:space="preserve">     </v>
      </c>
      <c r="C37" s="915" t="s">
        <v>698</v>
      </c>
      <c r="D37" s="916"/>
      <c r="E37" s="351">
        <f>E33+E36</f>
        <v>0</v>
      </c>
      <c r="G37" s="773"/>
      <c r="H37" s="747"/>
      <c r="I37" s="747"/>
      <c r="J37" s="768"/>
    </row>
    <row r="38" spans="2:11" x14ac:dyDescent="0.25">
      <c r="B38" s="558" t="str">
        <f>CONCATENATE(C91,"     ",D91)</f>
        <v xml:space="preserve">     </v>
      </c>
      <c r="C38" s="363"/>
      <c r="D38" s="230" t="s">
        <v>317</v>
      </c>
      <c r="E38" s="121">
        <f>IF(E37-E21&gt;0,E37-E21,0)</f>
        <v>0</v>
      </c>
      <c r="G38" s="771">
        <f>ROUND(C33*0.05+C33,0)</f>
        <v>0</v>
      </c>
      <c r="H38" s="747" t="str">
        <f>CONCATENATE("Less ",E1-2," Expenditures + 5%")</f>
        <v>Less 2011 Expenditures + 5%</v>
      </c>
      <c r="I38" s="770"/>
      <c r="J38" s="768"/>
    </row>
    <row r="39" spans="2:11" x14ac:dyDescent="0.25">
      <c r="B39" s="230"/>
      <c r="C39" s="508" t="s">
        <v>699</v>
      </c>
      <c r="D39" s="789">
        <f>inputOth!$E$66</f>
        <v>0</v>
      </c>
      <c r="E39" s="351">
        <f>ROUND(IF(D39&gt;0,(E38*D39),0),0)</f>
        <v>0</v>
      </c>
      <c r="G39" s="774">
        <f>G36-G38</f>
        <v>0</v>
      </c>
      <c r="H39" s="775" t="str">
        <f>CONCATENATE("Projected ",E1+1," carryover (est.)")</f>
        <v>Projected 2014 carryover (est.)</v>
      </c>
      <c r="I39" s="776"/>
      <c r="J39" s="777"/>
    </row>
    <row r="40" spans="2:11" ht="16.5" thickBot="1" x14ac:dyDescent="0.3">
      <c r="B40" s="230"/>
      <c r="C40" s="911" t="str">
        <f>CONCATENATE("Amount of  ",$E$1-1," Ad Valorem Tax")</f>
        <v>Amount of  2012 Ad Valorem Tax</v>
      </c>
      <c r="D40" s="912"/>
      <c r="E40" s="376">
        <f>E38+E39</f>
        <v>0</v>
      </c>
      <c r="G40" s="3"/>
      <c r="H40" s="3"/>
      <c r="I40" s="3"/>
      <c r="J40" s="3"/>
    </row>
    <row r="41" spans="2:11" ht="16.5" thickTop="1" x14ac:dyDescent="0.2">
      <c r="B41" s="86"/>
      <c r="C41" s="911"/>
      <c r="D41" s="930"/>
      <c r="E41" s="115"/>
      <c r="G41" s="922" t="s">
        <v>920</v>
      </c>
      <c r="H41" s="923"/>
      <c r="I41" s="923"/>
      <c r="J41" s="924"/>
    </row>
    <row r="42" spans="2:11" x14ac:dyDescent="0.2">
      <c r="B42" s="93"/>
      <c r="C42" s="295"/>
      <c r="D42" s="295"/>
      <c r="E42" s="295"/>
      <c r="G42" s="730"/>
      <c r="H42" s="731"/>
      <c r="I42" s="732"/>
      <c r="J42" s="733"/>
    </row>
    <row r="43" spans="2:11" x14ac:dyDescent="0.2">
      <c r="B43" s="93" t="s">
        <v>301</v>
      </c>
      <c r="C43" s="633" t="s">
        <v>833</v>
      </c>
      <c r="D43" s="634" t="s">
        <v>836</v>
      </c>
      <c r="E43" s="206" t="s">
        <v>835</v>
      </c>
      <c r="G43" s="734" t="str">
        <f>summ!H20</f>
        <v xml:space="preserve">  </v>
      </c>
      <c r="H43" s="731" t="str">
        <f>CONCATENATE("",E1," Fund Mill Rate")</f>
        <v>2013 Fund Mill Rate</v>
      </c>
      <c r="I43" s="732"/>
      <c r="J43" s="733"/>
    </row>
    <row r="44" spans="2:11" x14ac:dyDescent="0.2">
      <c r="B44" s="578">
        <f>inputPrYr!B29</f>
        <v>0</v>
      </c>
      <c r="C44" s="454" t="str">
        <f>C5</f>
        <v>Actual for 2011</v>
      </c>
      <c r="D44" s="454" t="str">
        <f>D5</f>
        <v>Estimate for 2012</v>
      </c>
      <c r="E44" s="272" t="str">
        <f>E5</f>
        <v>Year for 2013</v>
      </c>
      <c r="G44" s="735" t="str">
        <f>summ!E20</f>
        <v xml:space="preserve">  </v>
      </c>
      <c r="H44" s="731" t="str">
        <f>CONCATENATE("",E1-1," Fund Mill Rate")</f>
        <v>2012 Fund Mill Rate</v>
      </c>
      <c r="I44" s="732"/>
      <c r="J44" s="733"/>
    </row>
    <row r="45" spans="2:11" x14ac:dyDescent="0.2">
      <c r="B45" s="365" t="s">
        <v>60</v>
      </c>
      <c r="C45" s="446"/>
      <c r="D45" s="451">
        <f>C74</f>
        <v>0</v>
      </c>
      <c r="E45" s="351">
        <f>D74</f>
        <v>0</v>
      </c>
      <c r="G45" s="736">
        <f>summ!H52</f>
        <v>66.711000000000013</v>
      </c>
      <c r="H45" s="731" t="str">
        <f>CONCATENATE("Total ",E1," Mill Rate")</f>
        <v>Total 2013 Mill Rate</v>
      </c>
      <c r="I45" s="732"/>
      <c r="J45" s="733"/>
    </row>
    <row r="46" spans="2:11" x14ac:dyDescent="0.2">
      <c r="B46" s="365" t="s">
        <v>62</v>
      </c>
      <c r="C46" s="220"/>
      <c r="D46" s="220"/>
      <c r="E46" s="126"/>
      <c r="G46" s="735">
        <f>summ!E52</f>
        <v>66.711000000000013</v>
      </c>
      <c r="H46" s="737" t="str">
        <f>CONCATENATE("Total ",E1-1," Mill Rate")</f>
        <v>Total 2012 Mill Rate</v>
      </c>
      <c r="I46" s="738"/>
      <c r="J46" s="739"/>
    </row>
    <row r="47" spans="2:11" x14ac:dyDescent="0.2">
      <c r="B47" s="169" t="s">
        <v>302</v>
      </c>
      <c r="C47" s="446"/>
      <c r="D47" s="451">
        <f>IF(inputPrYr!H21&gt;0,inputPrYr!G29,inputPrYr!E29)</f>
        <v>0</v>
      </c>
      <c r="E47" s="372" t="s">
        <v>290</v>
      </c>
    </row>
    <row r="48" spans="2:11" x14ac:dyDescent="0.2">
      <c r="B48" s="169" t="s">
        <v>303</v>
      </c>
      <c r="C48" s="446"/>
      <c r="D48" s="446"/>
      <c r="E48" s="108"/>
    </row>
    <row r="49" spans="2:10" x14ac:dyDescent="0.2">
      <c r="B49" s="169" t="s">
        <v>304</v>
      </c>
      <c r="C49" s="446"/>
      <c r="D49" s="446"/>
      <c r="E49" s="351" t="str">
        <f>mvalloc!D14</f>
        <v xml:space="preserve">  </v>
      </c>
    </row>
    <row r="50" spans="2:10" x14ac:dyDescent="0.2">
      <c r="B50" s="169" t="s">
        <v>305</v>
      </c>
      <c r="C50" s="446"/>
      <c r="D50" s="446"/>
      <c r="E50" s="351" t="str">
        <f>mvalloc!E14</f>
        <v xml:space="preserve"> </v>
      </c>
    </row>
    <row r="51" spans="2:10" x14ac:dyDescent="0.2">
      <c r="B51" s="220" t="s">
        <v>38</v>
      </c>
      <c r="C51" s="446"/>
      <c r="D51" s="446"/>
      <c r="E51" s="351" t="str">
        <f>mvalloc!F14</f>
        <v xml:space="preserve"> </v>
      </c>
    </row>
    <row r="52" spans="2:10" x14ac:dyDescent="0.2">
      <c r="B52" s="353"/>
      <c r="C52" s="446"/>
      <c r="D52" s="446"/>
      <c r="E52" s="108"/>
    </row>
    <row r="53" spans="2:10" x14ac:dyDescent="0.2">
      <c r="B53" s="353"/>
      <c r="C53" s="446"/>
      <c r="D53" s="446"/>
      <c r="E53" s="108"/>
    </row>
    <row r="54" spans="2:10" x14ac:dyDescent="0.2">
      <c r="B54" s="353"/>
      <c r="C54" s="446"/>
      <c r="D54" s="446"/>
      <c r="E54" s="108"/>
    </row>
    <row r="55" spans="2:10" x14ac:dyDescent="0.2">
      <c r="B55" s="353"/>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200</v>
      </c>
      <c r="C59" s="447" t="str">
        <f>IF(C60*0.1&lt;C58,"Exceed 10% Rule","")</f>
        <v/>
      </c>
      <c r="D59" s="447" t="str">
        <f>IF(D60*0.1&lt;D58,"Exceed 10% Rule","")</f>
        <v/>
      </c>
      <c r="E59" s="384" t="str">
        <f>IF(E60*0.1+E80&lt;E58,"Exceed 10% Rule","")</f>
        <v/>
      </c>
    </row>
    <row r="60" spans="2:10" x14ac:dyDescent="0.2">
      <c r="B60" s="359" t="s">
        <v>309</v>
      </c>
      <c r="C60" s="450">
        <f>SUM(C47:C58)</f>
        <v>0</v>
      </c>
      <c r="D60" s="450">
        <f>SUM(D47:D58)</f>
        <v>0</v>
      </c>
      <c r="E60" s="361">
        <f>SUM(E48:E58)</f>
        <v>0</v>
      </c>
    </row>
    <row r="61" spans="2:10" x14ac:dyDescent="0.2">
      <c r="B61" s="359" t="s">
        <v>310</v>
      </c>
      <c r="C61" s="450">
        <f>C45+C60</f>
        <v>0</v>
      </c>
      <c r="D61" s="450">
        <f>D45+D60</f>
        <v>0</v>
      </c>
      <c r="E61" s="361">
        <f>E45+E60</f>
        <v>0</v>
      </c>
    </row>
    <row r="62" spans="2:10" x14ac:dyDescent="0.2">
      <c r="B62" s="169" t="s">
        <v>312</v>
      </c>
      <c r="C62" s="357"/>
      <c r="D62" s="357"/>
      <c r="E62" s="107"/>
    </row>
    <row r="63" spans="2:10" x14ac:dyDescent="0.2">
      <c r="B63" s="353"/>
      <c r="C63" s="446"/>
      <c r="D63" s="446"/>
      <c r="E63" s="108"/>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nhood!E12</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199</v>
      </c>
      <c r="C72" s="447" t="str">
        <f>IF(C73*0.1&lt;C71,"Exceed 10% Rule","")</f>
        <v/>
      </c>
      <c r="D72" s="447" t="str">
        <f>IF(D73*0.1&lt;D71,"Exceed 10% Rule","")</f>
        <v/>
      </c>
      <c r="E72" s="384" t="str">
        <f>IF(E73*0.1&lt;E71,"Exceed 10% Rule","")</f>
        <v/>
      </c>
      <c r="G72" s="507"/>
      <c r="H72" s="506"/>
      <c r="I72" s="506"/>
      <c r="J72" s="505"/>
    </row>
    <row r="73" spans="2:11" x14ac:dyDescent="0.2">
      <c r="B73" s="359" t="s">
        <v>316</v>
      </c>
      <c r="C73" s="450">
        <f>SUM(C63:C71)</f>
        <v>0</v>
      </c>
      <c r="D73" s="450">
        <f>SUM(D63:D71)</f>
        <v>0</v>
      </c>
      <c r="E73" s="361">
        <f>SUM(E63:E71)</f>
        <v>0</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0</v>
      </c>
      <c r="H74" s="747" t="str">
        <f>CONCATENATE("",E1," Non-AV Receipts (est.)")</f>
        <v>2013 Non-AV Receipts (est.)</v>
      </c>
      <c r="I74" s="770"/>
      <c r="J74" s="505"/>
    </row>
    <row r="75" spans="2:11" x14ac:dyDescent="0.2">
      <c r="B75" s="199" t="str">
        <f>CONCATENATE("",E1-2,"/",E1-1," Budget Authority Amount:")</f>
        <v>2011/2012 Budget Authority Amount:</v>
      </c>
      <c r="C75" s="307">
        <f>inputOth!B87</f>
        <v>0</v>
      </c>
      <c r="D75" s="307">
        <f>inputPrYr!D29</f>
        <v>0</v>
      </c>
      <c r="E75" s="372" t="s">
        <v>290</v>
      </c>
      <c r="F75" s="373"/>
      <c r="G75" s="771">
        <f>IF(D79&gt;0,E78,E80)</f>
        <v>0</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0</v>
      </c>
      <c r="H76" s="747" t="str">
        <f>CONCATENATE("Total ",E1," Resources Available")</f>
        <v>Total 2013 Resources Available</v>
      </c>
      <c r="I76" s="505"/>
      <c r="J76" s="505"/>
    </row>
    <row r="77" spans="2:11" x14ac:dyDescent="0.2">
      <c r="B77" s="558" t="str">
        <f>CONCATENATE(C92,"     ",D92)</f>
        <v xml:space="preserve">     </v>
      </c>
      <c r="C77" s="915" t="s">
        <v>698</v>
      </c>
      <c r="D77" s="916"/>
      <c r="E77" s="351">
        <f>E73+E76</f>
        <v>0</v>
      </c>
      <c r="G77" s="530"/>
      <c r="H77" s="532"/>
      <c r="I77" s="506"/>
      <c r="J77" s="505"/>
    </row>
    <row r="78" spans="2:11" x14ac:dyDescent="0.2">
      <c r="B78" s="558" t="str">
        <f>CONCATENATE(C93,"     ",D93)</f>
        <v xml:space="preserve">     </v>
      </c>
      <c r="C78" s="363"/>
      <c r="D78" s="230" t="s">
        <v>317</v>
      </c>
      <c r="E78" s="121">
        <f>IF(E77-E61&gt;0,E77-E61,0)</f>
        <v>0</v>
      </c>
      <c r="G78" s="531">
        <f>ROUND(C73*0.05+C73,0)</f>
        <v>0</v>
      </c>
      <c r="H78" s="747" t="str">
        <f>CONCATENATE("Less ",E1-2," Expenditures + 5%")</f>
        <v>Less 2011 Expenditures + 5%</v>
      </c>
      <c r="I78" s="505"/>
      <c r="J78" s="505"/>
    </row>
    <row r="79" spans="2:11" x14ac:dyDescent="0.25">
      <c r="B79" s="230"/>
      <c r="C79" s="508" t="s">
        <v>699</v>
      </c>
      <c r="D79" s="789">
        <f>inputOth!$E$66</f>
        <v>0</v>
      </c>
      <c r="E79" s="351">
        <f>ROUND(IF(D79&gt;0,(E78*D79),0),0)</f>
        <v>0</v>
      </c>
      <c r="G79" s="529">
        <f>G76-G78</f>
        <v>0</v>
      </c>
      <c r="H79" s="775" t="str">
        <f>CONCATENATE("Projected ",E1+1," carryover (est.)")</f>
        <v>Projected 2014 carryover (est.)</v>
      </c>
      <c r="I79" s="504"/>
      <c r="J79" s="777"/>
    </row>
    <row r="80" spans="2:11" ht="16.5" thickBot="1" x14ac:dyDescent="0.3">
      <c r="B80" s="86"/>
      <c r="C80" s="911" t="str">
        <f>CONCATENATE("Amount of  ",$E$1-1," Ad Valorem Tax")</f>
        <v>Amount of  2012 Ad Valorem Tax</v>
      </c>
      <c r="D80" s="912"/>
      <c r="E80" s="376">
        <f>E78+E79</f>
        <v>0</v>
      </c>
      <c r="G80" s="3"/>
      <c r="H80" s="3"/>
      <c r="I80" s="3"/>
    </row>
    <row r="81" spans="2:10" ht="16.5" thickTop="1" x14ac:dyDescent="0.2">
      <c r="B81" s="86"/>
      <c r="C81" s="86"/>
      <c r="D81" s="86"/>
      <c r="E81" s="86"/>
      <c r="G81" s="922" t="s">
        <v>920</v>
      </c>
      <c r="H81" s="923"/>
      <c r="I81" s="923"/>
      <c r="J81" s="924"/>
    </row>
    <row r="82" spans="2:10" x14ac:dyDescent="0.2">
      <c r="B82" s="199" t="s">
        <v>319</v>
      </c>
      <c r="C82" s="301"/>
      <c r="D82" s="86"/>
      <c r="E82" s="86"/>
      <c r="G82" s="730"/>
      <c r="H82" s="731"/>
      <c r="I82" s="732"/>
      <c r="J82" s="733"/>
    </row>
    <row r="83" spans="2:10" x14ac:dyDescent="0.2">
      <c r="G83" s="734" t="str">
        <f>summ!H21</f>
        <v xml:space="preserve">  </v>
      </c>
      <c r="H83" s="731" t="str">
        <f>CONCATENATE("",E1," Fund Mill Rate")</f>
        <v>2013 Fund Mill Rate</v>
      </c>
      <c r="I83" s="732"/>
      <c r="J83" s="733"/>
    </row>
    <row r="84" spans="2:10" x14ac:dyDescent="0.2">
      <c r="G84" s="735" t="str">
        <f>summ!E21</f>
        <v xml:space="preserve">  </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0" spans="2:10" hidden="1" x14ac:dyDescent="0.2">
      <c r="C90" s="82" t="str">
        <f>IF(C33&gt;C35,"See Tab A","")</f>
        <v/>
      </c>
      <c r="D90" s="82" t="str">
        <f>IF(D33&gt;D35,"See Tab C","")</f>
        <v/>
      </c>
    </row>
    <row r="91" spans="2:10" hidden="1" x14ac:dyDescent="0.2">
      <c r="C91" s="82" t="str">
        <f>IF(C34&lt;0,"See Tab B","")</f>
        <v/>
      </c>
      <c r="D91" s="82" t="str">
        <f>IF(D34&lt;0,"See Tab D","")</f>
        <v/>
      </c>
    </row>
    <row r="92" spans="2:10" hidden="1" x14ac:dyDescent="0.2">
      <c r="C92" s="82" t="str">
        <f>IF(C73&gt;C75,"See Tab A","")</f>
        <v/>
      </c>
      <c r="D92" s="82" t="str">
        <f>IF(D73&gt;D75,"See Tab C","")</f>
        <v/>
      </c>
    </row>
    <row r="93" spans="2:10" hidden="1" x14ac:dyDescent="0.2">
      <c r="C93" s="82" t="str">
        <f>IF(C74&lt;0,"See Tab B","")</f>
        <v/>
      </c>
      <c r="D93" s="82" t="str">
        <f>IF(D74&lt;0,"See Tab D","")</f>
        <v/>
      </c>
    </row>
  </sheetData>
  <sheetProtection sheet="1"/>
  <mergeCells count="13">
    <mergeCell ref="G81:J81"/>
    <mergeCell ref="G24:J24"/>
    <mergeCell ref="G31:J31"/>
    <mergeCell ref="G41:J41"/>
    <mergeCell ref="G64:J64"/>
    <mergeCell ref="G71:J71"/>
    <mergeCell ref="C36:D36"/>
    <mergeCell ref="C37:D37"/>
    <mergeCell ref="C80:D80"/>
    <mergeCell ref="C40:D40"/>
    <mergeCell ref="C41:D41"/>
    <mergeCell ref="C76:D76"/>
    <mergeCell ref="C77:D77"/>
  </mergeCells>
  <phoneticPr fontId="0" type="noConversion"/>
  <conditionalFormatting sqref="E71">
    <cfRule type="cellIs" dxfId="272" priority="3" stopIfTrue="1" operator="greaterThan">
      <formula>$E$73*0.1</formula>
    </cfRule>
  </conditionalFormatting>
  <conditionalFormatting sqref="E31">
    <cfRule type="cellIs" dxfId="271" priority="4" stopIfTrue="1" operator="greaterThan">
      <formula>$E$33*0.1</formula>
    </cfRule>
  </conditionalFormatting>
  <conditionalFormatting sqref="E36">
    <cfRule type="cellIs" dxfId="270" priority="5" stopIfTrue="1" operator="greaterThan">
      <formula>$E$33/0.95-$E$33</formula>
    </cfRule>
  </conditionalFormatting>
  <conditionalFormatting sqref="E76">
    <cfRule type="cellIs" dxfId="269" priority="6" stopIfTrue="1" operator="greaterThan">
      <formula>$E$73/0.95-$E$73</formula>
    </cfRule>
  </conditionalFormatting>
  <conditionalFormatting sqref="D71">
    <cfRule type="cellIs" dxfId="268" priority="7" stopIfTrue="1" operator="greaterThan">
      <formula>$D$73*0.1</formula>
    </cfRule>
  </conditionalFormatting>
  <conditionalFormatting sqref="C71">
    <cfRule type="cellIs" dxfId="267" priority="8" stopIfTrue="1" operator="greaterThan">
      <formula>$C$73*0.1</formula>
    </cfRule>
  </conditionalFormatting>
  <conditionalFormatting sqref="D73">
    <cfRule type="cellIs" dxfId="266" priority="9" stopIfTrue="1" operator="greaterThan">
      <formula>$D$75</formula>
    </cfRule>
  </conditionalFormatting>
  <conditionalFormatting sqref="C73">
    <cfRule type="cellIs" dxfId="265" priority="10" stopIfTrue="1" operator="greaterThan">
      <formula>$C$75</formula>
    </cfRule>
  </conditionalFormatting>
  <conditionalFormatting sqref="C74 C34">
    <cfRule type="cellIs" dxfId="264" priority="11" stopIfTrue="1" operator="lessThan">
      <formula>0</formula>
    </cfRule>
  </conditionalFormatting>
  <conditionalFormatting sqref="D58">
    <cfRule type="cellIs" dxfId="263" priority="12" stopIfTrue="1" operator="greaterThan">
      <formula>$D$60*0.1</formula>
    </cfRule>
  </conditionalFormatting>
  <conditionalFormatting sqref="C58">
    <cfRule type="cellIs" dxfId="262" priority="13" stopIfTrue="1" operator="greaterThan">
      <formula>$C$60*0.1</formula>
    </cfRule>
  </conditionalFormatting>
  <conditionalFormatting sqref="D31">
    <cfRule type="cellIs" dxfId="261" priority="14" stopIfTrue="1" operator="greaterThan">
      <formula>$D$33*0.1</formula>
    </cfRule>
  </conditionalFormatting>
  <conditionalFormatting sqref="C31">
    <cfRule type="cellIs" dxfId="260" priority="15" stopIfTrue="1" operator="greaterThan">
      <formula>$C$33*0.1</formula>
    </cfRule>
  </conditionalFormatting>
  <conditionalFormatting sqref="D33">
    <cfRule type="cellIs" dxfId="259" priority="16" stopIfTrue="1" operator="greaterThan">
      <formula>$D$35</formula>
    </cfRule>
  </conditionalFormatting>
  <conditionalFormatting sqref="C33">
    <cfRule type="cellIs" dxfId="258" priority="17" stopIfTrue="1" operator="greaterThan">
      <formula>$C$35</formula>
    </cfRule>
  </conditionalFormatting>
  <conditionalFormatting sqref="D18">
    <cfRule type="cellIs" dxfId="257" priority="18" stopIfTrue="1" operator="greaterThan">
      <formula>$D$20*0.1</formula>
    </cfRule>
  </conditionalFormatting>
  <conditionalFormatting sqref="C18">
    <cfRule type="cellIs" dxfId="256" priority="19" stopIfTrue="1" operator="greaterThan">
      <formula>$C$20*0.1</formula>
    </cfRule>
  </conditionalFormatting>
  <conditionalFormatting sqref="E18">
    <cfRule type="cellIs" dxfId="255" priority="20" stopIfTrue="1" operator="greaterThan">
      <formula>$E$20*0.1+$E$40</formula>
    </cfRule>
  </conditionalFormatting>
  <conditionalFormatting sqref="E58">
    <cfRule type="cellIs" dxfId="254" priority="21" stopIfTrue="1" operator="greaterThan">
      <formula>$E$60*0.1+$E$80</formula>
    </cfRule>
  </conditionalFormatting>
  <conditionalFormatting sqref="D74 D34">
    <cfRule type="cellIs" dxfId="253"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zoomScaleNormal="100" workbookViewId="0">
      <selection activeCell="D48" sqref="D48"/>
    </sheetView>
  </sheetViews>
  <sheetFormatPr defaultRowHeight="15.75" x14ac:dyDescent="0.2"/>
  <cols>
    <col min="1" max="1" width="2.44140625" style="82" customWidth="1"/>
    <col min="2" max="2" width="31.109375" style="82" customWidth="1"/>
    <col min="3" max="4" width="15.77734375" style="82" customWidth="1"/>
    <col min="5" max="5" width="16.3320312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6</v>
      </c>
      <c r="C3" s="263"/>
      <c r="D3" s="263"/>
      <c r="E3" s="371"/>
    </row>
    <row r="4" spans="2:5" x14ac:dyDescent="0.2">
      <c r="B4" s="93" t="s">
        <v>301</v>
      </c>
      <c r="C4" s="633" t="s">
        <v>833</v>
      </c>
      <c r="D4" s="634" t="s">
        <v>834</v>
      </c>
      <c r="E4" s="206" t="s">
        <v>835</v>
      </c>
    </row>
    <row r="5" spans="2:5" x14ac:dyDescent="0.2">
      <c r="B5" s="579">
        <f>inputPrYr!B30</f>
        <v>0</v>
      </c>
      <c r="C5" s="454" t="str">
        <f>CONCATENATE("Actual for ",E1-2,"")</f>
        <v>Actual for 2011</v>
      </c>
      <c r="D5" s="454" t="str">
        <f>CONCATENATE("Estimate for ",E1-1,"")</f>
        <v>Estimate for 2012</v>
      </c>
      <c r="E5" s="272" t="str">
        <f>CONCATENATE("Year for ",E1,"")</f>
        <v>Year for 2013</v>
      </c>
    </row>
    <row r="6" spans="2:5" x14ac:dyDescent="0.2">
      <c r="B6" s="365" t="s">
        <v>60</v>
      </c>
      <c r="C6" s="446"/>
      <c r="D6" s="451">
        <f>C34</f>
        <v>0</v>
      </c>
      <c r="E6" s="351">
        <f>D34</f>
        <v>0</v>
      </c>
    </row>
    <row r="7" spans="2:5" x14ac:dyDescent="0.2">
      <c r="B7" s="366" t="s">
        <v>62</v>
      </c>
      <c r="C7" s="220"/>
      <c r="D7" s="220"/>
      <c r="E7" s="126"/>
    </row>
    <row r="8" spans="2:5" x14ac:dyDescent="0.2">
      <c r="B8" s="169" t="s">
        <v>302</v>
      </c>
      <c r="C8" s="446"/>
      <c r="D8" s="451">
        <f>IF(inputPrYr!H21&gt;0,inputPrYr!G30,inputPrYr!E30)</f>
        <v>0</v>
      </c>
      <c r="E8" s="372" t="s">
        <v>290</v>
      </c>
    </row>
    <row r="9" spans="2:5" x14ac:dyDescent="0.2">
      <c r="B9" s="169" t="s">
        <v>303</v>
      </c>
      <c r="C9" s="446"/>
      <c r="D9" s="446"/>
      <c r="E9" s="108"/>
    </row>
    <row r="10" spans="2:5" x14ac:dyDescent="0.2">
      <c r="B10" s="169" t="s">
        <v>304</v>
      </c>
      <c r="C10" s="446"/>
      <c r="D10" s="446"/>
      <c r="E10" s="351" t="str">
        <f>mvalloc!D15</f>
        <v xml:space="preserve">  </v>
      </c>
    </row>
    <row r="11" spans="2:5" x14ac:dyDescent="0.2">
      <c r="B11" s="169" t="s">
        <v>305</v>
      </c>
      <c r="C11" s="446"/>
      <c r="D11" s="446"/>
      <c r="E11" s="351" t="str">
        <f>mvalloc!E15</f>
        <v xml:space="preserve"> </v>
      </c>
    </row>
    <row r="12" spans="2:5" x14ac:dyDescent="0.2">
      <c r="B12" s="220" t="s">
        <v>38</v>
      </c>
      <c r="C12" s="446"/>
      <c r="D12" s="446"/>
      <c r="E12" s="351" t="str">
        <f>mvalloc!F15</f>
        <v xml:space="preserve"> </v>
      </c>
    </row>
    <row r="13" spans="2:5" x14ac:dyDescent="0.2">
      <c r="B13" s="353"/>
      <c r="C13" s="446"/>
      <c r="D13" s="446"/>
      <c r="E13" s="108"/>
    </row>
    <row r="14" spans="2:5" x14ac:dyDescent="0.2">
      <c r="B14" s="353"/>
      <c r="C14" s="446"/>
      <c r="D14" s="446"/>
      <c r="E14" s="108"/>
    </row>
    <row r="15" spans="2:5" x14ac:dyDescent="0.2">
      <c r="B15" s="353"/>
      <c r="C15" s="446"/>
      <c r="D15" s="446"/>
      <c r="E15" s="108"/>
    </row>
    <row r="16" spans="2:5" x14ac:dyDescent="0.2">
      <c r="B16" s="353"/>
      <c r="C16" s="446"/>
      <c r="D16" s="446"/>
      <c r="E16" s="108"/>
    </row>
    <row r="17" spans="2:10" x14ac:dyDescent="0.2">
      <c r="B17" s="367" t="s">
        <v>308</v>
      </c>
      <c r="C17" s="446"/>
      <c r="D17" s="446"/>
      <c r="E17" s="108"/>
    </row>
    <row r="18" spans="2:10" x14ac:dyDescent="0.2">
      <c r="B18" s="357" t="s">
        <v>198</v>
      </c>
      <c r="C18" s="446"/>
      <c r="D18" s="446"/>
      <c r="E18" s="108"/>
    </row>
    <row r="19" spans="2:10" x14ac:dyDescent="0.2">
      <c r="B19" s="357" t="s">
        <v>200</v>
      </c>
      <c r="C19" s="447" t="str">
        <f>IF(C20*0.1&lt;C18,"Exceed 10% Rule","")</f>
        <v/>
      </c>
      <c r="D19" s="447" t="str">
        <f>IF(D20*0.1&lt;D18,"Exceed 10% Rule","")</f>
        <v/>
      </c>
      <c r="E19" s="384" t="str">
        <f>IF(E20*0.1+E40&lt;E18,"Exceed 10% Rule","")</f>
        <v/>
      </c>
    </row>
    <row r="20" spans="2:10" x14ac:dyDescent="0.2">
      <c r="B20" s="359" t="s">
        <v>309</v>
      </c>
      <c r="C20" s="450">
        <f>SUM(C8:C18)</f>
        <v>0</v>
      </c>
      <c r="D20" s="450">
        <f>SUM(D8:D18)</f>
        <v>0</v>
      </c>
      <c r="E20" s="361">
        <f>SUM(E8:E18)</f>
        <v>0</v>
      </c>
    </row>
    <row r="21" spans="2:10" x14ac:dyDescent="0.2">
      <c r="B21" s="359" t="s">
        <v>310</v>
      </c>
      <c r="C21" s="450">
        <f>C6+C20</f>
        <v>0</v>
      </c>
      <c r="D21" s="450">
        <f>D6+D20</f>
        <v>0</v>
      </c>
      <c r="E21" s="361">
        <f>E6+E20</f>
        <v>0</v>
      </c>
    </row>
    <row r="22" spans="2:10" x14ac:dyDescent="0.2">
      <c r="B22" s="169" t="s">
        <v>312</v>
      </c>
      <c r="C22" s="357"/>
      <c r="D22" s="357"/>
      <c r="E22" s="107"/>
    </row>
    <row r="23" spans="2:10" x14ac:dyDescent="0.2">
      <c r="B23" s="353"/>
      <c r="C23" s="446"/>
      <c r="D23" s="446"/>
      <c r="E23" s="108"/>
    </row>
    <row r="24" spans="2:10" x14ac:dyDescent="0.2">
      <c r="B24" s="353"/>
      <c r="C24" s="446"/>
      <c r="D24" s="446"/>
      <c r="E24" s="108"/>
      <c r="G24" s="925" t="str">
        <f>CONCATENATE("Desired Carryover Into ",E1+1,"")</f>
        <v>Desired Carryover Into 2014</v>
      </c>
      <c r="H24" s="920"/>
      <c r="I24" s="920"/>
      <c r="J24" s="921"/>
    </row>
    <row r="25" spans="2:10" x14ac:dyDescent="0.2">
      <c r="B25" s="353"/>
      <c r="C25" s="446"/>
      <c r="D25" s="446"/>
      <c r="E25" s="108"/>
      <c r="G25" s="746"/>
      <c r="H25" s="506"/>
      <c r="I25" s="747"/>
      <c r="J25" s="748"/>
    </row>
    <row r="26" spans="2:10" x14ac:dyDescent="0.2">
      <c r="B26" s="353"/>
      <c r="C26" s="446"/>
      <c r="D26" s="446"/>
      <c r="E26" s="108"/>
      <c r="G26" s="749" t="s">
        <v>700</v>
      </c>
      <c r="H26" s="747"/>
      <c r="I26" s="747"/>
      <c r="J26" s="750">
        <v>0</v>
      </c>
    </row>
    <row r="27" spans="2:10" x14ac:dyDescent="0.2">
      <c r="B27" s="353"/>
      <c r="C27" s="446"/>
      <c r="D27" s="446"/>
      <c r="E27" s="108"/>
      <c r="G27" s="746" t="s">
        <v>701</v>
      </c>
      <c r="H27" s="506"/>
      <c r="I27" s="506"/>
      <c r="J27" s="767" t="str">
        <f>IF(J26=0,"",ROUND((J26+E40-G39)/inputOth!B14*1000,3)-G44)</f>
        <v/>
      </c>
    </row>
    <row r="28" spans="2:10" x14ac:dyDescent="0.2">
      <c r="B28" s="353"/>
      <c r="C28" s="446"/>
      <c r="D28" s="446"/>
      <c r="E28" s="108"/>
      <c r="G28" s="752" t="str">
        <f>CONCATENATE("",E1," Tot Exp/Non-Appr Must Be:")</f>
        <v>2013 Tot Exp/Non-Appr Must Be:</v>
      </c>
      <c r="H28" s="753"/>
      <c r="I28" s="754"/>
      <c r="J28" s="755">
        <f>IF(J26&gt;0,IF(E37&lt;E21,IF(J26=G39,E37,((J26-G39)*(1-D39))+E21),E37+(J26-G39)),0)</f>
        <v>0</v>
      </c>
    </row>
    <row r="29" spans="2:10" x14ac:dyDescent="0.2">
      <c r="B29" s="353"/>
      <c r="C29" s="446"/>
      <c r="D29" s="446"/>
      <c r="E29" s="108"/>
      <c r="G29" s="716" t="s">
        <v>919</v>
      </c>
      <c r="H29" s="756"/>
      <c r="I29" s="756"/>
      <c r="J29" s="718">
        <f>IF(J26&gt;0,J28-E37,0)</f>
        <v>0</v>
      </c>
    </row>
    <row r="30" spans="2:10" x14ac:dyDescent="0.25">
      <c r="B30" s="357" t="s">
        <v>197</v>
      </c>
      <c r="C30" s="446"/>
      <c r="D30" s="446"/>
      <c r="E30" s="121" t="str">
        <f>nhood!E13</f>
        <v/>
      </c>
      <c r="J30" s="3"/>
    </row>
    <row r="31" spans="2:10" x14ac:dyDescent="0.2">
      <c r="B31" s="357" t="s">
        <v>198</v>
      </c>
      <c r="C31" s="446"/>
      <c r="D31" s="446"/>
      <c r="E31" s="108"/>
      <c r="G31" s="925" t="str">
        <f>CONCATENATE("Projected Carryover Into ",E1+1,"")</f>
        <v>Projected Carryover Into 2014</v>
      </c>
      <c r="H31" s="927"/>
      <c r="I31" s="927"/>
      <c r="J31" s="929"/>
    </row>
    <row r="32" spans="2:10" x14ac:dyDescent="0.25">
      <c r="B32" s="357" t="s">
        <v>199</v>
      </c>
      <c r="C32" s="447" t="str">
        <f>IF(C33*0.1&lt;C31,"Exceed 10% Rule","")</f>
        <v/>
      </c>
      <c r="D32" s="447" t="str">
        <f>IF(D33*0.1&lt;D31,"Exceed 10% Rule","")</f>
        <v/>
      </c>
      <c r="E32" s="384" t="str">
        <f>IF(E33*0.1&lt;E31,"Exceed 10% Rule","")</f>
        <v/>
      </c>
      <c r="G32" s="746"/>
      <c r="H32" s="747"/>
      <c r="I32" s="747"/>
      <c r="J32" s="768"/>
    </row>
    <row r="33" spans="2:11" x14ac:dyDescent="0.25">
      <c r="B33" s="359" t="s">
        <v>316</v>
      </c>
      <c r="C33" s="450">
        <f>SUM(C23:C31)</f>
        <v>0</v>
      </c>
      <c r="D33" s="450">
        <f>SUM(D23:D31)</f>
        <v>0</v>
      </c>
      <c r="E33" s="361">
        <f>SUM(E23:E31)</f>
        <v>0</v>
      </c>
      <c r="G33" s="769">
        <f>D34</f>
        <v>0</v>
      </c>
      <c r="H33" s="731" t="str">
        <f>CONCATENATE("",E1-1," Ending Cash Balance (est.)")</f>
        <v>2012 Ending Cash Balance (est.)</v>
      </c>
      <c r="I33" s="770"/>
      <c r="J33" s="768"/>
    </row>
    <row r="34" spans="2:11" x14ac:dyDescent="0.25">
      <c r="B34" s="169" t="s">
        <v>61</v>
      </c>
      <c r="C34" s="448">
        <f>C21-C33</f>
        <v>0</v>
      </c>
      <c r="D34" s="448">
        <f>D21-D33</f>
        <v>0</v>
      </c>
      <c r="E34" s="372" t="s">
        <v>290</v>
      </c>
      <c r="G34" s="769">
        <f>E20</f>
        <v>0</v>
      </c>
      <c r="H34" s="747" t="str">
        <f>CONCATENATE("",E1," Non-AV Receipts (est.)")</f>
        <v>2013 Non-AV Receipts (est.)</v>
      </c>
      <c r="I34" s="770"/>
      <c r="J34" s="768"/>
    </row>
    <row r="35" spans="2:11" x14ac:dyDescent="0.2">
      <c r="B35" s="199" t="str">
        <f>CONCATENATE("",E1-2,"/",E1-1," Budget Authority Amount:")</f>
        <v>2011/2012 Budget Authority Amount:</v>
      </c>
      <c r="C35" s="307">
        <f>inputOth!B88</f>
        <v>0</v>
      </c>
      <c r="D35" s="307">
        <f>inputPrYr!D30</f>
        <v>0</v>
      </c>
      <c r="E35" s="372" t="s">
        <v>290</v>
      </c>
      <c r="F35" s="373"/>
      <c r="G35" s="771">
        <f>IF(E39&gt;0,E38,E40)</f>
        <v>0</v>
      </c>
      <c r="H35" s="747" t="str">
        <f>CONCATENATE("",E1," Ad Valorem Tax (est.)")</f>
        <v>2013 Ad Valorem Tax (est.)</v>
      </c>
      <c r="I35" s="770"/>
      <c r="J35" s="772"/>
      <c r="K35" s="762" t="str">
        <f>IF(G35=E40,"","Note: Does not include Delinquent Taxes")</f>
        <v/>
      </c>
    </row>
    <row r="36" spans="2:11" x14ac:dyDescent="0.25">
      <c r="B36" s="199"/>
      <c r="C36" s="913" t="s">
        <v>697</v>
      </c>
      <c r="D36" s="914"/>
      <c r="E36" s="108"/>
      <c r="F36" s="805" t="str">
        <f>IF(E33/0.95-E33&lt;E36,"Exceeds 5%","")</f>
        <v/>
      </c>
      <c r="G36" s="769">
        <f>SUM(G33:G35)</f>
        <v>0</v>
      </c>
      <c r="H36" s="747" t="str">
        <f>CONCATENATE("Total ",E1," Resources Available")</f>
        <v>Total 2013 Resources Available</v>
      </c>
      <c r="I36" s="770"/>
      <c r="J36" s="768"/>
    </row>
    <row r="37" spans="2:11" x14ac:dyDescent="0.25">
      <c r="B37" s="558" t="str">
        <f>CONCATENATE(C90,"     ",D90)</f>
        <v xml:space="preserve">     </v>
      </c>
      <c r="C37" s="915" t="s">
        <v>698</v>
      </c>
      <c r="D37" s="916"/>
      <c r="E37" s="351">
        <f>E33+E36</f>
        <v>0</v>
      </c>
      <c r="G37" s="773"/>
      <c r="H37" s="747"/>
      <c r="I37" s="747"/>
      <c r="J37" s="768"/>
    </row>
    <row r="38" spans="2:11" x14ac:dyDescent="0.25">
      <c r="B38" s="558" t="str">
        <f>CONCATENATE(C91,"     ",D91)</f>
        <v xml:space="preserve">     </v>
      </c>
      <c r="C38" s="363"/>
      <c r="D38" s="230" t="s">
        <v>317</v>
      </c>
      <c r="E38" s="121">
        <f>IF(E37-E21&gt;0,E37-E21,0)</f>
        <v>0</v>
      </c>
      <c r="G38" s="771">
        <f>ROUND(C33*0.05+C33,0)</f>
        <v>0</v>
      </c>
      <c r="H38" s="747" t="str">
        <f>CONCATENATE("Less ",E1-2," Expenditures + 5%")</f>
        <v>Less 2011 Expenditures + 5%</v>
      </c>
      <c r="I38" s="770"/>
      <c r="J38" s="768"/>
    </row>
    <row r="39" spans="2:11" x14ac:dyDescent="0.25">
      <c r="B39" s="230"/>
      <c r="C39" s="508" t="s">
        <v>699</v>
      </c>
      <c r="D39" s="789">
        <f>inputOth!$E$66</f>
        <v>0</v>
      </c>
      <c r="E39" s="351">
        <f>ROUND(IF(D39&gt;0,(E38*D39),0),0)</f>
        <v>0</v>
      </c>
      <c r="G39" s="774">
        <f>G36-G38</f>
        <v>0</v>
      </c>
      <c r="H39" s="775" t="str">
        <f>CONCATENATE("Projected ",E1+1," carryover (est.)")</f>
        <v>Projected 2014 carryover (est.)</v>
      </c>
      <c r="I39" s="776"/>
      <c r="J39" s="777"/>
    </row>
    <row r="40" spans="2:11" ht="16.5" thickBot="1" x14ac:dyDescent="0.3">
      <c r="B40" s="139"/>
      <c r="C40" s="911" t="str">
        <f>CONCATENATE("Amount of  ",$E$1-1," Ad Valorem Tax")</f>
        <v>Amount of  2012 Ad Valorem Tax</v>
      </c>
      <c r="D40" s="912"/>
      <c r="E40" s="376">
        <f>E38+E39</f>
        <v>0</v>
      </c>
      <c r="G40" s="3"/>
      <c r="H40" s="3"/>
      <c r="I40" s="3"/>
      <c r="J40" s="3"/>
    </row>
    <row r="41" spans="2:11" ht="16.5" thickTop="1" x14ac:dyDescent="0.2">
      <c r="B41" s="86"/>
      <c r="C41" s="139"/>
      <c r="D41" s="139"/>
      <c r="E41" s="86"/>
      <c r="G41" s="922" t="s">
        <v>920</v>
      </c>
      <c r="H41" s="923"/>
      <c r="I41" s="923"/>
      <c r="J41" s="924"/>
    </row>
    <row r="42" spans="2:11" x14ac:dyDescent="0.2">
      <c r="B42" s="93"/>
      <c r="C42" s="295"/>
      <c r="D42" s="295"/>
      <c r="E42" s="295"/>
      <c r="G42" s="730"/>
      <c r="H42" s="731"/>
      <c r="I42" s="732"/>
      <c r="J42" s="733"/>
    </row>
    <row r="43" spans="2:11" x14ac:dyDescent="0.2">
      <c r="B43" s="93" t="s">
        <v>301</v>
      </c>
      <c r="C43" s="633" t="s">
        <v>833</v>
      </c>
      <c r="D43" s="634" t="s">
        <v>836</v>
      </c>
      <c r="E43" s="206" t="s">
        <v>835</v>
      </c>
      <c r="G43" s="734" t="str">
        <f>summ!H22</f>
        <v xml:space="preserve">  </v>
      </c>
      <c r="H43" s="731" t="str">
        <f>CONCATENATE("",E1," Fund Mill Rate")</f>
        <v>2013 Fund Mill Rate</v>
      </c>
      <c r="I43" s="732"/>
      <c r="J43" s="733"/>
    </row>
    <row r="44" spans="2:11" x14ac:dyDescent="0.2">
      <c r="B44" s="578">
        <f>inputPrYr!B31</f>
        <v>0</v>
      </c>
      <c r="C44" s="454" t="str">
        <f>C5</f>
        <v>Actual for 2011</v>
      </c>
      <c r="D44" s="454" t="str">
        <f>D5</f>
        <v>Estimate for 2012</v>
      </c>
      <c r="E44" s="272" t="str">
        <f>E5</f>
        <v>Year for 2013</v>
      </c>
      <c r="G44" s="735" t="str">
        <f>summ!E22</f>
        <v xml:space="preserve">  </v>
      </c>
      <c r="H44" s="731" t="str">
        <f>CONCATENATE("",E1-1," Fund Mill Rate")</f>
        <v>2012 Fund Mill Rate</v>
      </c>
      <c r="I44" s="732"/>
      <c r="J44" s="733"/>
    </row>
    <row r="45" spans="2:11" x14ac:dyDescent="0.2">
      <c r="B45" s="365" t="s">
        <v>60</v>
      </c>
      <c r="C45" s="446"/>
      <c r="D45" s="451">
        <f>C74</f>
        <v>0</v>
      </c>
      <c r="E45" s="351">
        <f>D74</f>
        <v>0</v>
      </c>
      <c r="G45" s="736">
        <f>summ!H52</f>
        <v>66.711000000000013</v>
      </c>
      <c r="H45" s="731" t="str">
        <f>CONCATENATE("Total ",E1," Mill Rate")</f>
        <v>Total 2013 Mill Rate</v>
      </c>
      <c r="I45" s="732"/>
      <c r="J45" s="733"/>
    </row>
    <row r="46" spans="2:11" x14ac:dyDescent="0.2">
      <c r="B46" s="365" t="s">
        <v>62</v>
      </c>
      <c r="C46" s="220"/>
      <c r="D46" s="220"/>
      <c r="E46" s="126"/>
      <c r="G46" s="735">
        <f>summ!E52</f>
        <v>66.711000000000013</v>
      </c>
      <c r="H46" s="737" t="str">
        <f>CONCATENATE("Total ",E1-1," Mill Rate")</f>
        <v>Total 2012 Mill Rate</v>
      </c>
      <c r="I46" s="738"/>
      <c r="J46" s="739"/>
    </row>
    <row r="47" spans="2:11" x14ac:dyDescent="0.2">
      <c r="B47" s="169" t="s">
        <v>302</v>
      </c>
      <c r="C47" s="446"/>
      <c r="D47" s="451">
        <f>IF(inputPrYr!H21&gt;0,inputPrYr!G31,inputPrYr!E31)</f>
        <v>0</v>
      </c>
      <c r="E47" s="372" t="s">
        <v>290</v>
      </c>
    </row>
    <row r="48" spans="2:11" x14ac:dyDescent="0.2">
      <c r="B48" s="169" t="s">
        <v>303</v>
      </c>
      <c r="C48" s="446"/>
      <c r="D48" s="446"/>
      <c r="E48" s="108"/>
    </row>
    <row r="49" spans="2:10" x14ac:dyDescent="0.2">
      <c r="B49" s="169" t="s">
        <v>304</v>
      </c>
      <c r="C49" s="446"/>
      <c r="D49" s="446"/>
      <c r="E49" s="351" t="str">
        <f>mvalloc!D16</f>
        <v xml:space="preserve">  </v>
      </c>
    </row>
    <row r="50" spans="2:10" x14ac:dyDescent="0.2">
      <c r="B50" s="169" t="s">
        <v>305</v>
      </c>
      <c r="C50" s="446"/>
      <c r="D50" s="446"/>
      <c r="E50" s="351" t="str">
        <f>mvalloc!E16</f>
        <v xml:space="preserve"> </v>
      </c>
    </row>
    <row r="51" spans="2:10" x14ac:dyDescent="0.2">
      <c r="B51" s="220" t="s">
        <v>38</v>
      </c>
      <c r="C51" s="446"/>
      <c r="D51" s="446"/>
      <c r="E51" s="351" t="str">
        <f>mvalloc!F16</f>
        <v xml:space="preserve"> </v>
      </c>
    </row>
    <row r="52" spans="2:10" x14ac:dyDescent="0.2">
      <c r="B52" s="353"/>
      <c r="C52" s="446"/>
      <c r="D52" s="446"/>
      <c r="E52" s="108"/>
    </row>
    <row r="53" spans="2:10" x14ac:dyDescent="0.2">
      <c r="B53" s="353"/>
      <c r="C53" s="446"/>
      <c r="D53" s="446"/>
      <c r="E53" s="108"/>
    </row>
    <row r="54" spans="2:10" x14ac:dyDescent="0.2">
      <c r="B54" s="353"/>
      <c r="C54" s="446"/>
      <c r="D54" s="446"/>
      <c r="E54" s="108"/>
    </row>
    <row r="55" spans="2:10" x14ac:dyDescent="0.2">
      <c r="B55" s="353"/>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693</v>
      </c>
      <c r="C59" s="447" t="str">
        <f>IF(C60*0.1&lt;C58,"Exceed 10% Rule","")</f>
        <v/>
      </c>
      <c r="D59" s="447" t="str">
        <f>IF(D60*0.1&lt;D58,"Exceed 10% Rule","")</f>
        <v/>
      </c>
      <c r="E59" s="384" t="str">
        <f>IF(E60*0.1+E80&lt;E58,"Exceed 10% Rule","")</f>
        <v/>
      </c>
    </row>
    <row r="60" spans="2:10" x14ac:dyDescent="0.2">
      <c r="B60" s="359" t="s">
        <v>309</v>
      </c>
      <c r="C60" s="450">
        <f>SUM(C47:C58)</f>
        <v>0</v>
      </c>
      <c r="D60" s="450">
        <f>SUM(D47:D58)</f>
        <v>0</v>
      </c>
      <c r="E60" s="361">
        <f>SUM(E47:E58)</f>
        <v>0</v>
      </c>
    </row>
    <row r="61" spans="2:10" x14ac:dyDescent="0.2">
      <c r="B61" s="359" t="s">
        <v>310</v>
      </c>
      <c r="C61" s="450">
        <f>C45+C60</f>
        <v>0</v>
      </c>
      <c r="D61" s="450">
        <f>D45+D60</f>
        <v>0</v>
      </c>
      <c r="E61" s="361">
        <f>E45+E60</f>
        <v>0</v>
      </c>
    </row>
    <row r="62" spans="2:10" x14ac:dyDescent="0.2">
      <c r="B62" s="169" t="s">
        <v>312</v>
      </c>
      <c r="C62" s="357"/>
      <c r="D62" s="357"/>
      <c r="E62" s="107"/>
    </row>
    <row r="63" spans="2:10" x14ac:dyDescent="0.2">
      <c r="B63" s="353"/>
      <c r="C63" s="446"/>
      <c r="D63" s="446"/>
      <c r="E63" s="108"/>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nhood!E14</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692</v>
      </c>
      <c r="C72" s="447" t="str">
        <f>IF(C73*0.1&lt;C71,"Exceed 10% Rule","")</f>
        <v/>
      </c>
      <c r="D72" s="447" t="str">
        <f>IF(D73*0.1&lt;D71,"Exceed 10% Rule","")</f>
        <v/>
      </c>
      <c r="E72" s="384" t="str">
        <f>IF(E73*0.1&lt;E71,"Exceed 10% Rule","")</f>
        <v/>
      </c>
      <c r="G72" s="507"/>
      <c r="H72" s="506"/>
      <c r="I72" s="506"/>
      <c r="J72" s="505"/>
    </row>
    <row r="73" spans="2:11" x14ac:dyDescent="0.2">
      <c r="B73" s="359" t="s">
        <v>316</v>
      </c>
      <c r="C73" s="450">
        <f>SUM(C63:C71)</f>
        <v>0</v>
      </c>
      <c r="D73" s="450">
        <f>SUM(D63:D71)</f>
        <v>0</v>
      </c>
      <c r="E73" s="361">
        <f>SUM(E63:E71)</f>
        <v>0</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0</v>
      </c>
      <c r="H74" s="747" t="str">
        <f>CONCATENATE("",E1," Non-AV Receipts (est.)")</f>
        <v>2013 Non-AV Receipts (est.)</v>
      </c>
      <c r="I74" s="770"/>
      <c r="J74" s="505"/>
    </row>
    <row r="75" spans="2:11" x14ac:dyDescent="0.2">
      <c r="B75" s="199" t="str">
        <f>CONCATENATE("",E1-2,"/",E1-1," Budget Authority Amount:")</f>
        <v>2011/2012 Budget Authority Amount:</v>
      </c>
      <c r="C75" s="307">
        <f>inputOth!B89</f>
        <v>0</v>
      </c>
      <c r="D75" s="307">
        <f>inputPrYr!D31</f>
        <v>0</v>
      </c>
      <c r="E75" s="372" t="s">
        <v>290</v>
      </c>
      <c r="F75" s="373"/>
      <c r="G75" s="771">
        <f>IF(D79&gt;0,E78,E80)</f>
        <v>0</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0</v>
      </c>
      <c r="H76" s="747" t="str">
        <f>CONCATENATE("Total ",E1," Resources Available")</f>
        <v>Total 2013 Resources Available</v>
      </c>
      <c r="I76" s="505"/>
      <c r="J76" s="505"/>
    </row>
    <row r="77" spans="2:11" x14ac:dyDescent="0.2">
      <c r="B77" s="558" t="str">
        <f>CONCATENATE(C92,"     ",D92)</f>
        <v xml:space="preserve">     </v>
      </c>
      <c r="C77" s="915" t="s">
        <v>698</v>
      </c>
      <c r="D77" s="916"/>
      <c r="E77" s="351">
        <f>E73+E76</f>
        <v>0</v>
      </c>
      <c r="G77" s="530"/>
      <c r="H77" s="532"/>
      <c r="I77" s="506"/>
      <c r="J77" s="505"/>
    </row>
    <row r="78" spans="2:11" x14ac:dyDescent="0.2">
      <c r="B78" s="558" t="str">
        <f>CONCATENATE(C93,"     ",D93)</f>
        <v xml:space="preserve">     </v>
      </c>
      <c r="C78" s="363"/>
      <c r="D78" s="230" t="s">
        <v>317</v>
      </c>
      <c r="E78" s="121">
        <f>IF(E77-E61&gt;0,E77-E61,0)</f>
        <v>0</v>
      </c>
      <c r="G78" s="531">
        <f>ROUND(C73*0.05+C73,0)</f>
        <v>0</v>
      </c>
      <c r="H78" s="747" t="str">
        <f>CONCATENATE("Less ",E1-2," Expenditures + 5%")</f>
        <v>Less 2011 Expenditures + 5%</v>
      </c>
      <c r="I78" s="505"/>
      <c r="J78" s="505"/>
    </row>
    <row r="79" spans="2:11" x14ac:dyDescent="0.25">
      <c r="B79" s="230"/>
      <c r="C79" s="508" t="s">
        <v>699</v>
      </c>
      <c r="D79" s="789">
        <f>inputOth!$E$66</f>
        <v>0</v>
      </c>
      <c r="E79" s="351">
        <f>ROUND(IF(D79&gt;0,(E78*D79),0),0)</f>
        <v>0</v>
      </c>
      <c r="G79" s="529">
        <f>G76-G78</f>
        <v>0</v>
      </c>
      <c r="H79" s="775" t="str">
        <f>CONCATENATE("Projected ",E1+1," carryover (est.)")</f>
        <v>Projected 2014 carryover (est.)</v>
      </c>
      <c r="I79" s="504"/>
      <c r="J79" s="777"/>
    </row>
    <row r="80" spans="2:11" ht="16.5" thickBot="1" x14ac:dyDescent="0.3">
      <c r="B80" s="86"/>
      <c r="C80" s="911" t="str">
        <f>CONCATENATE("Amount of  ",$E$1-1," Ad Valorem Tax")</f>
        <v>Amount of  2012 Ad Valorem Tax</v>
      </c>
      <c r="D80" s="912"/>
      <c r="E80" s="376">
        <f>E78+E79</f>
        <v>0</v>
      </c>
      <c r="G80" s="3"/>
      <c r="H80" s="3"/>
      <c r="I80" s="3"/>
    </row>
    <row r="81" spans="2:10" ht="16.5" thickTop="1" x14ac:dyDescent="0.2">
      <c r="B81" s="86"/>
      <c r="C81" s="86"/>
      <c r="D81" s="86"/>
      <c r="E81" s="86"/>
      <c r="G81" s="922" t="s">
        <v>920</v>
      </c>
      <c r="H81" s="923"/>
      <c r="I81" s="923"/>
      <c r="J81" s="924"/>
    </row>
    <row r="82" spans="2:10" x14ac:dyDescent="0.2">
      <c r="B82" s="199" t="s">
        <v>319</v>
      </c>
      <c r="C82" s="301"/>
      <c r="D82" s="86"/>
      <c r="E82" s="86"/>
      <c r="G82" s="730"/>
      <c r="H82" s="731"/>
      <c r="I82" s="732"/>
      <c r="J82" s="733"/>
    </row>
    <row r="83" spans="2:10" x14ac:dyDescent="0.2">
      <c r="G83" s="734" t="str">
        <f>summ!H23</f>
        <v xml:space="preserve">  </v>
      </c>
      <c r="H83" s="731" t="str">
        <f>CONCATENATE("",E1," Fund Mill Rate")</f>
        <v>2013 Fund Mill Rate</v>
      </c>
      <c r="I83" s="732"/>
      <c r="J83" s="733"/>
    </row>
    <row r="84" spans="2:10" x14ac:dyDescent="0.2">
      <c r="G84" s="735" t="str">
        <f>summ!E23</f>
        <v xml:space="preserve">  </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0" spans="2:10" hidden="1" x14ac:dyDescent="0.2">
      <c r="C90" s="82" t="str">
        <f>IF(C33&gt;C35,"See Tab A","")</f>
        <v/>
      </c>
      <c r="D90" s="82" t="str">
        <f>IF(D33&gt;D35,"See Tab C","")</f>
        <v/>
      </c>
    </row>
    <row r="91" spans="2:10" hidden="1" x14ac:dyDescent="0.2">
      <c r="C91" s="82" t="str">
        <f>IF(C34&lt;0,"See Tab B","")</f>
        <v/>
      </c>
      <c r="D91" s="82" t="str">
        <f>IF(D34&lt;0,"See Tab D","")</f>
        <v/>
      </c>
    </row>
    <row r="92" spans="2:10" hidden="1" x14ac:dyDescent="0.2">
      <c r="C92" s="82" t="str">
        <f>IF(C73&gt;C75,"See Tab A","")</f>
        <v/>
      </c>
      <c r="D92" s="82" t="str">
        <f>IF(D73&gt;D75,"See Tab C","")</f>
        <v/>
      </c>
    </row>
    <row r="93" spans="2:10" hidden="1" x14ac:dyDescent="0.2">
      <c r="C93" s="82" t="str">
        <f>IF(C74&lt;0,"See Tab B","")</f>
        <v/>
      </c>
      <c r="D93" s="82" t="str">
        <f>IF(D74&lt;0,"See Tab D","")</f>
        <v/>
      </c>
    </row>
  </sheetData>
  <sheetProtection sheet="1"/>
  <mergeCells count="12">
    <mergeCell ref="G81:J81"/>
    <mergeCell ref="G24:J24"/>
    <mergeCell ref="G31:J31"/>
    <mergeCell ref="G41:J41"/>
    <mergeCell ref="G64:J64"/>
    <mergeCell ref="G71:J71"/>
    <mergeCell ref="C36:D36"/>
    <mergeCell ref="C37:D37"/>
    <mergeCell ref="C80:D80"/>
    <mergeCell ref="C40:D40"/>
    <mergeCell ref="C76:D76"/>
    <mergeCell ref="C77:D77"/>
  </mergeCells>
  <phoneticPr fontId="0" type="noConversion"/>
  <conditionalFormatting sqref="E71">
    <cfRule type="cellIs" dxfId="252" priority="4" stopIfTrue="1" operator="greaterThan">
      <formula>$E$73*0.1</formula>
    </cfRule>
  </conditionalFormatting>
  <conditionalFormatting sqref="E31">
    <cfRule type="cellIs" dxfId="251" priority="5" stopIfTrue="1" operator="greaterThan">
      <formula>$E$33*0.1</formula>
    </cfRule>
  </conditionalFormatting>
  <conditionalFormatting sqref="E36">
    <cfRule type="cellIs" dxfId="250" priority="6" stopIfTrue="1" operator="greaterThan">
      <formula>$E$33/0.95-$E$33</formula>
    </cfRule>
  </conditionalFormatting>
  <conditionalFormatting sqref="E76">
    <cfRule type="cellIs" dxfId="249" priority="7" stopIfTrue="1" operator="greaterThan">
      <formula>$E$73/0.95-$E$73</formula>
    </cfRule>
  </conditionalFormatting>
  <conditionalFormatting sqref="D71">
    <cfRule type="cellIs" dxfId="248" priority="8" stopIfTrue="1" operator="greaterThan">
      <formula>$D$73*0.1</formula>
    </cfRule>
  </conditionalFormatting>
  <conditionalFormatting sqref="C71">
    <cfRule type="cellIs" dxfId="247" priority="9" stopIfTrue="1" operator="greaterThan">
      <formula>$C$73*0.1</formula>
    </cfRule>
  </conditionalFormatting>
  <conditionalFormatting sqref="D73">
    <cfRule type="cellIs" dxfId="246" priority="10" stopIfTrue="1" operator="greaterThan">
      <formula>$D$75</formula>
    </cfRule>
  </conditionalFormatting>
  <conditionalFormatting sqref="C73">
    <cfRule type="cellIs" dxfId="245" priority="11" stopIfTrue="1" operator="greaterThan">
      <formula>$C$75</formula>
    </cfRule>
  </conditionalFormatting>
  <conditionalFormatting sqref="C74 C34">
    <cfRule type="cellIs" dxfId="244" priority="12" stopIfTrue="1" operator="lessThan">
      <formula>0</formula>
    </cfRule>
  </conditionalFormatting>
  <conditionalFormatting sqref="D58">
    <cfRule type="cellIs" dxfId="243" priority="13" stopIfTrue="1" operator="greaterThan">
      <formula>$D$60*0.1</formula>
    </cfRule>
  </conditionalFormatting>
  <conditionalFormatting sqref="C58">
    <cfRule type="cellIs" dxfId="242" priority="14" stopIfTrue="1" operator="greaterThan">
      <formula>$C$60*0.1</formula>
    </cfRule>
  </conditionalFormatting>
  <conditionalFormatting sqref="D31">
    <cfRule type="cellIs" dxfId="241" priority="15" stopIfTrue="1" operator="greaterThan">
      <formula>$D$33*0.1</formula>
    </cfRule>
  </conditionalFormatting>
  <conditionalFormatting sqref="D33">
    <cfRule type="cellIs" dxfId="240" priority="17" stopIfTrue="1" operator="greaterThan">
      <formula>$D$35</formula>
    </cfRule>
  </conditionalFormatting>
  <conditionalFormatting sqref="C33">
    <cfRule type="cellIs" dxfId="239" priority="18" stopIfTrue="1" operator="greaterThan">
      <formula>$C$35</formula>
    </cfRule>
  </conditionalFormatting>
  <conditionalFormatting sqref="D18">
    <cfRule type="cellIs" dxfId="238" priority="19" stopIfTrue="1" operator="greaterThan">
      <formula>$D$20*0.1</formula>
    </cfRule>
  </conditionalFormatting>
  <conditionalFormatting sqref="C18">
    <cfRule type="cellIs" dxfId="237" priority="20" stopIfTrue="1" operator="greaterThan">
      <formula>$C$20*0.1</formula>
    </cfRule>
  </conditionalFormatting>
  <conditionalFormatting sqref="E18">
    <cfRule type="cellIs" dxfId="236" priority="21" stopIfTrue="1" operator="greaterThan">
      <formula>$E$20*0.1+$E$40</formula>
    </cfRule>
  </conditionalFormatting>
  <conditionalFormatting sqref="E58">
    <cfRule type="cellIs" dxfId="235" priority="22" stopIfTrue="1" operator="greaterThan">
      <formula>$E$60*0.1+$E$80</formula>
    </cfRule>
  </conditionalFormatting>
  <conditionalFormatting sqref="D74 D34">
    <cfRule type="cellIs" dxfId="234" priority="3" stopIfTrue="1" operator="lessThan">
      <formula>0</formula>
    </cfRule>
  </conditionalFormatting>
  <conditionalFormatting sqref="C31">
    <cfRule type="cellIs" dxfId="233" priority="1" stopIfTrue="1" operator="greaterThan">
      <formula>$C$33*0.1</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zoomScaleNormal="100" workbookViewId="0">
      <selection activeCell="D48" sqref="D48"/>
    </sheetView>
  </sheetViews>
  <sheetFormatPr defaultRowHeight="15.75" x14ac:dyDescent="0.2"/>
  <cols>
    <col min="1" max="1" width="2.44140625" style="82" customWidth="1"/>
    <col min="2" max="2" width="31.44140625" style="82" customWidth="1"/>
    <col min="3" max="4" width="15.77734375" style="82" customWidth="1"/>
    <col min="5" max="5" width="16.2187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6</v>
      </c>
      <c r="C3" s="263"/>
      <c r="D3" s="263"/>
      <c r="E3" s="371"/>
    </row>
    <row r="4" spans="2:5" x14ac:dyDescent="0.2">
      <c r="B4" s="93" t="s">
        <v>301</v>
      </c>
      <c r="C4" s="633" t="s">
        <v>833</v>
      </c>
      <c r="D4" s="634" t="s">
        <v>834</v>
      </c>
      <c r="E4" s="206" t="s">
        <v>835</v>
      </c>
    </row>
    <row r="5" spans="2:5" x14ac:dyDescent="0.2">
      <c r="B5" s="579">
        <f>inputPrYr!B32</f>
        <v>0</v>
      </c>
      <c r="C5" s="454" t="str">
        <f>CONCATENATE("Actual for ",E1-2,"")</f>
        <v>Actual for 2011</v>
      </c>
      <c r="D5" s="454" t="str">
        <f>CONCATENATE("Estimate for ",E1-1,"")</f>
        <v>Estimate for 2012</v>
      </c>
      <c r="E5" s="272" t="str">
        <f>CONCATENATE("Year for ",E1,"")</f>
        <v>Year for 2013</v>
      </c>
    </row>
    <row r="6" spans="2:5" x14ac:dyDescent="0.2">
      <c r="B6" s="365" t="s">
        <v>60</v>
      </c>
      <c r="C6" s="446"/>
      <c r="D6" s="451">
        <f>C34</f>
        <v>0</v>
      </c>
      <c r="E6" s="351">
        <f>D34</f>
        <v>0</v>
      </c>
    </row>
    <row r="7" spans="2:5" x14ac:dyDescent="0.2">
      <c r="B7" s="366" t="s">
        <v>62</v>
      </c>
      <c r="C7" s="220"/>
      <c r="D7" s="220"/>
      <c r="E7" s="126"/>
    </row>
    <row r="8" spans="2:5" x14ac:dyDescent="0.2">
      <c r="B8" s="169" t="s">
        <v>302</v>
      </c>
      <c r="C8" s="446"/>
      <c r="D8" s="451">
        <f>IF(inputPrYr!H21&gt;0,inputPrYr!G32,inputPrYr!E32)</f>
        <v>0</v>
      </c>
      <c r="E8" s="372" t="s">
        <v>290</v>
      </c>
    </row>
    <row r="9" spans="2:5" x14ac:dyDescent="0.2">
      <c r="B9" s="169" t="s">
        <v>303</v>
      </c>
      <c r="C9" s="446"/>
      <c r="D9" s="446"/>
      <c r="E9" s="108"/>
    </row>
    <row r="10" spans="2:5" x14ac:dyDescent="0.2">
      <c r="B10" s="169" t="s">
        <v>304</v>
      </c>
      <c r="C10" s="446"/>
      <c r="D10" s="446"/>
      <c r="E10" s="351" t="str">
        <f>mvalloc!D17</f>
        <v xml:space="preserve">  </v>
      </c>
    </row>
    <row r="11" spans="2:5" x14ac:dyDescent="0.2">
      <c r="B11" s="169" t="s">
        <v>305</v>
      </c>
      <c r="C11" s="446"/>
      <c r="D11" s="446"/>
      <c r="E11" s="351" t="str">
        <f>mvalloc!E17</f>
        <v xml:space="preserve"> </v>
      </c>
    </row>
    <row r="12" spans="2:5" x14ac:dyDescent="0.2">
      <c r="B12" s="220" t="s">
        <v>38</v>
      </c>
      <c r="C12" s="446"/>
      <c r="D12" s="446"/>
      <c r="E12" s="351" t="str">
        <f>mvalloc!F17</f>
        <v xml:space="preserve"> </v>
      </c>
    </row>
    <row r="13" spans="2:5" x14ac:dyDescent="0.2">
      <c r="B13" s="353"/>
      <c r="C13" s="446"/>
      <c r="D13" s="446"/>
      <c r="E13" s="108"/>
    </row>
    <row r="14" spans="2:5" x14ac:dyDescent="0.2">
      <c r="B14" s="353"/>
      <c r="C14" s="446"/>
      <c r="D14" s="446"/>
      <c r="E14" s="108"/>
    </row>
    <row r="15" spans="2:5" x14ac:dyDescent="0.2">
      <c r="B15" s="353"/>
      <c r="C15" s="446"/>
      <c r="D15" s="446"/>
      <c r="E15" s="108"/>
    </row>
    <row r="16" spans="2:5" x14ac:dyDescent="0.2">
      <c r="B16" s="353"/>
      <c r="C16" s="446"/>
      <c r="D16" s="446"/>
      <c r="E16" s="108"/>
    </row>
    <row r="17" spans="2:10" x14ac:dyDescent="0.2">
      <c r="B17" s="367" t="s">
        <v>308</v>
      </c>
      <c r="C17" s="446"/>
      <c r="D17" s="446"/>
      <c r="E17" s="108"/>
    </row>
    <row r="18" spans="2:10" x14ac:dyDescent="0.2">
      <c r="B18" s="357" t="s">
        <v>198</v>
      </c>
      <c r="C18" s="446"/>
      <c r="D18" s="446"/>
      <c r="E18" s="108"/>
    </row>
    <row r="19" spans="2:10" x14ac:dyDescent="0.2">
      <c r="B19" s="357" t="s">
        <v>200</v>
      </c>
      <c r="C19" s="447" t="str">
        <f>IF(C20*0.1&lt;C18,"Exceed 10% Rule","")</f>
        <v/>
      </c>
      <c r="D19" s="447" t="str">
        <f>IF(D20*0.1&lt;D18,"Exceed 10% Rule","")</f>
        <v/>
      </c>
      <c r="E19" s="384" t="str">
        <f>IF(E20*0.1+E40&lt;E18,"Exceed 10% Rule","")</f>
        <v/>
      </c>
    </row>
    <row r="20" spans="2:10" x14ac:dyDescent="0.2">
      <c r="B20" s="359" t="s">
        <v>309</v>
      </c>
      <c r="C20" s="450">
        <f>SUM(C8:C18)</f>
        <v>0</v>
      </c>
      <c r="D20" s="450">
        <f>SUM(D8:D18)</f>
        <v>0</v>
      </c>
      <c r="E20" s="361">
        <f>SUM(E8:E18)</f>
        <v>0</v>
      </c>
    </row>
    <row r="21" spans="2:10" x14ac:dyDescent="0.2">
      <c r="B21" s="359" t="s">
        <v>310</v>
      </c>
      <c r="C21" s="450">
        <f>C6+C20</f>
        <v>0</v>
      </c>
      <c r="D21" s="450">
        <f>D6+D20</f>
        <v>0</v>
      </c>
      <c r="E21" s="361">
        <f>E6+E20</f>
        <v>0</v>
      </c>
    </row>
    <row r="22" spans="2:10" x14ac:dyDescent="0.2">
      <c r="B22" s="169" t="s">
        <v>312</v>
      </c>
      <c r="C22" s="357"/>
      <c r="D22" s="357"/>
      <c r="E22" s="107"/>
    </row>
    <row r="23" spans="2:10" x14ac:dyDescent="0.2">
      <c r="B23" s="353"/>
      <c r="C23" s="446"/>
      <c r="D23" s="446"/>
      <c r="E23" s="108"/>
    </row>
    <row r="24" spans="2:10" x14ac:dyDescent="0.2">
      <c r="B24" s="353"/>
      <c r="C24" s="446"/>
      <c r="D24" s="446"/>
      <c r="E24" s="108"/>
      <c r="G24" s="925" t="str">
        <f>CONCATENATE("Desired Carryover Into ",E1+1,"")</f>
        <v>Desired Carryover Into 2014</v>
      </c>
      <c r="H24" s="920"/>
      <c r="I24" s="920"/>
      <c r="J24" s="921"/>
    </row>
    <row r="25" spans="2:10" x14ac:dyDescent="0.2">
      <c r="B25" s="353"/>
      <c r="C25" s="446"/>
      <c r="D25" s="446"/>
      <c r="E25" s="108"/>
      <c r="G25" s="746"/>
      <c r="H25" s="506"/>
      <c r="I25" s="747"/>
      <c r="J25" s="748"/>
    </row>
    <row r="26" spans="2:10" x14ac:dyDescent="0.2">
      <c r="B26" s="353"/>
      <c r="C26" s="446"/>
      <c r="D26" s="446"/>
      <c r="E26" s="108"/>
      <c r="G26" s="749" t="s">
        <v>700</v>
      </c>
      <c r="H26" s="747"/>
      <c r="I26" s="747"/>
      <c r="J26" s="750">
        <v>0</v>
      </c>
    </row>
    <row r="27" spans="2:10" x14ac:dyDescent="0.2">
      <c r="B27" s="353"/>
      <c r="C27" s="446"/>
      <c r="D27" s="446"/>
      <c r="E27" s="108"/>
      <c r="G27" s="746" t="s">
        <v>701</v>
      </c>
      <c r="H27" s="506"/>
      <c r="I27" s="506"/>
      <c r="J27" s="767" t="str">
        <f>IF(J26=0,"",ROUND((J26+E40-G39)/inputOth!B14*1000,3)-G44)</f>
        <v/>
      </c>
    </row>
    <row r="28" spans="2:10" x14ac:dyDescent="0.2">
      <c r="B28" s="353"/>
      <c r="C28" s="446"/>
      <c r="D28" s="446"/>
      <c r="E28" s="108"/>
      <c r="G28" s="752" t="str">
        <f>CONCATENATE("",E1," Tot Exp/Non-Appr Must Be:")</f>
        <v>2013 Tot Exp/Non-Appr Must Be:</v>
      </c>
      <c r="H28" s="753"/>
      <c r="I28" s="754"/>
      <c r="J28" s="755">
        <f>IF(J26&gt;0,IF(E37&lt;E21,IF(J26=G39,E37,((J26-G39)*(1-D39))+E21),E37+(J26-G39)),0)</f>
        <v>0</v>
      </c>
    </row>
    <row r="29" spans="2:10" x14ac:dyDescent="0.2">
      <c r="B29" s="353"/>
      <c r="C29" s="446"/>
      <c r="D29" s="446"/>
      <c r="E29" s="108"/>
      <c r="G29" s="716" t="s">
        <v>919</v>
      </c>
      <c r="H29" s="756"/>
      <c r="I29" s="756"/>
      <c r="J29" s="718">
        <f>IF(J26&gt;0,J28-E37,0)</f>
        <v>0</v>
      </c>
    </row>
    <row r="30" spans="2:10" x14ac:dyDescent="0.25">
      <c r="B30" s="357" t="s">
        <v>197</v>
      </c>
      <c r="C30" s="446"/>
      <c r="D30" s="446"/>
      <c r="E30" s="121" t="str">
        <f>nhood!E15</f>
        <v/>
      </c>
      <c r="J30" s="3"/>
    </row>
    <row r="31" spans="2:10" x14ac:dyDescent="0.2">
      <c r="B31" s="357" t="s">
        <v>198</v>
      </c>
      <c r="C31" s="446"/>
      <c r="D31" s="446"/>
      <c r="E31" s="108"/>
      <c r="G31" s="925" t="str">
        <f>CONCATENATE("Projected Carryover Into ",E1+1,"")</f>
        <v>Projected Carryover Into 2014</v>
      </c>
      <c r="H31" s="927"/>
      <c r="I31" s="927"/>
      <c r="J31" s="929"/>
    </row>
    <row r="32" spans="2:10" x14ac:dyDescent="0.25">
      <c r="B32" s="357" t="s">
        <v>199</v>
      </c>
      <c r="C32" s="447" t="str">
        <f>IF(C33*0.1&lt;C31,"Exceed 10% Rule","")</f>
        <v/>
      </c>
      <c r="D32" s="447" t="str">
        <f>IF(D33*0.1&lt;D31,"Exceed 10% Rule","")</f>
        <v/>
      </c>
      <c r="E32" s="384" t="str">
        <f>IF(E33*0.1&lt;E31,"Exceed 10% Rule","")</f>
        <v/>
      </c>
      <c r="G32" s="746"/>
      <c r="H32" s="747"/>
      <c r="I32" s="747"/>
      <c r="J32" s="768"/>
    </row>
    <row r="33" spans="2:11" x14ac:dyDescent="0.25">
      <c r="B33" s="359" t="s">
        <v>316</v>
      </c>
      <c r="C33" s="450">
        <f>SUM(C23:C31)</f>
        <v>0</v>
      </c>
      <c r="D33" s="450">
        <f>SUM(D23:D31)</f>
        <v>0</v>
      </c>
      <c r="E33" s="361">
        <f>SUM(E23:E31)</f>
        <v>0</v>
      </c>
      <c r="G33" s="769">
        <f>D34</f>
        <v>0</v>
      </c>
      <c r="H33" s="731" t="str">
        <f>CONCATENATE("",E1-1," Ending Cash Balance (est.)")</f>
        <v>2012 Ending Cash Balance (est.)</v>
      </c>
      <c r="I33" s="770"/>
      <c r="J33" s="768"/>
    </row>
    <row r="34" spans="2:11" x14ac:dyDescent="0.25">
      <c r="B34" s="169" t="s">
        <v>61</v>
      </c>
      <c r="C34" s="448">
        <f>C21-C33</f>
        <v>0</v>
      </c>
      <c r="D34" s="448">
        <f>D21-D33</f>
        <v>0</v>
      </c>
      <c r="E34" s="372" t="s">
        <v>290</v>
      </c>
      <c r="G34" s="769">
        <f>E20</f>
        <v>0</v>
      </c>
      <c r="H34" s="747" t="str">
        <f>CONCATENATE("",E1," Non-AV Receipts (est.)")</f>
        <v>2013 Non-AV Receipts (est.)</v>
      </c>
      <c r="I34" s="770"/>
      <c r="J34" s="768"/>
    </row>
    <row r="35" spans="2:11" x14ac:dyDescent="0.2">
      <c r="B35" s="199" t="str">
        <f>CONCATENATE("",E1-2,"/",E1-1," Budget Authority Amount:")</f>
        <v>2011/2012 Budget Authority Amount:</v>
      </c>
      <c r="C35" s="307">
        <f>inputOth!B90</f>
        <v>0</v>
      </c>
      <c r="D35" s="307">
        <f>inputPrYr!D32</f>
        <v>0</v>
      </c>
      <c r="E35" s="372" t="s">
        <v>290</v>
      </c>
      <c r="F35" s="373"/>
      <c r="G35" s="771">
        <f>IF(E39&gt;0,E38,E40)</f>
        <v>0</v>
      </c>
      <c r="H35" s="747" t="str">
        <f>CONCATENATE("",E1," Ad Valorem Tax (est.)")</f>
        <v>2013 Ad Valorem Tax (est.)</v>
      </c>
      <c r="I35" s="770"/>
      <c r="J35" s="772"/>
      <c r="K35" s="762" t="str">
        <f>IF(G35=E40,"","Note: Does not include Delinquent Taxes")</f>
        <v/>
      </c>
    </row>
    <row r="36" spans="2:11" x14ac:dyDescent="0.25">
      <c r="B36" s="199"/>
      <c r="C36" s="913" t="s">
        <v>697</v>
      </c>
      <c r="D36" s="914"/>
      <c r="E36" s="108"/>
      <c r="F36" s="805" t="str">
        <f>IF(E33/0.95-E33&lt;E36,"Exceeds 5%","")</f>
        <v/>
      </c>
      <c r="G36" s="769">
        <f>SUM(G33:G35)</f>
        <v>0</v>
      </c>
      <c r="H36" s="747" t="str">
        <f>CONCATENATE("Total ",E1," Resources Available")</f>
        <v>Total 2013 Resources Available</v>
      </c>
      <c r="I36" s="770"/>
      <c r="J36" s="768"/>
    </row>
    <row r="37" spans="2:11" x14ac:dyDescent="0.25">
      <c r="B37" s="558" t="str">
        <f>CONCATENATE(C90,"     ",D90)</f>
        <v xml:space="preserve">     </v>
      </c>
      <c r="C37" s="915" t="s">
        <v>698</v>
      </c>
      <c r="D37" s="916"/>
      <c r="E37" s="351">
        <f>E33+E36</f>
        <v>0</v>
      </c>
      <c r="G37" s="773"/>
      <c r="H37" s="747"/>
      <c r="I37" s="747"/>
      <c r="J37" s="768"/>
    </row>
    <row r="38" spans="2:11" x14ac:dyDescent="0.25">
      <c r="B38" s="558" t="str">
        <f>CONCATENATE(C91,"     ",D91)</f>
        <v xml:space="preserve">     </v>
      </c>
      <c r="C38" s="363"/>
      <c r="D38" s="230" t="s">
        <v>317</v>
      </c>
      <c r="E38" s="121">
        <f>IF(E37-E21&gt;0,E37-E21,0)</f>
        <v>0</v>
      </c>
      <c r="G38" s="771">
        <f>ROUND(C33*0.05+C33,0)</f>
        <v>0</v>
      </c>
      <c r="H38" s="747" t="str">
        <f>CONCATENATE("Less ",E1-2," Expenditures + 5%")</f>
        <v>Less 2011 Expenditures + 5%</v>
      </c>
      <c r="I38" s="770"/>
      <c r="J38" s="768"/>
    </row>
    <row r="39" spans="2:11" x14ac:dyDescent="0.25">
      <c r="B39" s="199"/>
      <c r="C39" s="508" t="s">
        <v>699</v>
      </c>
      <c r="D39" s="789">
        <f>inputOth!$E$66</f>
        <v>0</v>
      </c>
      <c r="E39" s="351">
        <f>ROUND(IF(D39&gt;0,(E38*D39),0),0)</f>
        <v>0</v>
      </c>
      <c r="G39" s="774">
        <f>G36-G38</f>
        <v>0</v>
      </c>
      <c r="H39" s="775" t="str">
        <f>CONCATENATE("Projected ",E1+1," carryover (est.)")</f>
        <v>Projected 2014 carryover (est.)</v>
      </c>
      <c r="I39" s="776"/>
      <c r="J39" s="777"/>
    </row>
    <row r="40" spans="2:11" ht="16.5" thickBot="1" x14ac:dyDescent="0.3">
      <c r="B40" s="230"/>
      <c r="C40" s="911" t="str">
        <f>CONCATENATE("Amount of  ",$E$1-1," Ad Valorem Tax")</f>
        <v>Amount of  2012 Ad Valorem Tax</v>
      </c>
      <c r="D40" s="912"/>
      <c r="E40" s="376">
        <f>E38+E39</f>
        <v>0</v>
      </c>
      <c r="G40" s="3"/>
      <c r="H40" s="3"/>
      <c r="I40" s="3"/>
      <c r="J40" s="3"/>
    </row>
    <row r="41" spans="2:11" ht="16.5" thickTop="1" x14ac:dyDescent="0.2">
      <c r="B41" s="230"/>
      <c r="C41" s="452"/>
      <c r="D41" s="230"/>
      <c r="E41" s="230"/>
      <c r="G41" s="922" t="s">
        <v>920</v>
      </c>
      <c r="H41" s="923"/>
      <c r="I41" s="923"/>
      <c r="J41" s="924"/>
    </row>
    <row r="42" spans="2:11" x14ac:dyDescent="0.2">
      <c r="B42" s="93"/>
      <c r="C42" s="204"/>
      <c r="D42" s="204"/>
      <c r="E42" s="204"/>
      <c r="G42" s="730"/>
      <c r="H42" s="731"/>
      <c r="I42" s="732"/>
      <c r="J42" s="733"/>
    </row>
    <row r="43" spans="2:11" x14ac:dyDescent="0.2">
      <c r="B43" s="93" t="s">
        <v>301</v>
      </c>
      <c r="C43" s="633" t="s">
        <v>833</v>
      </c>
      <c r="D43" s="634" t="s">
        <v>836</v>
      </c>
      <c r="E43" s="206" t="s">
        <v>835</v>
      </c>
      <c r="G43" s="734" t="str">
        <f>summ!H24</f>
        <v xml:space="preserve">  </v>
      </c>
      <c r="H43" s="731" t="str">
        <f>CONCATENATE("",E1," Fund Mill Rate")</f>
        <v>2013 Fund Mill Rate</v>
      </c>
      <c r="I43" s="732"/>
      <c r="J43" s="733"/>
    </row>
    <row r="44" spans="2:11" x14ac:dyDescent="0.2">
      <c r="B44" s="579">
        <f>inputPrYr!B33</f>
        <v>0</v>
      </c>
      <c r="C44" s="454" t="str">
        <f>C5</f>
        <v>Actual for 2011</v>
      </c>
      <c r="D44" s="454" t="str">
        <f>D5</f>
        <v>Estimate for 2012</v>
      </c>
      <c r="E44" s="272" t="str">
        <f>E5</f>
        <v>Year for 2013</v>
      </c>
      <c r="G44" s="735" t="str">
        <f>summ!E24</f>
        <v xml:space="preserve">  </v>
      </c>
      <c r="H44" s="731" t="str">
        <f>CONCATENATE("",E1-1," Fund Mill Rate")</f>
        <v>2012 Fund Mill Rate</v>
      </c>
      <c r="I44" s="732"/>
      <c r="J44" s="733"/>
    </row>
    <row r="45" spans="2:11" x14ac:dyDescent="0.2">
      <c r="B45" s="365" t="s">
        <v>60</v>
      </c>
      <c r="C45" s="446"/>
      <c r="D45" s="451">
        <f>C74</f>
        <v>0</v>
      </c>
      <c r="E45" s="351">
        <f>D74</f>
        <v>0</v>
      </c>
      <c r="G45" s="736">
        <f>summ!H52</f>
        <v>66.711000000000013</v>
      </c>
      <c r="H45" s="731" t="str">
        <f>CONCATENATE("Total ",E1," Mill Rate")</f>
        <v>Total 2013 Mill Rate</v>
      </c>
      <c r="I45" s="732"/>
      <c r="J45" s="733"/>
    </row>
    <row r="46" spans="2:11" x14ac:dyDescent="0.2">
      <c r="B46" s="366" t="s">
        <v>62</v>
      </c>
      <c r="C46" s="220"/>
      <c r="D46" s="220"/>
      <c r="E46" s="126"/>
      <c r="G46" s="735">
        <f>summ!E52</f>
        <v>66.711000000000013</v>
      </c>
      <c r="H46" s="737" t="str">
        <f>CONCATENATE("Total ",E1-1," Mill Rate")</f>
        <v>Total 2012 Mill Rate</v>
      </c>
      <c r="I46" s="738"/>
      <c r="J46" s="739"/>
    </row>
    <row r="47" spans="2:11" x14ac:dyDescent="0.2">
      <c r="B47" s="169" t="s">
        <v>302</v>
      </c>
      <c r="C47" s="446"/>
      <c r="D47" s="451">
        <f>IF(inputPrYr!H21&gt;0,inputPrYr!G33,inputPrYr!E33)</f>
        <v>0</v>
      </c>
      <c r="E47" s="372" t="s">
        <v>290</v>
      </c>
    </row>
    <row r="48" spans="2:11" x14ac:dyDescent="0.2">
      <c r="B48" s="169" t="s">
        <v>303</v>
      </c>
      <c r="C48" s="446"/>
      <c r="D48" s="446"/>
      <c r="E48" s="108"/>
    </row>
    <row r="49" spans="2:10" x14ac:dyDescent="0.2">
      <c r="B49" s="169" t="s">
        <v>304</v>
      </c>
      <c r="C49" s="446"/>
      <c r="D49" s="446"/>
      <c r="E49" s="351" t="str">
        <f>mvalloc!D18</f>
        <v xml:space="preserve">  </v>
      </c>
    </row>
    <row r="50" spans="2:10" x14ac:dyDescent="0.2">
      <c r="B50" s="169" t="s">
        <v>305</v>
      </c>
      <c r="C50" s="446"/>
      <c r="D50" s="446"/>
      <c r="E50" s="351" t="str">
        <f>mvalloc!E18</f>
        <v xml:space="preserve"> </v>
      </c>
    </row>
    <row r="51" spans="2:10" x14ac:dyDescent="0.2">
      <c r="B51" s="220" t="s">
        <v>38</v>
      </c>
      <c r="C51" s="446"/>
      <c r="D51" s="446"/>
      <c r="E51" s="351" t="str">
        <f>mvalloc!F18</f>
        <v xml:space="preserve"> </v>
      </c>
    </row>
    <row r="52" spans="2:10" x14ac:dyDescent="0.2">
      <c r="B52" s="556"/>
      <c r="C52" s="446"/>
      <c r="D52" s="446"/>
      <c r="E52" s="108"/>
    </row>
    <row r="53" spans="2:10" x14ac:dyDescent="0.2">
      <c r="B53" s="556"/>
      <c r="C53" s="446"/>
      <c r="D53" s="446"/>
      <c r="E53" s="108"/>
    </row>
    <row r="54" spans="2:10" x14ac:dyDescent="0.2">
      <c r="B54" s="556"/>
      <c r="C54" s="446"/>
      <c r="D54" s="446"/>
      <c r="E54" s="108"/>
    </row>
    <row r="55" spans="2:10" x14ac:dyDescent="0.2">
      <c r="B55" s="556"/>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693</v>
      </c>
      <c r="C59" s="447" t="str">
        <f>IF(C60*0.1&lt;C58,"Exceed 10% Rule","")</f>
        <v/>
      </c>
      <c r="D59" s="447" t="str">
        <f>IF(D60*0.1&lt;D58,"Exceed 10% Rule","")</f>
        <v/>
      </c>
      <c r="E59" s="384" t="str">
        <f>IF(E60*0.1+E80&lt;E58,"Exceed 10% Rule","")</f>
        <v/>
      </c>
    </row>
    <row r="60" spans="2:10" x14ac:dyDescent="0.2">
      <c r="B60" s="359" t="s">
        <v>309</v>
      </c>
      <c r="C60" s="450">
        <f>SUM(C47:C58)</f>
        <v>0</v>
      </c>
      <c r="D60" s="450">
        <f>SUM(D47:D58)</f>
        <v>0</v>
      </c>
      <c r="E60" s="361">
        <f>SUM(E47:E58)</f>
        <v>0</v>
      </c>
    </row>
    <row r="61" spans="2:10" x14ac:dyDescent="0.2">
      <c r="B61" s="359" t="s">
        <v>310</v>
      </c>
      <c r="C61" s="450">
        <f>C45+C60</f>
        <v>0</v>
      </c>
      <c r="D61" s="450">
        <f>D45+D60</f>
        <v>0</v>
      </c>
      <c r="E61" s="361">
        <f>E45+E60</f>
        <v>0</v>
      </c>
    </row>
    <row r="62" spans="2:10" x14ac:dyDescent="0.2">
      <c r="B62" s="169" t="s">
        <v>312</v>
      </c>
      <c r="C62" s="357"/>
      <c r="D62" s="357"/>
      <c r="E62" s="107"/>
    </row>
    <row r="63" spans="2:10" x14ac:dyDescent="0.2">
      <c r="B63" s="353"/>
      <c r="C63" s="446"/>
      <c r="D63" s="446"/>
      <c r="E63" s="108"/>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nhood!E16</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199</v>
      </c>
      <c r="C72" s="447" t="str">
        <f>IF(C73*0.1&lt;C71,"Exceed 10% Rule","")</f>
        <v/>
      </c>
      <c r="D72" s="447" t="str">
        <f>IF(D73*0.1&lt;D71,"Exceed 10% Rule","")</f>
        <v/>
      </c>
      <c r="E72" s="384" t="str">
        <f>IF(E73*0.1&lt;E71,"Exceed 10% Rule","")</f>
        <v/>
      </c>
      <c r="G72" s="507"/>
      <c r="H72" s="506"/>
      <c r="I72" s="506"/>
      <c r="J72" s="505"/>
    </row>
    <row r="73" spans="2:11" x14ac:dyDescent="0.2">
      <c r="B73" s="359" t="s">
        <v>316</v>
      </c>
      <c r="C73" s="450">
        <f>SUM(C63:C71)</f>
        <v>0</v>
      </c>
      <c r="D73" s="450">
        <f>SUM(D63:D71)</f>
        <v>0</v>
      </c>
      <c r="E73" s="361">
        <f>SUM(E63:E71)</f>
        <v>0</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0</v>
      </c>
      <c r="H74" s="747" t="str">
        <f>CONCATENATE("",E1," Non-AV Receipts (est.)")</f>
        <v>2013 Non-AV Receipts (est.)</v>
      </c>
      <c r="I74" s="770"/>
      <c r="J74" s="505"/>
    </row>
    <row r="75" spans="2:11" x14ac:dyDescent="0.2">
      <c r="B75" s="199" t="str">
        <f>CONCATENATE("",E1-2,"/",E1-1," Budget Authority Amount:")</f>
        <v>2011/2012 Budget Authority Amount:</v>
      </c>
      <c r="C75" s="307">
        <f>inputOth!B91</f>
        <v>0</v>
      </c>
      <c r="D75" s="307">
        <f>inputPrYr!D33</f>
        <v>0</v>
      </c>
      <c r="E75" s="372" t="s">
        <v>290</v>
      </c>
      <c r="F75" s="373"/>
      <c r="G75" s="771">
        <f>IF(D79&gt;0,E78,E80)</f>
        <v>0</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0</v>
      </c>
      <c r="H76" s="747" t="str">
        <f>CONCATENATE("Total ",E1," Resources Available")</f>
        <v>Total 2013 Resources Available</v>
      </c>
      <c r="I76" s="505"/>
      <c r="J76" s="505"/>
    </row>
    <row r="77" spans="2:11" x14ac:dyDescent="0.2">
      <c r="B77" s="558" t="str">
        <f>CONCATENATE(C92,"     ",D92)</f>
        <v xml:space="preserve">     </v>
      </c>
      <c r="C77" s="915" t="s">
        <v>698</v>
      </c>
      <c r="D77" s="916"/>
      <c r="E77" s="351">
        <f>E73+E76</f>
        <v>0</v>
      </c>
      <c r="G77" s="530"/>
      <c r="H77" s="532"/>
      <c r="I77" s="506"/>
      <c r="J77" s="505"/>
    </row>
    <row r="78" spans="2:11" x14ac:dyDescent="0.2">
      <c r="B78" s="558" t="str">
        <f>CONCATENATE(C93,"     ",D93)</f>
        <v xml:space="preserve">     </v>
      </c>
      <c r="C78" s="363"/>
      <c r="D78" s="230" t="s">
        <v>317</v>
      </c>
      <c r="E78" s="121">
        <f>IF(E77-E61&gt;0,E77-E61,0)</f>
        <v>0</v>
      </c>
      <c r="G78" s="531">
        <f>ROUND(C73*0.05+C73,0)</f>
        <v>0</v>
      </c>
      <c r="H78" s="532" t="str">
        <f>CONCATENATE("Less ",E1-2," Expenditures + 5%")</f>
        <v>Less 2011 Expenditures + 5%</v>
      </c>
      <c r="I78" s="505"/>
      <c r="J78" s="505"/>
    </row>
    <row r="79" spans="2:11" x14ac:dyDescent="0.25">
      <c r="B79" s="199"/>
      <c r="C79" s="508" t="s">
        <v>699</v>
      </c>
      <c r="D79" s="789">
        <f>inputOth!$E$66</f>
        <v>0</v>
      </c>
      <c r="E79" s="351">
        <f>ROUND(IF(D79&gt;0,(E78*D79),0),0)</f>
        <v>0</v>
      </c>
      <c r="G79" s="529">
        <f>G76-G78</f>
        <v>0</v>
      </c>
      <c r="H79" s="528" t="str">
        <f>CONCATENATE("Projected ",E1+1," carryover (est.)")</f>
        <v>Projected 2014 carryover (est.)</v>
      </c>
      <c r="I79" s="504"/>
      <c r="J79" s="777"/>
    </row>
    <row r="80" spans="2:11" ht="16.5" thickBot="1" x14ac:dyDescent="0.3">
      <c r="B80" s="230"/>
      <c r="C80" s="911" t="str">
        <f>CONCATENATE("Amount of  ",$E$1-1," Ad Valorem Tax")</f>
        <v>Amount of  2012 Ad Valorem Tax</v>
      </c>
      <c r="D80" s="912"/>
      <c r="E80" s="376">
        <f>E78+E79</f>
        <v>0</v>
      </c>
      <c r="G80" s="3"/>
      <c r="H80" s="3"/>
      <c r="I80" s="3"/>
    </row>
    <row r="81" spans="2:10" ht="16.5" thickTop="1" x14ac:dyDescent="0.2">
      <c r="B81" s="86"/>
      <c r="C81" s="86"/>
      <c r="D81" s="86"/>
      <c r="E81" s="86"/>
      <c r="G81" s="922" t="s">
        <v>920</v>
      </c>
      <c r="H81" s="923"/>
      <c r="I81" s="923"/>
      <c r="J81" s="924"/>
    </row>
    <row r="82" spans="2:10" x14ac:dyDescent="0.2">
      <c r="B82" s="199" t="s">
        <v>319</v>
      </c>
      <c r="C82" s="301"/>
      <c r="D82" s="86"/>
      <c r="E82" s="86"/>
      <c r="G82" s="730"/>
      <c r="H82" s="731"/>
      <c r="I82" s="732"/>
      <c r="J82" s="733"/>
    </row>
    <row r="83" spans="2:10" x14ac:dyDescent="0.2">
      <c r="B83" s="230"/>
      <c r="G83" s="734" t="str">
        <f>summ!H25</f>
        <v xml:space="preserve">  </v>
      </c>
      <c r="H83" s="731" t="str">
        <f>CONCATENATE("",E1," Fund Mill Rate")</f>
        <v>2013 Fund Mill Rate</v>
      </c>
      <c r="I83" s="732"/>
      <c r="J83" s="733"/>
    </row>
    <row r="84" spans="2:10" x14ac:dyDescent="0.2">
      <c r="G84" s="735" t="str">
        <f>summ!E25</f>
        <v xml:space="preserve">  </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0" spans="2:10" hidden="1" x14ac:dyDescent="0.2">
      <c r="C90" s="82" t="str">
        <f>IF(C33&gt;C35,"See Tab A","")</f>
        <v/>
      </c>
      <c r="D90" s="82" t="str">
        <f>IF(D33&gt;D35,"See Tab C","")</f>
        <v/>
      </c>
    </row>
    <row r="91" spans="2:10" hidden="1" x14ac:dyDescent="0.2">
      <c r="C91" s="82" t="str">
        <f>IF(C34&lt;0,"See Tab B","")</f>
        <v/>
      </c>
      <c r="D91" s="82" t="str">
        <f>IF(D34&lt;0,"See Tab D","")</f>
        <v/>
      </c>
    </row>
    <row r="92" spans="2:10" hidden="1" x14ac:dyDescent="0.2">
      <c r="C92" s="82" t="str">
        <f>IF(C73&gt;C75,"See Tab A","")</f>
        <v/>
      </c>
      <c r="D92" s="82" t="str">
        <f>IF(D73&gt;D75,"See Tab C","")</f>
        <v/>
      </c>
    </row>
    <row r="93" spans="2:10" hidden="1" x14ac:dyDescent="0.2">
      <c r="C93" s="82" t="str">
        <f>IF(C74&lt;0,"See Tab B","")</f>
        <v/>
      </c>
      <c r="D93" s="82" t="str">
        <f>IF(D74&lt;0,"See Tab D","")</f>
        <v/>
      </c>
    </row>
  </sheetData>
  <sheetProtection sheet="1"/>
  <mergeCells count="12">
    <mergeCell ref="G81:J81"/>
    <mergeCell ref="G24:J24"/>
    <mergeCell ref="G31:J31"/>
    <mergeCell ref="G41:J41"/>
    <mergeCell ref="G71:J71"/>
    <mergeCell ref="G64:J64"/>
    <mergeCell ref="C40:D40"/>
    <mergeCell ref="C80:D80"/>
    <mergeCell ref="C76:D76"/>
    <mergeCell ref="C77:D77"/>
    <mergeCell ref="C36:D36"/>
    <mergeCell ref="C37:D37"/>
  </mergeCells>
  <phoneticPr fontId="0" type="noConversion"/>
  <conditionalFormatting sqref="E71">
    <cfRule type="cellIs" dxfId="232" priority="3" stopIfTrue="1" operator="greaterThan">
      <formula>$E$73*0.1</formula>
    </cfRule>
  </conditionalFormatting>
  <conditionalFormatting sqref="E31">
    <cfRule type="cellIs" dxfId="231" priority="4" stopIfTrue="1" operator="greaterThan">
      <formula>$E$33*0.1</formula>
    </cfRule>
  </conditionalFormatting>
  <conditionalFormatting sqref="E36">
    <cfRule type="cellIs" dxfId="230" priority="5" stopIfTrue="1" operator="greaterThan">
      <formula>$E$33/0.95-$E$33</formula>
    </cfRule>
  </conditionalFormatting>
  <conditionalFormatting sqref="E76">
    <cfRule type="cellIs" dxfId="229" priority="6" stopIfTrue="1" operator="greaterThan">
      <formula>$E$73/0.95-$E$73</formula>
    </cfRule>
  </conditionalFormatting>
  <conditionalFormatting sqref="D71">
    <cfRule type="cellIs" dxfId="228" priority="7" stopIfTrue="1" operator="greaterThan">
      <formula>$D$73*0.1</formula>
    </cfRule>
  </conditionalFormatting>
  <conditionalFormatting sqref="C71">
    <cfRule type="cellIs" dxfId="227" priority="8" stopIfTrue="1" operator="greaterThan">
      <formula>$C$73*0.1</formula>
    </cfRule>
  </conditionalFormatting>
  <conditionalFormatting sqref="D73">
    <cfRule type="cellIs" dxfId="226" priority="9" stopIfTrue="1" operator="greaterThan">
      <formula>$D$75</formula>
    </cfRule>
  </conditionalFormatting>
  <conditionalFormatting sqref="C73">
    <cfRule type="cellIs" dxfId="225" priority="10" stopIfTrue="1" operator="greaterThan">
      <formula>$C$75</formula>
    </cfRule>
  </conditionalFormatting>
  <conditionalFormatting sqref="C74 C34">
    <cfRule type="cellIs" dxfId="224" priority="11" stopIfTrue="1" operator="lessThan">
      <formula>0</formula>
    </cfRule>
  </conditionalFormatting>
  <conditionalFormatting sqref="D58">
    <cfRule type="cellIs" dxfId="223" priority="12" stopIfTrue="1" operator="greaterThan">
      <formula>$D$60*0.1</formula>
    </cfRule>
  </conditionalFormatting>
  <conditionalFormatting sqref="C58">
    <cfRule type="cellIs" dxfId="222" priority="13" stopIfTrue="1" operator="greaterThan">
      <formula>$C$60*0.1</formula>
    </cfRule>
  </conditionalFormatting>
  <conditionalFormatting sqref="D31">
    <cfRule type="cellIs" dxfId="221" priority="14" stopIfTrue="1" operator="greaterThan">
      <formula>$D$33*0.1</formula>
    </cfRule>
  </conditionalFormatting>
  <conditionalFormatting sqref="C31">
    <cfRule type="cellIs" dxfId="220" priority="15" stopIfTrue="1" operator="greaterThan">
      <formula>$C$33*0.1</formula>
    </cfRule>
  </conditionalFormatting>
  <conditionalFormatting sqref="D33">
    <cfRule type="cellIs" dxfId="219" priority="16" stopIfTrue="1" operator="greaterThan">
      <formula>$D$35</formula>
    </cfRule>
  </conditionalFormatting>
  <conditionalFormatting sqref="C33">
    <cfRule type="cellIs" dxfId="218" priority="17" stopIfTrue="1" operator="greaterThan">
      <formula>$C$35</formula>
    </cfRule>
  </conditionalFormatting>
  <conditionalFormatting sqref="D18">
    <cfRule type="cellIs" dxfId="217" priority="18" stopIfTrue="1" operator="greaterThan">
      <formula>$D$20*0.1</formula>
    </cfRule>
  </conditionalFormatting>
  <conditionalFormatting sqref="C18">
    <cfRule type="cellIs" dxfId="216" priority="19" stopIfTrue="1" operator="greaterThan">
      <formula>$C$20*0.1</formula>
    </cfRule>
  </conditionalFormatting>
  <conditionalFormatting sqref="E18">
    <cfRule type="cellIs" dxfId="215" priority="20" stopIfTrue="1" operator="greaterThan">
      <formula>$E$20*0.1+$E$40</formula>
    </cfRule>
  </conditionalFormatting>
  <conditionalFormatting sqref="D74 D34">
    <cfRule type="cellIs" dxfId="214" priority="2" stopIfTrue="1" operator="lessThan">
      <formula>0</formula>
    </cfRule>
  </conditionalFormatting>
  <conditionalFormatting sqref="E58">
    <cfRule type="cellIs" dxfId="213" priority="55" stopIfTrue="1" operator="greaterThan">
      <formula>$E$60*0.1+$E$80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workbookViewId="0">
      <selection activeCell="H1" sqref="H1:H1048576"/>
    </sheetView>
  </sheetViews>
  <sheetFormatPr defaultRowHeight="15.75" x14ac:dyDescent="0.2"/>
  <cols>
    <col min="1" max="1" width="15.77734375" style="82" customWidth="1"/>
    <col min="2" max="2" width="20.77734375" style="82" customWidth="1"/>
    <col min="3" max="3" width="9.77734375" style="82" customWidth="1"/>
    <col min="4" max="4" width="15.109375" style="82" customWidth="1"/>
    <col min="5" max="5" width="15.77734375" style="82" customWidth="1"/>
    <col min="6" max="6" width="1.88671875" style="82" customWidth="1"/>
    <col min="7" max="7" width="18.6640625" style="82" customWidth="1"/>
    <col min="8" max="16384" width="8.88671875" style="82"/>
  </cols>
  <sheetData>
    <row r="1" spans="1:8" x14ac:dyDescent="0.2">
      <c r="A1" s="841" t="s">
        <v>192</v>
      </c>
      <c r="B1" s="842"/>
      <c r="C1" s="842"/>
      <c r="D1" s="842"/>
      <c r="E1" s="842"/>
    </row>
    <row r="2" spans="1:8" x14ac:dyDescent="0.2">
      <c r="A2" s="83"/>
      <c r="B2" s="84"/>
      <c r="C2" s="84"/>
      <c r="D2" s="84"/>
      <c r="E2" s="84"/>
    </row>
    <row r="3" spans="1:8" x14ac:dyDescent="0.2">
      <c r="A3" s="85" t="s">
        <v>174</v>
      </c>
      <c r="B3" s="86"/>
      <c r="C3" s="86"/>
      <c r="D3" s="87" t="s">
        <v>1004</v>
      </c>
      <c r="E3" s="88"/>
    </row>
    <row r="4" spans="1:8" x14ac:dyDescent="0.2">
      <c r="A4" s="85" t="s">
        <v>205</v>
      </c>
      <c r="B4" s="86"/>
      <c r="C4" s="86"/>
      <c r="D4" s="89" t="s">
        <v>1005</v>
      </c>
      <c r="E4" s="90"/>
    </row>
    <row r="5" spans="1:8" x14ac:dyDescent="0.2">
      <c r="A5" s="83" t="s">
        <v>178</v>
      </c>
      <c r="B5" s="91"/>
      <c r="C5" s="86"/>
      <c r="D5" s="92"/>
      <c r="E5" s="86"/>
    </row>
    <row r="6" spans="1:8" x14ac:dyDescent="0.2">
      <c r="A6" s="85" t="s">
        <v>175</v>
      </c>
      <c r="B6" s="86"/>
      <c r="C6" s="86"/>
      <c r="D6" s="87" t="s">
        <v>1006</v>
      </c>
      <c r="E6" s="88"/>
    </row>
    <row r="7" spans="1:8" x14ac:dyDescent="0.2">
      <c r="A7" s="85" t="s">
        <v>176</v>
      </c>
      <c r="B7" s="86"/>
      <c r="C7" s="86"/>
      <c r="D7" s="89"/>
      <c r="E7" s="90"/>
    </row>
    <row r="8" spans="1:8" x14ac:dyDescent="0.2">
      <c r="A8" s="85" t="s">
        <v>177</v>
      </c>
      <c r="B8" s="86"/>
      <c r="C8" s="86"/>
      <c r="D8" s="89"/>
      <c r="E8" s="90"/>
    </row>
    <row r="9" spans="1:8" x14ac:dyDescent="0.2">
      <c r="A9" s="93"/>
      <c r="B9" s="86"/>
      <c r="C9" s="86"/>
      <c r="D9" s="92"/>
      <c r="E9" s="86"/>
    </row>
    <row r="10" spans="1:8" x14ac:dyDescent="0.2">
      <c r="A10" s="85" t="s">
        <v>98</v>
      </c>
      <c r="B10" s="86"/>
      <c r="C10" s="94">
        <v>2013</v>
      </c>
      <c r="D10" s="92"/>
      <c r="E10" s="86"/>
    </row>
    <row r="11" spans="1:8" x14ac:dyDescent="0.2">
      <c r="A11" s="86"/>
      <c r="B11" s="86"/>
      <c r="C11" s="86"/>
      <c r="D11" s="86"/>
      <c r="E11" s="86"/>
    </row>
    <row r="12" spans="1:8" x14ac:dyDescent="0.2">
      <c r="A12" s="95" t="s">
        <v>370</v>
      </c>
      <c r="B12" s="96"/>
      <c r="C12" s="96"/>
      <c r="D12" s="96"/>
      <c r="E12" s="96"/>
    </row>
    <row r="13" spans="1:8" x14ac:dyDescent="0.2">
      <c r="A13" s="95" t="s">
        <v>369</v>
      </c>
      <c r="B13" s="96"/>
      <c r="C13" s="96"/>
      <c r="D13" s="96"/>
      <c r="E13" s="96"/>
      <c r="F13" s="791"/>
      <c r="G13" s="843" t="s">
        <v>921</v>
      </c>
      <c r="H13" s="844"/>
    </row>
    <row r="14" spans="1:8" x14ac:dyDescent="0.2">
      <c r="A14" s="95"/>
      <c r="B14" s="96"/>
      <c r="C14" s="96"/>
      <c r="D14" s="96"/>
      <c r="E14" s="96"/>
      <c r="F14" s="791"/>
      <c r="G14" s="845"/>
      <c r="H14" s="844"/>
    </row>
    <row r="15" spans="1:8" x14ac:dyDescent="0.2">
      <c r="A15" s="839" t="s">
        <v>159</v>
      </c>
      <c r="B15" s="840"/>
      <c r="C15" s="840"/>
      <c r="D15" s="840"/>
      <c r="E15" s="840"/>
      <c r="F15" s="791"/>
      <c r="G15" s="845"/>
      <c r="H15" s="844"/>
    </row>
    <row r="16" spans="1:8" x14ac:dyDescent="0.2">
      <c r="A16" s="86"/>
      <c r="B16" s="86"/>
      <c r="C16" s="86"/>
      <c r="D16" s="86"/>
      <c r="E16" s="86"/>
      <c r="F16" s="791"/>
      <c r="G16" s="845"/>
      <c r="H16" s="844"/>
    </row>
    <row r="17" spans="1:8" x14ac:dyDescent="0.2">
      <c r="A17" s="97" t="s">
        <v>160</v>
      </c>
      <c r="B17" s="98"/>
      <c r="C17" s="86"/>
      <c r="D17" s="86"/>
      <c r="E17" s="86"/>
      <c r="F17" s="791"/>
      <c r="G17" s="845"/>
      <c r="H17" s="844"/>
    </row>
    <row r="18" spans="1:8" x14ac:dyDescent="0.2">
      <c r="A18" s="99" t="str">
        <f>CONCATENATE("the ",C10-1," Budget, Certificate Page:")</f>
        <v>the 2012 Budget, Certificate Page:</v>
      </c>
      <c r="B18" s="100"/>
      <c r="C18" s="86"/>
      <c r="D18" s="86"/>
      <c r="E18" s="115"/>
      <c r="F18" s="791"/>
      <c r="G18" s="845"/>
      <c r="H18" s="844"/>
    </row>
    <row r="19" spans="1:8" x14ac:dyDescent="0.2">
      <c r="A19" s="99" t="s">
        <v>372</v>
      </c>
      <c r="B19" s="100"/>
      <c r="C19" s="86"/>
      <c r="D19" s="86"/>
      <c r="E19" s="115"/>
      <c r="F19" s="791"/>
      <c r="G19" s="791"/>
      <c r="H19" s="86"/>
    </row>
    <row r="20" spans="1:8" x14ac:dyDescent="0.2">
      <c r="A20" s="86"/>
      <c r="B20" s="86"/>
      <c r="C20" s="86"/>
      <c r="D20" s="102">
        <f>C10-1</f>
        <v>2012</v>
      </c>
      <c r="E20" s="103">
        <f>C10-2</f>
        <v>2011</v>
      </c>
      <c r="G20" s="792" t="s">
        <v>922</v>
      </c>
      <c r="H20" s="217" t="s">
        <v>318</v>
      </c>
    </row>
    <row r="21" spans="1:8" x14ac:dyDescent="0.2">
      <c r="A21" s="93" t="s">
        <v>273</v>
      </c>
      <c r="B21" s="86"/>
      <c r="C21" s="104" t="s">
        <v>274</v>
      </c>
      <c r="D21" s="105" t="s">
        <v>371</v>
      </c>
      <c r="E21" s="105" t="s">
        <v>212</v>
      </c>
      <c r="G21" s="793" t="str">
        <f>CONCATENATE("",E20," Ad Valorem Tax")</f>
        <v>2011 Ad Valorem Tax</v>
      </c>
      <c r="H21" s="794">
        <v>0</v>
      </c>
    </row>
    <row r="22" spans="1:8" x14ac:dyDescent="0.2">
      <c r="A22" s="86"/>
      <c r="B22" s="106" t="s">
        <v>275</v>
      </c>
      <c r="C22" s="217" t="s">
        <v>64</v>
      </c>
      <c r="D22" s="108">
        <v>1742401</v>
      </c>
      <c r="E22" s="108">
        <v>315496</v>
      </c>
      <c r="G22" s="795">
        <f>IF(H21&gt;0,ROUND(E22-(E22*H$21),0),0)</f>
        <v>0</v>
      </c>
    </row>
    <row r="23" spans="1:8" x14ac:dyDescent="0.2">
      <c r="A23" s="86"/>
      <c r="B23" s="106" t="s">
        <v>235</v>
      </c>
      <c r="C23" s="217" t="s">
        <v>99</v>
      </c>
      <c r="D23" s="108">
        <v>205401</v>
      </c>
      <c r="E23" s="108">
        <v>8382</v>
      </c>
      <c r="G23" s="795">
        <f>IF(H21&gt;0,ROUND(E23-(E23*H21),0),0)</f>
        <v>0</v>
      </c>
    </row>
    <row r="24" spans="1:8" x14ac:dyDescent="0.2">
      <c r="A24" s="86"/>
      <c r="B24" s="106" t="s">
        <v>894</v>
      </c>
      <c r="C24" s="217" t="s">
        <v>893</v>
      </c>
      <c r="D24" s="108">
        <v>86215</v>
      </c>
      <c r="E24" s="108">
        <v>76008</v>
      </c>
      <c r="G24" s="795">
        <f>IF(H$21&gt;0,ROUND(E24-(E24*H$21),0),0)</f>
        <v>0</v>
      </c>
    </row>
    <row r="25" spans="1:8" x14ac:dyDescent="0.2">
      <c r="A25" s="93" t="s">
        <v>276</v>
      </c>
      <c r="B25" s="86"/>
      <c r="C25" s="86"/>
      <c r="D25" s="86"/>
      <c r="E25" s="109"/>
    </row>
    <row r="26" spans="1:8" x14ac:dyDescent="0.2">
      <c r="A26" s="86"/>
      <c r="B26" s="110" t="s">
        <v>1007</v>
      </c>
      <c r="C26" s="667" t="s">
        <v>1009</v>
      </c>
      <c r="D26" s="108">
        <v>377300</v>
      </c>
      <c r="E26" s="108">
        <v>307844</v>
      </c>
      <c r="G26" s="795">
        <f>IF(H$21&gt;0,ROUND(E26-(E26*H$21),0),0)</f>
        <v>0</v>
      </c>
    </row>
    <row r="27" spans="1:8" x14ac:dyDescent="0.2">
      <c r="A27" s="86"/>
      <c r="B27" s="110" t="s">
        <v>1008</v>
      </c>
      <c r="C27" s="667" t="s">
        <v>1010</v>
      </c>
      <c r="D27" s="108">
        <v>6155</v>
      </c>
      <c r="E27" s="108">
        <v>5426</v>
      </c>
      <c r="G27" s="795">
        <f t="shared" ref="G27:G35" si="0">IF(H$21&gt;0,ROUND(E27-(E27*H$21),0),0)</f>
        <v>0</v>
      </c>
    </row>
    <row r="28" spans="1:8" x14ac:dyDescent="0.2">
      <c r="A28" s="86"/>
      <c r="B28" s="110"/>
      <c r="C28" s="667"/>
      <c r="D28" s="108"/>
      <c r="E28" s="108"/>
      <c r="G28" s="795">
        <f t="shared" si="0"/>
        <v>0</v>
      </c>
    </row>
    <row r="29" spans="1:8" x14ac:dyDescent="0.2">
      <c r="A29" s="86"/>
      <c r="B29" s="110"/>
      <c r="C29" s="667"/>
      <c r="D29" s="108"/>
      <c r="E29" s="108"/>
      <c r="G29" s="795">
        <f t="shared" si="0"/>
        <v>0</v>
      </c>
    </row>
    <row r="30" spans="1:8" x14ac:dyDescent="0.2">
      <c r="A30" s="86"/>
      <c r="B30" s="110"/>
      <c r="C30" s="667"/>
      <c r="D30" s="108"/>
      <c r="E30" s="108"/>
      <c r="G30" s="795">
        <f t="shared" si="0"/>
        <v>0</v>
      </c>
    </row>
    <row r="31" spans="1:8" x14ac:dyDescent="0.2">
      <c r="A31" s="86"/>
      <c r="B31" s="110"/>
      <c r="C31" s="667"/>
      <c r="D31" s="108"/>
      <c r="E31" s="108"/>
      <c r="G31" s="795">
        <f t="shared" si="0"/>
        <v>0</v>
      </c>
    </row>
    <row r="32" spans="1:8" x14ac:dyDescent="0.2">
      <c r="A32" s="86"/>
      <c r="B32" s="110"/>
      <c r="C32" s="667"/>
      <c r="D32" s="108"/>
      <c r="E32" s="108"/>
      <c r="G32" s="795">
        <f t="shared" si="0"/>
        <v>0</v>
      </c>
    </row>
    <row r="33" spans="1:7" x14ac:dyDescent="0.2">
      <c r="A33" s="86"/>
      <c r="B33" s="110"/>
      <c r="C33" s="667"/>
      <c r="D33" s="108"/>
      <c r="E33" s="108"/>
      <c r="G33" s="795">
        <f t="shared" si="0"/>
        <v>0</v>
      </c>
    </row>
    <row r="34" spans="1:7" x14ac:dyDescent="0.2">
      <c r="A34" s="86"/>
      <c r="B34" s="110"/>
      <c r="C34" s="667"/>
      <c r="D34" s="108"/>
      <c r="E34" s="108"/>
      <c r="G34" s="795">
        <f t="shared" si="0"/>
        <v>0</v>
      </c>
    </row>
    <row r="35" spans="1:7" x14ac:dyDescent="0.2">
      <c r="A35" s="86"/>
      <c r="B35" s="110"/>
      <c r="C35" s="667"/>
      <c r="D35" s="108"/>
      <c r="E35" s="108"/>
      <c r="G35" s="795">
        <f t="shared" si="0"/>
        <v>0</v>
      </c>
    </row>
    <row r="36" spans="1:7" x14ac:dyDescent="0.2">
      <c r="A36" s="111" t="str">
        <f>CONCATENATE("Total Tax Levy Funds for ",C10-1," Budgeted Year")</f>
        <v>Total Tax Levy Funds for 2012 Budgeted Year</v>
      </c>
      <c r="B36" s="101"/>
      <c r="C36" s="101"/>
      <c r="D36" s="112"/>
      <c r="E36" s="113">
        <f>SUM(E22:E35)</f>
        <v>713156</v>
      </c>
    </row>
    <row r="37" spans="1:7" x14ac:dyDescent="0.2">
      <c r="A37" s="114"/>
      <c r="B37" s="115"/>
      <c r="C37" s="115"/>
      <c r="D37" s="116"/>
      <c r="E37" s="109"/>
    </row>
    <row r="38" spans="1:7" x14ac:dyDescent="0.2">
      <c r="A38" s="93" t="s">
        <v>104</v>
      </c>
      <c r="B38" s="86"/>
      <c r="C38" s="86"/>
      <c r="D38" s="86"/>
      <c r="E38" s="86"/>
    </row>
    <row r="39" spans="1:7" x14ac:dyDescent="0.2">
      <c r="A39" s="86"/>
      <c r="B39" s="107" t="s">
        <v>40</v>
      </c>
      <c r="C39" s="86"/>
      <c r="D39" s="117">
        <v>80750</v>
      </c>
      <c r="E39" s="86"/>
    </row>
    <row r="40" spans="1:7" x14ac:dyDescent="0.2">
      <c r="A40" s="86"/>
      <c r="B40" s="110" t="s">
        <v>1011</v>
      </c>
      <c r="C40" s="86"/>
      <c r="D40" s="108">
        <v>14000</v>
      </c>
      <c r="E40" s="86"/>
    </row>
    <row r="41" spans="1:7" x14ac:dyDescent="0.2">
      <c r="A41" s="86"/>
      <c r="B41" s="110" t="s">
        <v>1012</v>
      </c>
      <c r="C41" s="86"/>
      <c r="D41" s="108">
        <v>20000</v>
      </c>
      <c r="E41" s="86"/>
    </row>
    <row r="42" spans="1:7" x14ac:dyDescent="0.2">
      <c r="A42" s="86"/>
      <c r="B42" s="110" t="s">
        <v>1013</v>
      </c>
      <c r="C42" s="86"/>
      <c r="D42" s="108">
        <v>232000</v>
      </c>
      <c r="E42" s="86"/>
    </row>
    <row r="43" spans="1:7" x14ac:dyDescent="0.2">
      <c r="A43" s="86"/>
      <c r="B43" s="110" t="s">
        <v>1014</v>
      </c>
      <c r="C43" s="86"/>
      <c r="D43" s="108">
        <v>96500</v>
      </c>
      <c r="E43" s="86"/>
    </row>
    <row r="44" spans="1:7" x14ac:dyDescent="0.2">
      <c r="A44" s="86"/>
      <c r="B44" s="110" t="s">
        <v>1015</v>
      </c>
      <c r="C44" s="86"/>
      <c r="D44" s="108">
        <v>113175</v>
      </c>
      <c r="E44" s="86"/>
    </row>
    <row r="45" spans="1:7" x14ac:dyDescent="0.2">
      <c r="A45" s="86"/>
      <c r="B45" s="110" t="s">
        <v>1016</v>
      </c>
      <c r="C45" s="86"/>
      <c r="D45" s="108">
        <v>110500</v>
      </c>
      <c r="E45" s="86"/>
    </row>
    <row r="46" spans="1:7" x14ac:dyDescent="0.2">
      <c r="A46" s="86"/>
      <c r="B46" s="110" t="s">
        <v>1017</v>
      </c>
      <c r="C46" s="86"/>
      <c r="D46" s="108">
        <v>75000</v>
      </c>
      <c r="E46" s="86"/>
    </row>
    <row r="47" spans="1:7" x14ac:dyDescent="0.2">
      <c r="A47" s="86"/>
      <c r="B47" s="110"/>
      <c r="C47" s="86"/>
      <c r="D47" s="108"/>
      <c r="E47" s="86"/>
    </row>
    <row r="48" spans="1:7" x14ac:dyDescent="0.2">
      <c r="A48" s="86"/>
      <c r="B48" s="110"/>
      <c r="C48" s="86"/>
      <c r="D48" s="108"/>
      <c r="E48" s="86"/>
    </row>
    <row r="49" spans="1:5" x14ac:dyDescent="0.2">
      <c r="A49" s="86"/>
      <c r="B49" s="118"/>
      <c r="C49" s="86"/>
      <c r="D49" s="108"/>
      <c r="E49" s="86"/>
    </row>
    <row r="50" spans="1:5" x14ac:dyDescent="0.2">
      <c r="A50" s="86"/>
      <c r="B50" s="118"/>
      <c r="C50" s="86"/>
      <c r="D50" s="108"/>
      <c r="E50" s="86"/>
    </row>
    <row r="51" spans="1:5" x14ac:dyDescent="0.2">
      <c r="A51" s="86"/>
      <c r="B51" s="118"/>
      <c r="C51" s="86"/>
      <c r="D51" s="108"/>
      <c r="E51" s="86"/>
    </row>
    <row r="52" spans="1:5" x14ac:dyDescent="0.2">
      <c r="A52" s="86"/>
      <c r="B52" s="118"/>
      <c r="C52" s="86"/>
      <c r="D52" s="108"/>
      <c r="E52" s="86"/>
    </row>
    <row r="53" spans="1:5" x14ac:dyDescent="0.2">
      <c r="A53" s="86"/>
      <c r="B53" s="118"/>
      <c r="C53" s="86"/>
      <c r="D53" s="108"/>
      <c r="E53" s="86"/>
    </row>
    <row r="54" spans="1:5" x14ac:dyDescent="0.2">
      <c r="A54" s="86"/>
      <c r="B54" s="118"/>
      <c r="C54" s="86"/>
      <c r="D54" s="108"/>
      <c r="E54" s="86"/>
    </row>
    <row r="55" spans="1:5" x14ac:dyDescent="0.2">
      <c r="A55" s="86" t="s">
        <v>132</v>
      </c>
      <c r="B55" s="119"/>
      <c r="C55" s="86"/>
      <c r="D55" s="86"/>
      <c r="E55" s="86"/>
    </row>
    <row r="56" spans="1:5" x14ac:dyDescent="0.2">
      <c r="A56" s="86">
        <v>1</v>
      </c>
      <c r="B56" s="118" t="s">
        <v>1018</v>
      </c>
      <c r="C56" s="86"/>
      <c r="D56" s="108">
        <v>3045661</v>
      </c>
      <c r="E56" s="86"/>
    </row>
    <row r="57" spans="1:5" x14ac:dyDescent="0.2">
      <c r="A57" s="86">
        <v>2</v>
      </c>
      <c r="B57" s="118" t="s">
        <v>1019</v>
      </c>
      <c r="C57" s="86"/>
      <c r="D57" s="108">
        <v>502956</v>
      </c>
      <c r="E57" s="86"/>
    </row>
    <row r="58" spans="1:5" x14ac:dyDescent="0.2">
      <c r="A58" s="86">
        <v>3</v>
      </c>
      <c r="B58" s="118" t="s">
        <v>1020</v>
      </c>
      <c r="C58" s="86"/>
      <c r="D58" s="108">
        <v>245569</v>
      </c>
      <c r="E58" s="86"/>
    </row>
    <row r="59" spans="1:5" x14ac:dyDescent="0.2">
      <c r="A59" s="86">
        <v>4</v>
      </c>
      <c r="B59" s="118"/>
      <c r="C59" s="86"/>
      <c r="D59" s="108"/>
      <c r="E59" s="86"/>
    </row>
    <row r="60" spans="1:5" x14ac:dyDescent="0.2">
      <c r="A60" s="111" t="str">
        <f>CONCATENATE("Total Expenditures for ",C16-1," Budgeted Year")</f>
        <v>Total Expenditures for -1 Budgeted Year</v>
      </c>
      <c r="B60" s="120"/>
      <c r="C60" s="101"/>
      <c r="D60" s="121">
        <f>SUM(D22:D24,D26:D35,D39:D54,D56:D59)</f>
        <v>6953583</v>
      </c>
      <c r="E60" s="86"/>
    </row>
    <row r="61" spans="1:5" x14ac:dyDescent="0.2">
      <c r="A61" s="86" t="s">
        <v>133</v>
      </c>
      <c r="B61" s="119"/>
      <c r="C61" s="86"/>
      <c r="D61" s="86"/>
      <c r="E61" s="86"/>
    </row>
    <row r="62" spans="1:5" x14ac:dyDescent="0.2">
      <c r="A62" s="86">
        <v>1</v>
      </c>
      <c r="B62" s="118" t="s">
        <v>1021</v>
      </c>
      <c r="C62" s="86"/>
      <c r="D62" s="122"/>
      <c r="E62" s="86"/>
    </row>
    <row r="63" spans="1:5" x14ac:dyDescent="0.2">
      <c r="A63" s="86">
        <v>2</v>
      </c>
      <c r="B63" s="118" t="s">
        <v>1022</v>
      </c>
      <c r="C63" s="86"/>
      <c r="D63" s="122"/>
      <c r="E63" s="86"/>
    </row>
    <row r="64" spans="1:5" x14ac:dyDescent="0.2">
      <c r="A64" s="86">
        <v>3</v>
      </c>
      <c r="B64" s="118" t="s">
        <v>1023</v>
      </c>
      <c r="C64" s="86"/>
      <c r="D64" s="122"/>
      <c r="E64" s="86"/>
    </row>
    <row r="65" spans="1:5" x14ac:dyDescent="0.2">
      <c r="A65" s="86">
        <v>4</v>
      </c>
      <c r="B65" s="118" t="s">
        <v>1024</v>
      </c>
      <c r="C65" s="86"/>
      <c r="D65" s="122"/>
      <c r="E65" s="86"/>
    </row>
    <row r="66" spans="1:5" x14ac:dyDescent="0.2">
      <c r="A66" s="86">
        <v>5</v>
      </c>
      <c r="B66" s="118" t="s">
        <v>1025</v>
      </c>
      <c r="C66" s="86"/>
      <c r="D66" s="122"/>
      <c r="E66" s="86"/>
    </row>
    <row r="67" spans="1:5" x14ac:dyDescent="0.2">
      <c r="A67" s="86" t="s">
        <v>134</v>
      </c>
      <c r="B67" s="119"/>
      <c r="C67" s="86"/>
      <c r="D67" s="86"/>
      <c r="E67" s="86"/>
    </row>
    <row r="68" spans="1:5" x14ac:dyDescent="0.2">
      <c r="A68" s="86">
        <v>1</v>
      </c>
      <c r="B68" s="118" t="s">
        <v>1026</v>
      </c>
      <c r="C68" s="86"/>
      <c r="D68" s="86"/>
      <c r="E68" s="86"/>
    </row>
    <row r="69" spans="1:5" x14ac:dyDescent="0.2">
      <c r="A69" s="86">
        <v>2</v>
      </c>
      <c r="B69" s="118" t="s">
        <v>1027</v>
      </c>
      <c r="C69" s="86"/>
      <c r="D69" s="86"/>
      <c r="E69" s="86"/>
    </row>
    <row r="70" spans="1:5" x14ac:dyDescent="0.2">
      <c r="A70" s="86">
        <v>3</v>
      </c>
      <c r="B70" s="118" t="s">
        <v>1028</v>
      </c>
      <c r="C70" s="86"/>
      <c r="D70" s="86"/>
      <c r="E70" s="86"/>
    </row>
    <row r="71" spans="1:5" x14ac:dyDescent="0.2">
      <c r="A71" s="86">
        <v>4</v>
      </c>
      <c r="B71" s="118"/>
      <c r="C71" s="86"/>
      <c r="D71" s="86"/>
      <c r="E71" s="86"/>
    </row>
    <row r="72" spans="1:5" x14ac:dyDescent="0.2">
      <c r="A72" s="86">
        <v>5</v>
      </c>
      <c r="B72" s="118"/>
      <c r="C72" s="86"/>
      <c r="D72" s="86"/>
      <c r="E72" s="86"/>
    </row>
    <row r="73" spans="1:5" x14ac:dyDescent="0.2">
      <c r="A73" s="86" t="s">
        <v>135</v>
      </c>
      <c r="B73" s="119"/>
      <c r="C73" s="86"/>
      <c r="D73" s="86"/>
      <c r="E73" s="86"/>
    </row>
    <row r="74" spans="1:5" x14ac:dyDescent="0.2">
      <c r="A74" s="86">
        <v>1</v>
      </c>
      <c r="B74" s="118"/>
      <c r="C74" s="86"/>
      <c r="D74" s="86"/>
      <c r="E74" s="86"/>
    </row>
    <row r="75" spans="1:5" x14ac:dyDescent="0.2">
      <c r="A75" s="86">
        <v>2</v>
      </c>
      <c r="B75" s="118"/>
      <c r="C75" s="86"/>
      <c r="D75" s="86"/>
      <c r="E75" s="86"/>
    </row>
    <row r="76" spans="1:5" x14ac:dyDescent="0.2">
      <c r="A76" s="86">
        <v>3</v>
      </c>
      <c r="B76" s="118"/>
      <c r="C76" s="86"/>
      <c r="D76" s="86"/>
      <c r="E76" s="86"/>
    </row>
    <row r="77" spans="1:5" x14ac:dyDescent="0.2">
      <c r="A77" s="86">
        <v>4</v>
      </c>
      <c r="B77" s="118"/>
      <c r="C77" s="86"/>
      <c r="D77" s="86"/>
      <c r="E77" s="86"/>
    </row>
    <row r="78" spans="1:5" x14ac:dyDescent="0.2">
      <c r="A78" s="86">
        <v>5</v>
      </c>
      <c r="B78" s="118"/>
      <c r="C78" s="86"/>
      <c r="D78" s="86"/>
      <c r="E78" s="86"/>
    </row>
    <row r="79" spans="1:5" x14ac:dyDescent="0.2">
      <c r="A79" s="86" t="s">
        <v>136</v>
      </c>
      <c r="B79" s="119"/>
      <c r="C79" s="86"/>
      <c r="D79" s="86"/>
      <c r="E79" s="86"/>
    </row>
    <row r="80" spans="1:5" x14ac:dyDescent="0.2">
      <c r="A80" s="86">
        <v>1</v>
      </c>
      <c r="B80" s="118"/>
      <c r="C80" s="86"/>
      <c r="D80" s="86"/>
      <c r="E80" s="86"/>
    </row>
    <row r="81" spans="1:5" x14ac:dyDescent="0.2">
      <c r="A81" s="86">
        <v>2</v>
      </c>
      <c r="B81" s="118"/>
      <c r="C81" s="86"/>
      <c r="D81" s="86"/>
      <c r="E81" s="86"/>
    </row>
    <row r="82" spans="1:5" x14ac:dyDescent="0.2">
      <c r="A82" s="86">
        <v>3</v>
      </c>
      <c r="B82" s="118"/>
      <c r="C82" s="86"/>
      <c r="D82" s="86"/>
      <c r="E82" s="86"/>
    </row>
    <row r="83" spans="1:5" x14ac:dyDescent="0.2">
      <c r="A83" s="86">
        <v>4</v>
      </c>
      <c r="B83" s="118"/>
      <c r="C83" s="86"/>
      <c r="D83" s="86"/>
      <c r="E83" s="86"/>
    </row>
    <row r="84" spans="1:5" x14ac:dyDescent="0.2">
      <c r="A84" s="86">
        <v>5</v>
      </c>
      <c r="B84" s="118"/>
      <c r="C84" s="86"/>
      <c r="D84" s="86"/>
      <c r="E84" s="86"/>
    </row>
    <row r="85" spans="1:5" x14ac:dyDescent="0.2">
      <c r="A85" s="114"/>
      <c r="B85" s="115"/>
      <c r="C85" s="115"/>
      <c r="D85" s="115"/>
      <c r="E85" s="123"/>
    </row>
    <row r="86" spans="1:5" x14ac:dyDescent="0.2">
      <c r="A86" s="86"/>
      <c r="B86" s="86"/>
      <c r="C86" s="86"/>
      <c r="D86" s="86"/>
      <c r="E86" s="86"/>
    </row>
    <row r="87" spans="1:5" x14ac:dyDescent="0.2">
      <c r="A87" s="86"/>
      <c r="B87" s="86"/>
      <c r="C87" s="86"/>
      <c r="D87" s="124" t="str">
        <f>CONCATENATE("",C10-3," Tax Rate")</f>
        <v>2010 Tax Rate</v>
      </c>
      <c r="E87" s="86"/>
    </row>
    <row r="88" spans="1:5" x14ac:dyDescent="0.2">
      <c r="A88" s="99" t="str">
        <f>CONCATENATE("From the ",C10-1," Budget, Budget Summary Page")</f>
        <v>From the 2012 Budget, Budget Summary Page</v>
      </c>
      <c r="B88" s="100"/>
      <c r="C88" s="86"/>
      <c r="D88" s="125" t="str">
        <f>CONCATENATE("(",C10-2," Column)")</f>
        <v>(2011 Column)</v>
      </c>
      <c r="E88" s="86"/>
    </row>
    <row r="89" spans="1:5" x14ac:dyDescent="0.2">
      <c r="A89" s="86"/>
      <c r="B89" s="126" t="str">
        <f>B22</f>
        <v>General</v>
      </c>
      <c r="C89" s="86"/>
      <c r="D89" s="118">
        <v>33.405999999999999</v>
      </c>
      <c r="E89" s="86"/>
    </row>
    <row r="90" spans="1:5" x14ac:dyDescent="0.2">
      <c r="A90" s="86"/>
      <c r="B90" s="126" t="str">
        <f>B23</f>
        <v>Debt Service</v>
      </c>
      <c r="C90" s="86"/>
      <c r="D90" s="118">
        <v>4.2519999999999998</v>
      </c>
      <c r="E90" s="86"/>
    </row>
    <row r="91" spans="1:5" x14ac:dyDescent="0.2">
      <c r="A91" s="86"/>
      <c r="B91" s="126" t="str">
        <f>B24</f>
        <v>Library</v>
      </c>
      <c r="C91" s="86"/>
      <c r="D91" s="118">
        <v>6.9930000000000003</v>
      </c>
      <c r="E91" s="86"/>
    </row>
    <row r="92" spans="1:5" x14ac:dyDescent="0.2">
      <c r="A92" s="86"/>
      <c r="B92" s="126" t="str">
        <f t="shared" ref="B92:B101" si="1">B26</f>
        <v>Employee Benefit</v>
      </c>
      <c r="C92" s="86"/>
      <c r="D92" s="118">
        <v>24.995999999999999</v>
      </c>
      <c r="E92" s="86"/>
    </row>
    <row r="93" spans="1:5" x14ac:dyDescent="0.2">
      <c r="A93" s="86"/>
      <c r="B93" s="126" t="str">
        <f t="shared" si="1"/>
        <v>Hospital</v>
      </c>
      <c r="C93" s="86"/>
      <c r="D93" s="118">
        <v>0.499</v>
      </c>
      <c r="E93" s="86"/>
    </row>
    <row r="94" spans="1:5" x14ac:dyDescent="0.2">
      <c r="A94" s="86"/>
      <c r="B94" s="126">
        <f t="shared" si="1"/>
        <v>0</v>
      </c>
      <c r="C94" s="86"/>
      <c r="D94" s="118"/>
      <c r="E94" s="86"/>
    </row>
    <row r="95" spans="1:5" x14ac:dyDescent="0.2">
      <c r="A95" s="86"/>
      <c r="B95" s="126">
        <f t="shared" si="1"/>
        <v>0</v>
      </c>
      <c r="C95" s="86"/>
      <c r="D95" s="118"/>
      <c r="E95" s="86"/>
    </row>
    <row r="96" spans="1:5" x14ac:dyDescent="0.2">
      <c r="A96" s="86"/>
      <c r="B96" s="126">
        <f t="shared" si="1"/>
        <v>0</v>
      </c>
      <c r="C96" s="86"/>
      <c r="D96" s="118"/>
      <c r="E96" s="86"/>
    </row>
    <row r="97" spans="1:5" x14ac:dyDescent="0.2">
      <c r="A97" s="86"/>
      <c r="B97" s="126">
        <f t="shared" si="1"/>
        <v>0</v>
      </c>
      <c r="C97" s="86"/>
      <c r="D97" s="118"/>
      <c r="E97" s="86"/>
    </row>
    <row r="98" spans="1:5" x14ac:dyDescent="0.2">
      <c r="A98" s="86"/>
      <c r="B98" s="126">
        <f t="shared" si="1"/>
        <v>0</v>
      </c>
      <c r="C98" s="86"/>
      <c r="D98" s="118"/>
      <c r="E98" s="86"/>
    </row>
    <row r="99" spans="1:5" x14ac:dyDescent="0.2">
      <c r="A99" s="86"/>
      <c r="B99" s="126">
        <f t="shared" si="1"/>
        <v>0</v>
      </c>
      <c r="C99" s="86"/>
      <c r="D99" s="118"/>
      <c r="E99" s="86"/>
    </row>
    <row r="100" spans="1:5" x14ac:dyDescent="0.2">
      <c r="A100" s="86"/>
      <c r="B100" s="126">
        <f t="shared" si="1"/>
        <v>0</v>
      </c>
      <c r="C100" s="86"/>
      <c r="D100" s="118"/>
      <c r="E100" s="86"/>
    </row>
    <row r="101" spans="1:5" x14ac:dyDescent="0.2">
      <c r="A101" s="86"/>
      <c r="B101" s="126">
        <f t="shared" si="1"/>
        <v>0</v>
      </c>
      <c r="C101" s="86"/>
      <c r="D101" s="118"/>
      <c r="E101" s="86"/>
    </row>
    <row r="102" spans="1:5" x14ac:dyDescent="0.2">
      <c r="A102" s="111" t="s">
        <v>277</v>
      </c>
      <c r="B102" s="101"/>
      <c r="C102" s="127"/>
      <c r="D102" s="128">
        <f>SUM(D89:D101)</f>
        <v>70.146000000000001</v>
      </c>
      <c r="E102" s="86"/>
    </row>
    <row r="103" spans="1:5" x14ac:dyDescent="0.2">
      <c r="A103" s="86"/>
      <c r="B103" s="86"/>
      <c r="C103" s="86"/>
      <c r="D103" s="86"/>
      <c r="E103" s="86"/>
    </row>
    <row r="104" spans="1:5" x14ac:dyDescent="0.2">
      <c r="A104" s="129" t="str">
        <f>CONCATENATE("Total Tax Levied (",C10-2," budget column)")</f>
        <v>Total Tax Levied (2011 budget column)</v>
      </c>
      <c r="B104" s="130"/>
      <c r="C104" s="101"/>
      <c r="D104" s="127"/>
      <c r="E104" s="108">
        <v>733916</v>
      </c>
    </row>
    <row r="105" spans="1:5" x14ac:dyDescent="0.2">
      <c r="A105" s="131" t="str">
        <f>CONCATENATE("Assessed Valuation  (",C10-2," budget column)")</f>
        <v>Assessed Valuation  (2011 budget column)</v>
      </c>
      <c r="B105" s="132"/>
      <c r="C105" s="133"/>
      <c r="D105" s="134"/>
      <c r="E105" s="108">
        <v>10462578</v>
      </c>
    </row>
    <row r="106" spans="1:5" x14ac:dyDescent="0.2">
      <c r="A106" s="114"/>
      <c r="B106" s="115"/>
      <c r="C106" s="115"/>
      <c r="D106" s="115"/>
      <c r="E106" s="123"/>
    </row>
    <row r="107" spans="1:5" x14ac:dyDescent="0.2">
      <c r="A107" s="135" t="str">
        <f>CONCATENATE("From the ",C10-1," Budget, Budget Summary Page")</f>
        <v>From the 2012 Budget, Budget Summary Page</v>
      </c>
      <c r="B107" s="136"/>
      <c r="C107" s="86"/>
      <c r="D107" s="137"/>
      <c r="E107" s="138"/>
    </row>
    <row r="108" spans="1:5" x14ac:dyDescent="0.2">
      <c r="A108" s="98" t="s">
        <v>172</v>
      </c>
      <c r="B108" s="98"/>
      <c r="C108" s="139"/>
      <c r="D108" s="140">
        <f>C10-3</f>
        <v>2010</v>
      </c>
      <c r="E108" s="141">
        <f>C10-2</f>
        <v>2011</v>
      </c>
    </row>
    <row r="109" spans="1:5" x14ac:dyDescent="0.2">
      <c r="A109" s="142" t="s">
        <v>100</v>
      </c>
      <c r="B109" s="142"/>
      <c r="C109" s="143"/>
      <c r="D109" s="117">
        <v>1450000</v>
      </c>
      <c r="E109" s="117">
        <v>1305000</v>
      </c>
    </row>
    <row r="110" spans="1:5" x14ac:dyDescent="0.2">
      <c r="A110" s="144" t="s">
        <v>101</v>
      </c>
      <c r="B110" s="144"/>
      <c r="C110" s="145"/>
      <c r="D110" s="117">
        <v>2205000</v>
      </c>
      <c r="E110" s="117">
        <v>2240000</v>
      </c>
    </row>
    <row r="111" spans="1:5" x14ac:dyDescent="0.2">
      <c r="A111" s="144" t="s">
        <v>102</v>
      </c>
      <c r="B111" s="144"/>
      <c r="C111" s="145"/>
      <c r="D111" s="117">
        <v>1926567</v>
      </c>
      <c r="E111" s="117">
        <v>1741584</v>
      </c>
    </row>
    <row r="112" spans="1:5" x14ac:dyDescent="0.2">
      <c r="A112" s="144" t="s">
        <v>103</v>
      </c>
      <c r="B112" s="144"/>
      <c r="C112" s="145"/>
      <c r="D112" s="117">
        <v>220485</v>
      </c>
      <c r="E112" s="117">
        <v>461736</v>
      </c>
    </row>
    <row r="113" spans="1:5" x14ac:dyDescent="0.2">
      <c r="A113" s="146"/>
      <c r="B113" s="146"/>
      <c r="C113" s="146"/>
      <c r="D113" s="146"/>
      <c r="E113" s="146"/>
    </row>
    <row r="114" spans="1:5" x14ac:dyDescent="0.2">
      <c r="A114" s="146"/>
      <c r="B114" s="146"/>
      <c r="C114" s="146"/>
      <c r="D114" s="146"/>
      <c r="E114" s="146"/>
    </row>
    <row r="115" spans="1:5" x14ac:dyDescent="0.2">
      <c r="A115" s="146"/>
      <c r="B115" s="146"/>
      <c r="C115" s="146"/>
      <c r="D115" s="146"/>
      <c r="E115" s="146"/>
    </row>
    <row r="116" spans="1:5" x14ac:dyDescent="0.2">
      <c r="A116" s="146"/>
      <c r="B116" s="146"/>
      <c r="C116" s="146"/>
      <c r="D116" s="146"/>
      <c r="E116" s="146"/>
    </row>
    <row r="117" spans="1:5" x14ac:dyDescent="0.2">
      <c r="A117" s="146"/>
      <c r="B117" s="146"/>
      <c r="C117" s="146"/>
      <c r="D117" s="146"/>
      <c r="E117" s="146"/>
    </row>
    <row r="118" spans="1:5" x14ac:dyDescent="0.2">
      <c r="A118" s="146"/>
      <c r="B118" s="146"/>
      <c r="C118" s="146"/>
      <c r="D118" s="146"/>
      <c r="E118" s="146"/>
    </row>
    <row r="119" spans="1:5" s="146" customFormat="1" ht="15" x14ac:dyDescent="0.2"/>
    <row r="120" spans="1:5" x14ac:dyDescent="0.2">
      <c r="A120" s="146"/>
      <c r="B120" s="146"/>
      <c r="C120" s="146"/>
      <c r="D120" s="146"/>
      <c r="E120" s="146"/>
    </row>
    <row r="121" spans="1:5" x14ac:dyDescent="0.2">
      <c r="A121" s="146"/>
      <c r="B121" s="146"/>
      <c r="C121" s="146"/>
      <c r="D121" s="146"/>
      <c r="E121" s="146"/>
    </row>
    <row r="122" spans="1:5" x14ac:dyDescent="0.2">
      <c r="A122" s="146"/>
      <c r="B122" s="146"/>
      <c r="C122" s="146"/>
      <c r="D122" s="146"/>
      <c r="E122" s="146"/>
    </row>
    <row r="123" spans="1:5" x14ac:dyDescent="0.2">
      <c r="A123" s="146"/>
      <c r="B123" s="146"/>
      <c r="C123" s="146"/>
      <c r="D123" s="146"/>
      <c r="E123" s="146"/>
    </row>
    <row r="124" spans="1:5" x14ac:dyDescent="0.2">
      <c r="A124" s="146"/>
      <c r="B124" s="146"/>
      <c r="C124" s="146"/>
      <c r="D124" s="146"/>
      <c r="E124" s="146"/>
    </row>
    <row r="125" spans="1:5" x14ac:dyDescent="0.2">
      <c r="A125" s="146"/>
      <c r="B125" s="146"/>
      <c r="C125" s="146"/>
      <c r="D125" s="146"/>
      <c r="E125" s="146"/>
    </row>
    <row r="126" spans="1:5" x14ac:dyDescent="0.2">
      <c r="A126" s="146"/>
      <c r="B126" s="146"/>
      <c r="C126" s="146"/>
      <c r="D126" s="146"/>
      <c r="E126" s="146"/>
    </row>
    <row r="127" spans="1:5" x14ac:dyDescent="0.2">
      <c r="A127" s="146"/>
      <c r="B127" s="146"/>
      <c r="C127" s="146"/>
      <c r="D127" s="146"/>
      <c r="E127" s="146"/>
    </row>
    <row r="128" spans="1:5" x14ac:dyDescent="0.2">
      <c r="A128" s="146"/>
      <c r="B128" s="146"/>
      <c r="C128" s="146"/>
      <c r="D128" s="146"/>
      <c r="E128" s="146"/>
    </row>
    <row r="129" spans="1:5" x14ac:dyDescent="0.2">
      <c r="A129" s="146"/>
      <c r="B129" s="146"/>
      <c r="C129" s="146"/>
      <c r="D129" s="146"/>
      <c r="E129" s="146"/>
    </row>
    <row r="130" spans="1:5" x14ac:dyDescent="0.2">
      <c r="A130" s="146"/>
      <c r="B130" s="146"/>
      <c r="C130" s="146"/>
      <c r="D130" s="146"/>
      <c r="E130" s="146"/>
    </row>
  </sheetData>
  <sheetProtection sheet="1"/>
  <mergeCells count="3">
    <mergeCell ref="A15:E15"/>
    <mergeCell ref="A1:E1"/>
    <mergeCell ref="G13:H18"/>
  </mergeCells>
  <phoneticPr fontId="0" type="noConversion"/>
  <pageMargins left="0.5" right="0.5" top="1" bottom="0.5" header="0.5" footer="0.25"/>
  <pageSetup scale="67"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zoomScaleNormal="100" workbookViewId="0">
      <selection activeCell="D47" sqref="D47"/>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6" width="8.109375" style="82" customWidth="1"/>
    <col min="7" max="7" width="10.21875" style="82" customWidth="1"/>
    <col min="8" max="8" width="8.88671875" style="82"/>
    <col min="9" max="9" width="5" style="82" customWidth="1"/>
    <col min="10" max="10" width="10" style="82" customWidth="1"/>
    <col min="11"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6</v>
      </c>
      <c r="C3" s="263"/>
      <c r="D3" s="263"/>
      <c r="E3" s="371"/>
    </row>
    <row r="4" spans="2:5" x14ac:dyDescent="0.2">
      <c r="B4" s="93" t="s">
        <v>301</v>
      </c>
      <c r="C4" s="633" t="s">
        <v>833</v>
      </c>
      <c r="D4" s="634" t="s">
        <v>834</v>
      </c>
      <c r="E4" s="206" t="s">
        <v>835</v>
      </c>
    </row>
    <row r="5" spans="2:5" x14ac:dyDescent="0.2">
      <c r="B5" s="579">
        <f>inputPrYr!B34</f>
        <v>0</v>
      </c>
      <c r="C5" s="454" t="str">
        <f>CONCATENATE("Actual for ",E1-2,"")</f>
        <v>Actual for 2011</v>
      </c>
      <c r="D5" s="454" t="str">
        <f>CONCATENATE("Estimate for ",E1-1,"")</f>
        <v>Estimate for 2012</v>
      </c>
      <c r="E5" s="272" t="str">
        <f>CONCATENATE("Year for ",E1,"")</f>
        <v>Year for 2013</v>
      </c>
    </row>
    <row r="6" spans="2:5" x14ac:dyDescent="0.2">
      <c r="B6" s="365" t="s">
        <v>60</v>
      </c>
      <c r="C6" s="446"/>
      <c r="D6" s="451">
        <f>C34</f>
        <v>0</v>
      </c>
      <c r="E6" s="351">
        <f>D34</f>
        <v>0</v>
      </c>
    </row>
    <row r="7" spans="2:5" x14ac:dyDescent="0.2">
      <c r="B7" s="366" t="s">
        <v>62</v>
      </c>
      <c r="C7" s="220"/>
      <c r="D7" s="220"/>
      <c r="E7" s="126"/>
    </row>
    <row r="8" spans="2:5" x14ac:dyDescent="0.2">
      <c r="B8" s="169" t="s">
        <v>302</v>
      </c>
      <c r="C8" s="446"/>
      <c r="D8" s="451">
        <f>IF(inputPrYr!H21&gt;0,inputPrYr!G34,inputPrYr!E34)</f>
        <v>0</v>
      </c>
      <c r="E8" s="372" t="s">
        <v>290</v>
      </c>
    </row>
    <row r="9" spans="2:5" x14ac:dyDescent="0.2">
      <c r="B9" s="169" t="s">
        <v>303</v>
      </c>
      <c r="C9" s="446"/>
      <c r="D9" s="446"/>
      <c r="E9" s="108"/>
    </row>
    <row r="10" spans="2:5" x14ac:dyDescent="0.2">
      <c r="B10" s="169" t="s">
        <v>304</v>
      </c>
      <c r="C10" s="446"/>
      <c r="D10" s="446"/>
      <c r="E10" s="351" t="str">
        <f>mvalloc!D19</f>
        <v xml:space="preserve">  </v>
      </c>
    </row>
    <row r="11" spans="2:5" x14ac:dyDescent="0.2">
      <c r="B11" s="169" t="s">
        <v>305</v>
      </c>
      <c r="C11" s="446"/>
      <c r="D11" s="446"/>
      <c r="E11" s="351" t="str">
        <f>mvalloc!E19</f>
        <v xml:space="preserve"> </v>
      </c>
    </row>
    <row r="12" spans="2:5" x14ac:dyDescent="0.2">
      <c r="B12" s="220" t="s">
        <v>38</v>
      </c>
      <c r="C12" s="446"/>
      <c r="D12" s="446"/>
      <c r="E12" s="351" t="str">
        <f>mvalloc!F19</f>
        <v xml:space="preserve"> </v>
      </c>
    </row>
    <row r="13" spans="2:5" x14ac:dyDescent="0.2">
      <c r="B13" s="353"/>
      <c r="C13" s="446"/>
      <c r="D13" s="446"/>
      <c r="E13" s="108"/>
    </row>
    <row r="14" spans="2:5" x14ac:dyDescent="0.2">
      <c r="B14" s="353"/>
      <c r="C14" s="446"/>
      <c r="D14" s="446"/>
      <c r="E14" s="108"/>
    </row>
    <row r="15" spans="2:5" x14ac:dyDescent="0.2">
      <c r="B15" s="353"/>
      <c r="C15" s="446"/>
      <c r="D15" s="446"/>
      <c r="E15" s="108"/>
    </row>
    <row r="16" spans="2:5" x14ac:dyDescent="0.2">
      <c r="B16" s="353"/>
      <c r="C16" s="446"/>
      <c r="D16" s="446"/>
      <c r="E16" s="108"/>
    </row>
    <row r="17" spans="2:10" x14ac:dyDescent="0.2">
      <c r="B17" s="367" t="s">
        <v>308</v>
      </c>
      <c r="C17" s="446"/>
      <c r="D17" s="446"/>
      <c r="E17" s="108"/>
    </row>
    <row r="18" spans="2:10" x14ac:dyDescent="0.2">
      <c r="B18" s="357" t="s">
        <v>198</v>
      </c>
      <c r="C18" s="446"/>
      <c r="D18" s="446"/>
      <c r="E18" s="108"/>
    </row>
    <row r="19" spans="2:10" x14ac:dyDescent="0.2">
      <c r="B19" s="357" t="s">
        <v>693</v>
      </c>
      <c r="C19" s="447" t="str">
        <f>IF(C20*0.1&lt;C18,"Exceed 10% Rule","")</f>
        <v/>
      </c>
      <c r="D19" s="447" t="str">
        <f>IF(D20*0.1&lt;D18,"Exceed 10% Rule","")</f>
        <v/>
      </c>
      <c r="E19" s="384" t="str">
        <f>IF(E20*0.1+E40&lt;E18,"Exceed 10% Rule","")</f>
        <v/>
      </c>
    </row>
    <row r="20" spans="2:10" x14ac:dyDescent="0.2">
      <c r="B20" s="359" t="s">
        <v>309</v>
      </c>
      <c r="C20" s="450">
        <f>SUM(C8:C18)</f>
        <v>0</v>
      </c>
      <c r="D20" s="450">
        <f>SUM(D8:D18)</f>
        <v>0</v>
      </c>
      <c r="E20" s="361">
        <f>SUM(E8:E18)</f>
        <v>0</v>
      </c>
    </row>
    <row r="21" spans="2:10" x14ac:dyDescent="0.2">
      <c r="B21" s="359" t="s">
        <v>310</v>
      </c>
      <c r="C21" s="450">
        <f>C6+C20</f>
        <v>0</v>
      </c>
      <c r="D21" s="450">
        <f>D6+D20</f>
        <v>0</v>
      </c>
      <c r="E21" s="361">
        <f>E6+E20</f>
        <v>0</v>
      </c>
    </row>
    <row r="22" spans="2:10" x14ac:dyDescent="0.2">
      <c r="B22" s="169" t="s">
        <v>312</v>
      </c>
      <c r="C22" s="357"/>
      <c r="D22" s="357"/>
      <c r="E22" s="107"/>
    </row>
    <row r="23" spans="2:10" x14ac:dyDescent="0.2">
      <c r="B23" s="353"/>
      <c r="C23" s="446"/>
      <c r="D23" s="446"/>
      <c r="E23" s="108"/>
    </row>
    <row r="24" spans="2:10" x14ac:dyDescent="0.2">
      <c r="B24" s="353"/>
      <c r="C24" s="446"/>
      <c r="D24" s="446"/>
      <c r="E24" s="108"/>
      <c r="G24" s="925" t="str">
        <f>CONCATENATE("Desired Carryover Into ",E1+1,"")</f>
        <v>Desired Carryover Into 2014</v>
      </c>
      <c r="H24" s="920"/>
      <c r="I24" s="920"/>
      <c r="J24" s="921"/>
    </row>
    <row r="25" spans="2:10" x14ac:dyDescent="0.2">
      <c r="B25" s="353"/>
      <c r="C25" s="446"/>
      <c r="D25" s="446"/>
      <c r="E25" s="108"/>
      <c r="G25" s="746"/>
      <c r="H25" s="506"/>
      <c r="I25" s="747"/>
      <c r="J25" s="748"/>
    </row>
    <row r="26" spans="2:10" x14ac:dyDescent="0.2">
      <c r="B26" s="353"/>
      <c r="C26" s="446"/>
      <c r="D26" s="446"/>
      <c r="E26" s="108"/>
      <c r="G26" s="749" t="s">
        <v>700</v>
      </c>
      <c r="H26" s="747"/>
      <c r="I26" s="747"/>
      <c r="J26" s="750">
        <v>0</v>
      </c>
    </row>
    <row r="27" spans="2:10" x14ac:dyDescent="0.2">
      <c r="B27" s="353"/>
      <c r="C27" s="446"/>
      <c r="D27" s="446"/>
      <c r="E27" s="108"/>
      <c r="G27" s="746" t="s">
        <v>701</v>
      </c>
      <c r="H27" s="506"/>
      <c r="I27" s="506"/>
      <c r="J27" s="767" t="str">
        <f>IF(J26=0,"",ROUND((J26+E40-G39)/inputOth!B14*1000,3)-G44)</f>
        <v/>
      </c>
    </row>
    <row r="28" spans="2:10" x14ac:dyDescent="0.2">
      <c r="B28" s="353"/>
      <c r="C28" s="446"/>
      <c r="D28" s="446"/>
      <c r="E28" s="108"/>
      <c r="G28" s="752" t="str">
        <f>CONCATENATE("",E1," Tot Exp/Non-Appr Must Be:")</f>
        <v>2013 Tot Exp/Non-Appr Must Be:</v>
      </c>
      <c r="H28" s="753"/>
      <c r="I28" s="754"/>
      <c r="J28" s="755">
        <f>IF(J26&gt;0,IF(E37&lt;E21,IF(J26=G39,E37,((J26-G39)*(1-D39))+E21),E37+(J26-G39)),0)</f>
        <v>0</v>
      </c>
    </row>
    <row r="29" spans="2:10" x14ac:dyDescent="0.2">
      <c r="B29" s="353"/>
      <c r="C29" s="446"/>
      <c r="D29" s="446"/>
      <c r="E29" s="108"/>
      <c r="G29" s="716" t="s">
        <v>919</v>
      </c>
      <c r="H29" s="756"/>
      <c r="I29" s="756"/>
      <c r="J29" s="718">
        <f>IF(J26&gt;0,J28-E37,0)</f>
        <v>0</v>
      </c>
    </row>
    <row r="30" spans="2:10" x14ac:dyDescent="0.25">
      <c r="B30" s="357" t="s">
        <v>197</v>
      </c>
      <c r="C30" s="446"/>
      <c r="D30" s="446"/>
      <c r="E30" s="121" t="str">
        <f>nhood!E17</f>
        <v/>
      </c>
      <c r="J30" s="3"/>
    </row>
    <row r="31" spans="2:10" x14ac:dyDescent="0.2">
      <c r="B31" s="357" t="s">
        <v>198</v>
      </c>
      <c r="C31" s="446"/>
      <c r="D31" s="446"/>
      <c r="E31" s="108"/>
      <c r="G31" s="925" t="str">
        <f>CONCATENATE("Projected Carryover Into ",E1+1,"")</f>
        <v>Projected Carryover Into 2014</v>
      </c>
      <c r="H31" s="927"/>
      <c r="I31" s="927"/>
      <c r="J31" s="929"/>
    </row>
    <row r="32" spans="2:10" x14ac:dyDescent="0.25">
      <c r="B32" s="357" t="s">
        <v>692</v>
      </c>
      <c r="C32" s="447" t="str">
        <f>IF(C33*0.1&lt;C31,"Exceed 10% Rule","")</f>
        <v/>
      </c>
      <c r="D32" s="447" t="str">
        <f>IF(D33*0.1&lt;D31,"Exceed 10% Rule","")</f>
        <v/>
      </c>
      <c r="E32" s="384" t="str">
        <f>IF(E33*0.1&lt;E31,"Exceed 10% Rule","")</f>
        <v/>
      </c>
      <c r="G32" s="746"/>
      <c r="H32" s="747"/>
      <c r="I32" s="747"/>
      <c r="J32" s="768"/>
    </row>
    <row r="33" spans="2:11" x14ac:dyDescent="0.25">
      <c r="B33" s="359" t="s">
        <v>316</v>
      </c>
      <c r="C33" s="450">
        <f>SUM(C23:C31)</f>
        <v>0</v>
      </c>
      <c r="D33" s="450">
        <f>SUM(D23:D31)</f>
        <v>0</v>
      </c>
      <c r="E33" s="361">
        <f>SUM(E23:E31)</f>
        <v>0</v>
      </c>
      <c r="G33" s="769">
        <f>D34</f>
        <v>0</v>
      </c>
      <c r="H33" s="731" t="str">
        <f>CONCATENATE("",E1-1," Ending Cash Balance (est.)")</f>
        <v>2012 Ending Cash Balance (est.)</v>
      </c>
      <c r="I33" s="770"/>
      <c r="J33" s="768"/>
    </row>
    <row r="34" spans="2:11" x14ac:dyDescent="0.25">
      <c r="B34" s="169" t="s">
        <v>61</v>
      </c>
      <c r="C34" s="448">
        <f>C21-C33</f>
        <v>0</v>
      </c>
      <c r="D34" s="448">
        <f>D21-D33</f>
        <v>0</v>
      </c>
      <c r="E34" s="372" t="s">
        <v>290</v>
      </c>
      <c r="G34" s="769">
        <f>E20</f>
        <v>0</v>
      </c>
      <c r="H34" s="747" t="str">
        <f>CONCATENATE("",E1," Non-AV Receipts (est.)")</f>
        <v>2013 Non-AV Receipts (est.)</v>
      </c>
      <c r="I34" s="770"/>
      <c r="J34" s="768"/>
    </row>
    <row r="35" spans="2:11" x14ac:dyDescent="0.2">
      <c r="B35" s="199" t="str">
        <f>CONCATENATE("",E1-2,"/",E1-1," Budget Authority Amount:")</f>
        <v>2011/2012 Budget Authority Amount:</v>
      </c>
      <c r="C35" s="307">
        <f>inputOth!B92</f>
        <v>0</v>
      </c>
      <c r="D35" s="307">
        <f>inputPrYr!D34</f>
        <v>0</v>
      </c>
      <c r="E35" s="372" t="s">
        <v>290</v>
      </c>
      <c r="F35" s="373"/>
      <c r="G35" s="771">
        <f>IF(E39&gt;0,E38,E40)</f>
        <v>0</v>
      </c>
      <c r="H35" s="747" t="str">
        <f>CONCATENATE("",E1," Ad Valorem Tax (est.)")</f>
        <v>2013 Ad Valorem Tax (est.)</v>
      </c>
      <c r="I35" s="770"/>
      <c r="J35" s="772"/>
      <c r="K35" s="762" t="str">
        <f>IF(G35=E40,"","Note: Does not include Delinquent Taxes")</f>
        <v/>
      </c>
    </row>
    <row r="36" spans="2:11" x14ac:dyDescent="0.25">
      <c r="B36" s="199"/>
      <c r="C36" s="913" t="s">
        <v>697</v>
      </c>
      <c r="D36" s="914"/>
      <c r="E36" s="108"/>
      <c r="F36" s="805" t="str">
        <f>IF(E33/0.95-E33&lt;E36,"Exceeds 5%","")</f>
        <v/>
      </c>
      <c r="G36" s="769">
        <f>SUM(G33:G35)</f>
        <v>0</v>
      </c>
      <c r="H36" s="747" t="str">
        <f>CONCATENATE("Total ",E1," Resources Available")</f>
        <v>Total 2013 Resources Available</v>
      </c>
      <c r="I36" s="770"/>
      <c r="J36" s="768"/>
    </row>
    <row r="37" spans="2:11" x14ac:dyDescent="0.25">
      <c r="B37" s="558" t="str">
        <f>CONCATENATE(C90,"     ",D90)</f>
        <v xml:space="preserve">     </v>
      </c>
      <c r="C37" s="915" t="s">
        <v>698</v>
      </c>
      <c r="D37" s="916"/>
      <c r="E37" s="351">
        <f>E33+E36</f>
        <v>0</v>
      </c>
      <c r="G37" s="773"/>
      <c r="H37" s="747"/>
      <c r="I37" s="747"/>
      <c r="J37" s="768"/>
    </row>
    <row r="38" spans="2:11" x14ac:dyDescent="0.25">
      <c r="B38" s="558" t="str">
        <f>CONCATENATE(C91,"     ",D91)</f>
        <v xml:space="preserve">     </v>
      </c>
      <c r="C38" s="363"/>
      <c r="D38" s="230" t="s">
        <v>317</v>
      </c>
      <c r="E38" s="121">
        <f>IF(E37-E21&gt;0,E37-E21,0)</f>
        <v>0</v>
      </c>
      <c r="G38" s="771">
        <f>ROUND(C33*0.05+C33,0)</f>
        <v>0</v>
      </c>
      <c r="H38" s="747" t="str">
        <f>CONCATENATE("Less ",E1-2," Expenditures + 5%")</f>
        <v>Less 2011 Expenditures + 5%</v>
      </c>
      <c r="I38" s="770"/>
      <c r="J38" s="768"/>
    </row>
    <row r="39" spans="2:11" x14ac:dyDescent="0.25">
      <c r="B39" s="230"/>
      <c r="C39" s="508" t="s">
        <v>699</v>
      </c>
      <c r="D39" s="789">
        <f>inputOth!$E$66</f>
        <v>0</v>
      </c>
      <c r="E39" s="351">
        <f>ROUND(IF(D39&gt;0,(E38*D39),0),0)</f>
        <v>0</v>
      </c>
      <c r="G39" s="774">
        <f>G36-G38</f>
        <v>0</v>
      </c>
      <c r="H39" s="775" t="str">
        <f>CONCATENATE("Projected ",E1+1," carryover (est.)")</f>
        <v>Projected 2014 carryover (est.)</v>
      </c>
      <c r="I39" s="776"/>
      <c r="J39" s="777"/>
    </row>
    <row r="40" spans="2:11" ht="16.5" thickBot="1" x14ac:dyDescent="0.3">
      <c r="B40" s="86"/>
      <c r="C40" s="911" t="str">
        <f>CONCATENATE("Amount of  ",$E$1-1," Ad Valorem Tax")</f>
        <v>Amount of  2012 Ad Valorem Tax</v>
      </c>
      <c r="D40" s="912"/>
      <c r="E40" s="376">
        <f>E38+E39</f>
        <v>0</v>
      </c>
      <c r="G40" s="3"/>
      <c r="H40" s="3"/>
      <c r="I40" s="3"/>
      <c r="J40" s="3"/>
    </row>
    <row r="41" spans="2:11" ht="16.5" thickTop="1" x14ac:dyDescent="0.2">
      <c r="B41" s="86"/>
      <c r="C41" s="86"/>
      <c r="D41" s="86"/>
      <c r="E41" s="86"/>
      <c r="G41" s="922" t="s">
        <v>920</v>
      </c>
      <c r="H41" s="923"/>
      <c r="I41" s="923"/>
      <c r="J41" s="924"/>
    </row>
    <row r="42" spans="2:11" x14ac:dyDescent="0.2">
      <c r="B42" s="93"/>
      <c r="C42" s="204"/>
      <c r="D42" s="204"/>
      <c r="E42" s="204"/>
      <c r="G42" s="730"/>
      <c r="H42" s="731"/>
      <c r="I42" s="732"/>
      <c r="J42" s="733"/>
    </row>
    <row r="43" spans="2:11" x14ac:dyDescent="0.2">
      <c r="B43" s="93" t="s">
        <v>301</v>
      </c>
      <c r="C43" s="633" t="s">
        <v>833</v>
      </c>
      <c r="D43" s="634" t="s">
        <v>836</v>
      </c>
      <c r="E43" s="206" t="s">
        <v>835</v>
      </c>
      <c r="G43" s="734" t="str">
        <f>summ!H26</f>
        <v xml:space="preserve">  </v>
      </c>
      <c r="H43" s="731" t="str">
        <f>CONCATENATE("",E1," Fund Mill Rate")</f>
        <v>2013 Fund Mill Rate</v>
      </c>
      <c r="I43" s="732"/>
      <c r="J43" s="733"/>
    </row>
    <row r="44" spans="2:11" x14ac:dyDescent="0.2">
      <c r="B44" s="579">
        <f>inputPrYr!B35</f>
        <v>0</v>
      </c>
      <c r="C44" s="454" t="str">
        <f>C5</f>
        <v>Actual for 2011</v>
      </c>
      <c r="D44" s="454" t="str">
        <f>D5</f>
        <v>Estimate for 2012</v>
      </c>
      <c r="E44" s="272" t="str">
        <f>E5</f>
        <v>Year for 2013</v>
      </c>
      <c r="G44" s="735" t="str">
        <f>summ!E26</f>
        <v xml:space="preserve">  </v>
      </c>
      <c r="H44" s="731" t="str">
        <f>CONCATENATE("",E1-1," Fund Mill Rate")</f>
        <v>2012 Fund Mill Rate</v>
      </c>
      <c r="I44" s="732"/>
      <c r="J44" s="733"/>
    </row>
    <row r="45" spans="2:11" x14ac:dyDescent="0.2">
      <c r="B45" s="365" t="s">
        <v>60</v>
      </c>
      <c r="C45" s="446"/>
      <c r="D45" s="451">
        <f>C74</f>
        <v>0</v>
      </c>
      <c r="E45" s="351">
        <f>D74</f>
        <v>0</v>
      </c>
      <c r="G45" s="736">
        <f>summ!H52</f>
        <v>66.711000000000013</v>
      </c>
      <c r="H45" s="731" t="str">
        <f>CONCATENATE("Total ",E1," Mill Rate")</f>
        <v>Total 2013 Mill Rate</v>
      </c>
      <c r="I45" s="732"/>
      <c r="J45" s="733"/>
    </row>
    <row r="46" spans="2:11" x14ac:dyDescent="0.2">
      <c r="B46" s="366" t="s">
        <v>62</v>
      </c>
      <c r="C46" s="220"/>
      <c r="D46" s="220"/>
      <c r="E46" s="126"/>
      <c r="G46" s="735">
        <f>summ!E52</f>
        <v>66.711000000000013</v>
      </c>
      <c r="H46" s="737" t="str">
        <f>CONCATENATE("Total ",E1-1," Mill Rate")</f>
        <v>Total 2012 Mill Rate</v>
      </c>
      <c r="I46" s="738"/>
      <c r="J46" s="739"/>
    </row>
    <row r="47" spans="2:11" x14ac:dyDescent="0.2">
      <c r="B47" s="169" t="s">
        <v>302</v>
      </c>
      <c r="C47" s="446"/>
      <c r="D47" s="451">
        <f>IF(inputPrYr!H21&gt;0,inputPrYr!G35,inputPrYr!E35)</f>
        <v>0</v>
      </c>
      <c r="E47" s="372" t="s">
        <v>290</v>
      </c>
    </row>
    <row r="48" spans="2:11" x14ac:dyDescent="0.2">
      <c r="B48" s="169" t="s">
        <v>303</v>
      </c>
      <c r="C48" s="446"/>
      <c r="D48" s="446"/>
      <c r="E48" s="108"/>
    </row>
    <row r="49" spans="2:10" x14ac:dyDescent="0.2">
      <c r="B49" s="169" t="s">
        <v>304</v>
      </c>
      <c r="C49" s="446"/>
      <c r="D49" s="446"/>
      <c r="E49" s="351" t="str">
        <f>mvalloc!D20</f>
        <v xml:space="preserve">  </v>
      </c>
    </row>
    <row r="50" spans="2:10" x14ac:dyDescent="0.2">
      <c r="B50" s="169" t="s">
        <v>305</v>
      </c>
      <c r="C50" s="446"/>
      <c r="D50" s="446"/>
      <c r="E50" s="351" t="str">
        <f>mvalloc!E20</f>
        <v xml:space="preserve"> </v>
      </c>
    </row>
    <row r="51" spans="2:10" x14ac:dyDescent="0.2">
      <c r="B51" s="220" t="s">
        <v>38</v>
      </c>
      <c r="C51" s="446"/>
      <c r="D51" s="446"/>
      <c r="E51" s="351" t="str">
        <f>mvalloc!F20</f>
        <v xml:space="preserve"> </v>
      </c>
    </row>
    <row r="52" spans="2:10" x14ac:dyDescent="0.2">
      <c r="B52" s="353"/>
      <c r="C52" s="446"/>
      <c r="D52" s="446"/>
      <c r="E52" s="108"/>
    </row>
    <row r="53" spans="2:10" x14ac:dyDescent="0.2">
      <c r="B53" s="353"/>
      <c r="C53" s="446"/>
      <c r="D53" s="446"/>
      <c r="E53" s="108"/>
    </row>
    <row r="54" spans="2:10" x14ac:dyDescent="0.2">
      <c r="B54" s="353"/>
      <c r="C54" s="446"/>
      <c r="D54" s="446"/>
      <c r="E54" s="108"/>
    </row>
    <row r="55" spans="2:10" x14ac:dyDescent="0.2">
      <c r="B55" s="353"/>
      <c r="C55" s="446"/>
      <c r="D55" s="446"/>
      <c r="E55" s="108"/>
    </row>
    <row r="56" spans="2:10" x14ac:dyDescent="0.2">
      <c r="B56" s="353"/>
      <c r="C56" s="446"/>
      <c r="D56" s="446"/>
      <c r="E56" s="108"/>
    </row>
    <row r="57" spans="2:10" x14ac:dyDescent="0.2">
      <c r="B57" s="367" t="s">
        <v>308</v>
      </c>
      <c r="C57" s="446"/>
      <c r="D57" s="446"/>
      <c r="E57" s="108"/>
    </row>
    <row r="58" spans="2:10" x14ac:dyDescent="0.2">
      <c r="B58" s="357" t="s">
        <v>198</v>
      </c>
      <c r="C58" s="446"/>
      <c r="D58" s="446"/>
      <c r="E58" s="108"/>
    </row>
    <row r="59" spans="2:10" x14ac:dyDescent="0.2">
      <c r="B59" s="357" t="s">
        <v>693</v>
      </c>
      <c r="C59" s="447" t="str">
        <f>IF(C60*0.1&lt;C58,"Exceed 10% Rule","")</f>
        <v/>
      </c>
      <c r="D59" s="447" t="str">
        <f>IF(D60*0.1&lt;D58,"Exceed 10% Rule","")</f>
        <v/>
      </c>
      <c r="E59" s="384" t="str">
        <f>IF(E60*0.1+E80&lt;E58,"Exceed 10% Rule","")</f>
        <v/>
      </c>
    </row>
    <row r="60" spans="2:10" x14ac:dyDescent="0.2">
      <c r="B60" s="359" t="s">
        <v>309</v>
      </c>
      <c r="C60" s="450">
        <f>SUM(C47:C58)</f>
        <v>0</v>
      </c>
      <c r="D60" s="450">
        <f>SUM(D47:D58)</f>
        <v>0</v>
      </c>
      <c r="E60" s="361">
        <f>SUM(E47:E58)</f>
        <v>0</v>
      </c>
    </row>
    <row r="61" spans="2:10" x14ac:dyDescent="0.2">
      <c r="B61" s="359" t="s">
        <v>310</v>
      </c>
      <c r="C61" s="450">
        <f>C45+C60</f>
        <v>0</v>
      </c>
      <c r="D61" s="450">
        <f>D45+D60</f>
        <v>0</v>
      </c>
      <c r="E61" s="361">
        <f>E45+E60</f>
        <v>0</v>
      </c>
    </row>
    <row r="62" spans="2:10" x14ac:dyDescent="0.2">
      <c r="B62" s="169" t="s">
        <v>312</v>
      </c>
      <c r="C62" s="357"/>
      <c r="D62" s="357"/>
      <c r="E62" s="107"/>
    </row>
    <row r="63" spans="2:10" x14ac:dyDescent="0.2">
      <c r="B63" s="353"/>
      <c r="C63" s="446"/>
      <c r="D63" s="446"/>
      <c r="E63" s="108"/>
    </row>
    <row r="64" spans="2:10" x14ac:dyDescent="0.2">
      <c r="B64" s="353"/>
      <c r="C64" s="446"/>
      <c r="D64" s="446"/>
      <c r="E64" s="108"/>
      <c r="G64" s="925" t="str">
        <f>CONCATENATE("Desired Carryover Into ",E1+1,"")</f>
        <v>Desired Carryover Into 2014</v>
      </c>
      <c r="H64" s="920"/>
      <c r="I64" s="920"/>
      <c r="J64" s="921"/>
    </row>
    <row r="65" spans="2:11" x14ac:dyDescent="0.2">
      <c r="B65" s="353"/>
      <c r="C65" s="446"/>
      <c r="D65" s="446"/>
      <c r="E65" s="108"/>
      <c r="G65" s="746"/>
      <c r="H65" s="506"/>
      <c r="I65" s="747"/>
      <c r="J65" s="748"/>
    </row>
    <row r="66" spans="2:11" x14ac:dyDescent="0.2">
      <c r="B66" s="353"/>
      <c r="C66" s="446"/>
      <c r="D66" s="446"/>
      <c r="E66" s="108"/>
      <c r="G66" s="749" t="s">
        <v>700</v>
      </c>
      <c r="H66" s="747"/>
      <c r="I66" s="747"/>
      <c r="J66" s="750">
        <v>0</v>
      </c>
    </row>
    <row r="67" spans="2:11" x14ac:dyDescent="0.2">
      <c r="B67" s="353"/>
      <c r="C67" s="446"/>
      <c r="D67" s="446"/>
      <c r="E67" s="108"/>
      <c r="G67" s="746" t="s">
        <v>701</v>
      </c>
      <c r="H67" s="506"/>
      <c r="I67" s="506"/>
      <c r="J67" s="767" t="str">
        <f>IF(J66=0,"",ROUND((J66+E80-G79)/inputOth!B14*1000,3)-G84)</f>
        <v/>
      </c>
    </row>
    <row r="68" spans="2:11" x14ac:dyDescent="0.2">
      <c r="B68" s="353"/>
      <c r="C68" s="446"/>
      <c r="D68" s="446"/>
      <c r="E68" s="108"/>
      <c r="G68" s="752" t="str">
        <f>CONCATENATE("",E1," Tot Exp/Non-Appr Must Be:")</f>
        <v>2013 Tot Exp/Non-Appr Must Be:</v>
      </c>
      <c r="H68" s="753"/>
      <c r="I68" s="754"/>
      <c r="J68" s="755">
        <f>IF(J66&gt;0,IF(E77&lt;E61,IF(J66=G79,E77,((J66-G79)*(1-D79))+E61),E77+(J66-G79)),0)</f>
        <v>0</v>
      </c>
    </row>
    <row r="69" spans="2:11" x14ac:dyDescent="0.2">
      <c r="B69" s="353"/>
      <c r="C69" s="446"/>
      <c r="D69" s="446"/>
      <c r="E69" s="108"/>
      <c r="G69" s="716" t="s">
        <v>919</v>
      </c>
      <c r="H69" s="756"/>
      <c r="I69" s="756"/>
      <c r="J69" s="718">
        <f>IF(J66&gt;0,J68-E77,0)</f>
        <v>0</v>
      </c>
    </row>
    <row r="70" spans="2:11" x14ac:dyDescent="0.25">
      <c r="B70" s="357" t="s">
        <v>197</v>
      </c>
      <c r="C70" s="446"/>
      <c r="D70" s="446"/>
      <c r="E70" s="121" t="str">
        <f>nhood!E18</f>
        <v/>
      </c>
      <c r="J70" s="3"/>
    </row>
    <row r="71" spans="2:11" x14ac:dyDescent="0.2">
      <c r="B71" s="357" t="s">
        <v>198</v>
      </c>
      <c r="C71" s="446"/>
      <c r="D71" s="446"/>
      <c r="E71" s="108"/>
      <c r="G71" s="925" t="str">
        <f>CONCATENATE("Projected Carryover Into ",E1+1,"")</f>
        <v>Projected Carryover Into 2014</v>
      </c>
      <c r="H71" s="928"/>
      <c r="I71" s="928"/>
      <c r="J71" s="929"/>
    </row>
    <row r="72" spans="2:11" x14ac:dyDescent="0.2">
      <c r="B72" s="357" t="s">
        <v>692</v>
      </c>
      <c r="C72" s="447" t="str">
        <f>IF(C73*0.1&lt;C71,"Exceed 10% Rule","")</f>
        <v/>
      </c>
      <c r="D72" s="447" t="str">
        <f>IF(D73*0.1&lt;D71,"Exceed 10% Rule","")</f>
        <v/>
      </c>
      <c r="E72" s="384" t="str">
        <f>IF(E73*0.1&lt;E71,"Exceed 10% Rule","")</f>
        <v/>
      </c>
      <c r="G72" s="507"/>
      <c r="H72" s="506"/>
      <c r="I72" s="506"/>
      <c r="J72" s="505"/>
    </row>
    <row r="73" spans="2:11" x14ac:dyDescent="0.2">
      <c r="B73" s="359" t="s">
        <v>316</v>
      </c>
      <c r="C73" s="450">
        <f>SUM(C63:C71)</f>
        <v>0</v>
      </c>
      <c r="D73" s="450">
        <f>SUM(D63:D71)</f>
        <v>0</v>
      </c>
      <c r="E73" s="361">
        <f>SUM(E63:E71)</f>
        <v>0</v>
      </c>
      <c r="G73" s="769">
        <f>D74</f>
        <v>0</v>
      </c>
      <c r="H73" s="731" t="str">
        <f>CONCATENATE("",E1-1," Ending Cash Balance (est.)")</f>
        <v>2012 Ending Cash Balance (est.)</v>
      </c>
      <c r="I73" s="770"/>
      <c r="J73" s="505"/>
    </row>
    <row r="74" spans="2:11" x14ac:dyDescent="0.2">
      <c r="B74" s="169" t="s">
        <v>61</v>
      </c>
      <c r="C74" s="448">
        <f>C61-C73</f>
        <v>0</v>
      </c>
      <c r="D74" s="448">
        <f>D61-D73</f>
        <v>0</v>
      </c>
      <c r="E74" s="372" t="s">
        <v>290</v>
      </c>
      <c r="G74" s="769">
        <f>E60</f>
        <v>0</v>
      </c>
      <c r="H74" s="747" t="str">
        <f>CONCATENATE("",E1," Non-AV Receipts (est.)")</f>
        <v>2013 Non-AV Receipts (est.)</v>
      </c>
      <c r="I74" s="770"/>
      <c r="J74" s="505"/>
    </row>
    <row r="75" spans="2:11" x14ac:dyDescent="0.2">
      <c r="B75" s="199" t="str">
        <f>CONCATENATE("",E1-2,"/",E1-1," Budget Authority Amount:")</f>
        <v>2011/2012 Budget Authority Amount:</v>
      </c>
      <c r="C75" s="307">
        <f>inputOth!B93</f>
        <v>0</v>
      </c>
      <c r="D75" s="307">
        <f>inputPrYr!D35</f>
        <v>0</v>
      </c>
      <c r="E75" s="372" t="s">
        <v>290</v>
      </c>
      <c r="F75" s="373"/>
      <c r="G75" s="771">
        <f>IF(D79&gt;0,E78,E80)</f>
        <v>0</v>
      </c>
      <c r="H75" s="747" t="str">
        <f>CONCATENATE("",E1," Ad Valorem Tax (est.)")</f>
        <v>2013 Ad Valorem Tax (est.)</v>
      </c>
      <c r="I75" s="770"/>
      <c r="J75" s="505"/>
      <c r="K75" s="762" t="str">
        <f>IF(G75=E80,"","Note: Does not include Delinquent Taxes")</f>
        <v/>
      </c>
    </row>
    <row r="76" spans="2:11" x14ac:dyDescent="0.2">
      <c r="B76" s="199"/>
      <c r="C76" s="913" t="s">
        <v>697</v>
      </c>
      <c r="D76" s="914"/>
      <c r="E76" s="108"/>
      <c r="F76" s="805" t="str">
        <f>IF(E73/0.95-E73&lt;E76,"Exceeds 5%","")</f>
        <v/>
      </c>
      <c r="G76" s="533">
        <f>SUM(G73:G75)</f>
        <v>0</v>
      </c>
      <c r="H76" s="747" t="str">
        <f>CONCATENATE("Total ",E1," Resources Available")</f>
        <v>Total 2013 Resources Available</v>
      </c>
      <c r="I76" s="505"/>
      <c r="J76" s="505"/>
    </row>
    <row r="77" spans="2:11" x14ac:dyDescent="0.2">
      <c r="B77" s="558" t="str">
        <f>CONCATENATE(C92,"     ",D92)</f>
        <v xml:space="preserve">     </v>
      </c>
      <c r="C77" s="915" t="s">
        <v>698</v>
      </c>
      <c r="D77" s="916"/>
      <c r="E77" s="351">
        <f>E73+E76</f>
        <v>0</v>
      </c>
      <c r="G77" s="530"/>
      <c r="H77" s="532"/>
      <c r="I77" s="506"/>
      <c r="J77" s="505"/>
    </row>
    <row r="78" spans="2:11" x14ac:dyDescent="0.2">
      <c r="B78" s="558" t="str">
        <f>CONCATENATE(C93,"     ",D93)</f>
        <v xml:space="preserve">     </v>
      </c>
      <c r="C78" s="363"/>
      <c r="D78" s="230" t="s">
        <v>317</v>
      </c>
      <c r="E78" s="121">
        <f>IF(E77-E61&gt;0,E77-E61,0)</f>
        <v>0</v>
      </c>
      <c r="G78" s="531">
        <f>ROUND(C73*0.05+C73,0)</f>
        <v>0</v>
      </c>
      <c r="H78" s="532" t="str">
        <f>CONCATENATE("Less ",E1-2," Expenditures + 5%")</f>
        <v>Less 2011 Expenditures + 5%</v>
      </c>
      <c r="I78" s="505"/>
      <c r="J78" s="505"/>
    </row>
    <row r="79" spans="2:11" x14ac:dyDescent="0.25">
      <c r="B79" s="230"/>
      <c r="C79" s="508" t="s">
        <v>699</v>
      </c>
      <c r="D79" s="789">
        <f>inputOth!$E$66</f>
        <v>0</v>
      </c>
      <c r="E79" s="351">
        <f>ROUND(IF(D79&gt;0,(E78*D79),0),0)</f>
        <v>0</v>
      </c>
      <c r="G79" s="529">
        <f>G76-G78</f>
        <v>0</v>
      </c>
      <c r="H79" s="528" t="str">
        <f>CONCATENATE("Projected ",E1+1," carryover (est.)")</f>
        <v>Projected 2014 carryover (est.)</v>
      </c>
      <c r="I79" s="504"/>
      <c r="J79" s="777"/>
    </row>
    <row r="80" spans="2:11" ht="16.5" thickBot="1" x14ac:dyDescent="0.3">
      <c r="B80" s="86"/>
      <c r="C80" s="911" t="str">
        <f>CONCATENATE("Amount of  ",$E$1-1," Ad Valorem Tax")</f>
        <v>Amount of  2012 Ad Valorem Tax</v>
      </c>
      <c r="D80" s="912"/>
      <c r="E80" s="376">
        <f>E78+E79</f>
        <v>0</v>
      </c>
      <c r="G80" s="3"/>
      <c r="H80" s="3"/>
      <c r="I80" s="3"/>
    </row>
    <row r="81" spans="2:10" ht="16.5" thickTop="1" x14ac:dyDescent="0.2">
      <c r="B81" s="86"/>
      <c r="C81" s="86"/>
      <c r="D81" s="86"/>
      <c r="E81" s="86"/>
      <c r="G81" s="922" t="s">
        <v>920</v>
      </c>
      <c r="H81" s="923"/>
      <c r="I81" s="923"/>
      <c r="J81" s="924"/>
    </row>
    <row r="82" spans="2:10" x14ac:dyDescent="0.2">
      <c r="B82" s="199" t="s">
        <v>319</v>
      </c>
      <c r="C82" s="301"/>
      <c r="D82" s="86"/>
      <c r="E82" s="86"/>
      <c r="G82" s="730"/>
      <c r="H82" s="731"/>
      <c r="I82" s="732"/>
      <c r="J82" s="733"/>
    </row>
    <row r="83" spans="2:10" x14ac:dyDescent="0.2">
      <c r="G83" s="734" t="str">
        <f>summ!H27</f>
        <v xml:space="preserve">  </v>
      </c>
      <c r="H83" s="731" t="str">
        <f>CONCATENATE("",E1," Fund Mill Rate")</f>
        <v>2013 Fund Mill Rate</v>
      </c>
      <c r="I83" s="732"/>
      <c r="J83" s="733"/>
    </row>
    <row r="84" spans="2:10" x14ac:dyDescent="0.2">
      <c r="G84" s="735" t="str">
        <f>summ!E27</f>
        <v xml:space="preserve">  </v>
      </c>
      <c r="H84" s="731" t="str">
        <f>CONCATENATE("",E1-1," Fund Mill Rate")</f>
        <v>2012 Fund Mill Rate</v>
      </c>
      <c r="I84" s="732"/>
      <c r="J84" s="733"/>
    </row>
    <row r="85" spans="2:10" x14ac:dyDescent="0.2">
      <c r="G85" s="736">
        <f>summ!H52</f>
        <v>66.711000000000013</v>
      </c>
      <c r="H85" s="731" t="str">
        <f>CONCATENATE("Total ",E1," Mill Rate")</f>
        <v>Total 2013 Mill Rate</v>
      </c>
      <c r="I85" s="732"/>
      <c r="J85" s="733"/>
    </row>
    <row r="86" spans="2:10" x14ac:dyDescent="0.2">
      <c r="G86" s="735">
        <f>summ!E52</f>
        <v>66.711000000000013</v>
      </c>
      <c r="H86" s="737" t="str">
        <f>CONCATENATE("Total ",E1-1," Mill Rate")</f>
        <v>Total 2012 Mill Rate</v>
      </c>
      <c r="I86" s="738"/>
      <c r="J86" s="739"/>
    </row>
    <row r="90" spans="2:10" hidden="1" x14ac:dyDescent="0.2">
      <c r="C90" s="82" t="str">
        <f>IF(C33&gt;C35,"See Tab A","")</f>
        <v/>
      </c>
      <c r="D90" s="82" t="str">
        <f>IF(D33&gt;D35,"See Tab C","")</f>
        <v/>
      </c>
    </row>
    <row r="91" spans="2:10" hidden="1" x14ac:dyDescent="0.2">
      <c r="C91" s="82" t="str">
        <f>IF(C34&lt;0,"See Tab B","")</f>
        <v/>
      </c>
      <c r="D91" s="82" t="str">
        <f>IF(D34&lt;0,"See Tab D","")</f>
        <v/>
      </c>
    </row>
    <row r="92" spans="2:10" hidden="1" x14ac:dyDescent="0.2">
      <c r="C92" s="82" t="str">
        <f>IF(C73&gt;C75,"See Tab A","")</f>
        <v/>
      </c>
      <c r="D92" s="82" t="str">
        <f>IF(D73&gt;D75,"See Tab C","")</f>
        <v/>
      </c>
    </row>
    <row r="93" spans="2:10" hidden="1" x14ac:dyDescent="0.2">
      <c r="C93" s="82" t="str">
        <f>IF(C74&lt;0,"See Tab B","")</f>
        <v/>
      </c>
      <c r="D93" s="82" t="str">
        <f>IF(D74&lt;0,"See Tab D","")</f>
        <v/>
      </c>
    </row>
  </sheetData>
  <sheetProtection sheet="1"/>
  <mergeCells count="12">
    <mergeCell ref="G81:J81"/>
    <mergeCell ref="G24:J24"/>
    <mergeCell ref="G31:J31"/>
    <mergeCell ref="G41:J41"/>
    <mergeCell ref="C36:D36"/>
    <mergeCell ref="C37:D37"/>
    <mergeCell ref="C76:D76"/>
    <mergeCell ref="C77:D77"/>
    <mergeCell ref="C80:D80"/>
    <mergeCell ref="C40:D40"/>
    <mergeCell ref="G64:J64"/>
    <mergeCell ref="G71:J71"/>
  </mergeCells>
  <phoneticPr fontId="0" type="noConversion"/>
  <conditionalFormatting sqref="E71">
    <cfRule type="cellIs" dxfId="212" priority="3" stopIfTrue="1" operator="greaterThan">
      <formula>$E$73*0.1</formula>
    </cfRule>
  </conditionalFormatting>
  <conditionalFormatting sqref="E31">
    <cfRule type="cellIs" dxfId="211" priority="4" stopIfTrue="1" operator="greaterThan">
      <formula>$E$33*0.1</formula>
    </cfRule>
  </conditionalFormatting>
  <conditionalFormatting sqref="E36">
    <cfRule type="cellIs" dxfId="210" priority="5" stopIfTrue="1" operator="greaterThan">
      <formula>$E$33/0.95-$E$33</formula>
    </cfRule>
  </conditionalFormatting>
  <conditionalFormatting sqref="E76">
    <cfRule type="cellIs" dxfId="209" priority="6" stopIfTrue="1" operator="greaterThan">
      <formula>$E$73/0.95-$E$73</formula>
    </cfRule>
  </conditionalFormatting>
  <conditionalFormatting sqref="D71">
    <cfRule type="cellIs" dxfId="208" priority="7" stopIfTrue="1" operator="greaterThan">
      <formula>$D$73*0.1</formula>
    </cfRule>
  </conditionalFormatting>
  <conditionalFormatting sqref="C71">
    <cfRule type="cellIs" dxfId="207" priority="8" stopIfTrue="1" operator="greaterThan">
      <formula>$C$73*0.1</formula>
    </cfRule>
  </conditionalFormatting>
  <conditionalFormatting sqref="D73">
    <cfRule type="cellIs" dxfId="206" priority="9" stopIfTrue="1" operator="greaterThan">
      <formula>$D$75</formula>
    </cfRule>
  </conditionalFormatting>
  <conditionalFormatting sqref="C73">
    <cfRule type="cellIs" dxfId="205" priority="10" stopIfTrue="1" operator="greaterThan">
      <formula>$C$75</formula>
    </cfRule>
  </conditionalFormatting>
  <conditionalFormatting sqref="C74 C34">
    <cfRule type="cellIs" dxfId="204" priority="11" stopIfTrue="1" operator="lessThan">
      <formula>0</formula>
    </cfRule>
  </conditionalFormatting>
  <conditionalFormatting sqref="D58">
    <cfRule type="cellIs" dxfId="203" priority="12" stopIfTrue="1" operator="greaterThan">
      <formula>$D$60*0.1</formula>
    </cfRule>
  </conditionalFormatting>
  <conditionalFormatting sqref="C58">
    <cfRule type="cellIs" dxfId="202" priority="13" stopIfTrue="1" operator="greaterThan">
      <formula>$C$60*0.1</formula>
    </cfRule>
  </conditionalFormatting>
  <conditionalFormatting sqref="D31">
    <cfRule type="cellIs" dxfId="201" priority="14" stopIfTrue="1" operator="greaterThan">
      <formula>$D$33*0.1</formula>
    </cfRule>
  </conditionalFormatting>
  <conditionalFormatting sqref="C31">
    <cfRule type="cellIs" dxfId="200" priority="15" stopIfTrue="1" operator="greaterThan">
      <formula>$C$33*0.1</formula>
    </cfRule>
  </conditionalFormatting>
  <conditionalFormatting sqref="D33">
    <cfRule type="cellIs" dxfId="199" priority="16" stopIfTrue="1" operator="greaterThan">
      <formula>$D$35</formula>
    </cfRule>
  </conditionalFormatting>
  <conditionalFormatting sqref="C33">
    <cfRule type="cellIs" dxfId="198" priority="17" stopIfTrue="1" operator="greaterThan">
      <formula>$C$35</formula>
    </cfRule>
  </conditionalFormatting>
  <conditionalFormatting sqref="D18">
    <cfRule type="cellIs" dxfId="197" priority="18" stopIfTrue="1" operator="greaterThan">
      <formula>$D$20*0.1</formula>
    </cfRule>
  </conditionalFormatting>
  <conditionalFormatting sqref="C18">
    <cfRule type="cellIs" dxfId="196" priority="19" stopIfTrue="1" operator="greaterThan">
      <formula>$C$20*0.1</formula>
    </cfRule>
  </conditionalFormatting>
  <conditionalFormatting sqref="E18">
    <cfRule type="cellIs" dxfId="195" priority="20" stopIfTrue="1" operator="greaterThan">
      <formula>$E$20*0.1+$E$40</formula>
    </cfRule>
  </conditionalFormatting>
  <conditionalFormatting sqref="E58">
    <cfRule type="cellIs" dxfId="194" priority="21" stopIfTrue="1" operator="greaterThan">
      <formula>$E$60*0.1+$E$80</formula>
    </cfRule>
  </conditionalFormatting>
  <conditionalFormatting sqref="D74 D34">
    <cfRule type="cellIs" dxfId="193"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9"/>
  <sheetViews>
    <sheetView workbookViewId="0">
      <selection activeCell="D11" sqref="D11"/>
    </sheetView>
  </sheetViews>
  <sheetFormatPr defaultRowHeight="15.75" x14ac:dyDescent="0.2"/>
  <cols>
    <col min="1" max="1" width="2.44140625" style="565" customWidth="1"/>
    <col min="2" max="2" width="31.109375" style="82" customWidth="1"/>
    <col min="3" max="4" width="15.77734375" style="82" customWidth="1"/>
    <col min="5" max="5" width="16.33203125" style="82" customWidth="1"/>
    <col min="6"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t="str">
        <f>(inputPrYr!B39)</f>
        <v>Special Highway</v>
      </c>
      <c r="C5" s="454" t="str">
        <f>CONCATENATE("Actual for ",E1-2,"")</f>
        <v>Actual for 2011</v>
      </c>
      <c r="D5" s="454" t="str">
        <f>CONCATENATE("Estimate for ",E1-1,"")</f>
        <v>Estimate for 2012</v>
      </c>
      <c r="E5" s="272" t="str">
        <f>CONCATENATE("Year for ",E1,"")</f>
        <v>Year for 2013</v>
      </c>
    </row>
    <row r="6" spans="2:5" x14ac:dyDescent="0.2">
      <c r="B6" s="365" t="s">
        <v>60</v>
      </c>
      <c r="C6" s="108">
        <v>63469</v>
      </c>
      <c r="D6" s="351">
        <f>C31</f>
        <v>52091</v>
      </c>
      <c r="E6" s="351">
        <f>D31</f>
        <v>36581</v>
      </c>
    </row>
    <row r="7" spans="2:5" x14ac:dyDescent="0.2">
      <c r="B7" s="366" t="s">
        <v>62</v>
      </c>
      <c r="C7" s="126"/>
      <c r="D7" s="126"/>
      <c r="E7" s="126"/>
    </row>
    <row r="8" spans="2:5" x14ac:dyDescent="0.2">
      <c r="B8" s="357" t="s">
        <v>41</v>
      </c>
      <c r="C8" s="108">
        <v>64213</v>
      </c>
      <c r="D8" s="369">
        <f>inputOth!E72</f>
        <v>65240</v>
      </c>
      <c r="E8" s="351">
        <f>inputOth!E70</f>
        <v>65740</v>
      </c>
    </row>
    <row r="9" spans="2:5" x14ac:dyDescent="0.2">
      <c r="B9" s="370" t="s">
        <v>106</v>
      </c>
      <c r="C9" s="108"/>
      <c r="D9" s="369">
        <f>inputOth!E73</f>
        <v>0</v>
      </c>
      <c r="E9" s="369">
        <f>inputOth!E71</f>
        <v>0</v>
      </c>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53"/>
      <c r="C13" s="108"/>
      <c r="D13" s="108"/>
      <c r="E13" s="108"/>
    </row>
    <row r="14" spans="2:5" x14ac:dyDescent="0.2">
      <c r="B14" s="367" t="s">
        <v>308</v>
      </c>
      <c r="C14" s="108"/>
      <c r="D14" s="108"/>
      <c r="E14" s="108"/>
    </row>
    <row r="15" spans="2:5" x14ac:dyDescent="0.2">
      <c r="B15" s="357" t="s">
        <v>198</v>
      </c>
      <c r="C15" s="108"/>
      <c r="D15" s="350"/>
      <c r="E15" s="350"/>
    </row>
    <row r="16" spans="2:5" x14ac:dyDescent="0.2">
      <c r="B16" s="357" t="s">
        <v>693</v>
      </c>
      <c r="C16" s="566" t="str">
        <f>IF(C17*0.1&lt;C15,"Exceed 10% Rule","")</f>
        <v/>
      </c>
      <c r="D16" s="358" t="str">
        <f>IF(D17*0.1&lt;D15,"Exceed 10% Rule","")</f>
        <v/>
      </c>
      <c r="E16" s="358" t="str">
        <f>IF(E17*0.1&lt;E15,"Exceed 10% Rule","")</f>
        <v/>
      </c>
    </row>
    <row r="17" spans="2:5" x14ac:dyDescent="0.2">
      <c r="B17" s="359" t="s">
        <v>309</v>
      </c>
      <c r="C17" s="361">
        <f>SUM(C8:C15)</f>
        <v>64213</v>
      </c>
      <c r="D17" s="361">
        <f>SUM(D8:D15)</f>
        <v>65240</v>
      </c>
      <c r="E17" s="361">
        <f>SUM(E8:E15)</f>
        <v>65740</v>
      </c>
    </row>
    <row r="18" spans="2:5" x14ac:dyDescent="0.2">
      <c r="B18" s="359" t="s">
        <v>310</v>
      </c>
      <c r="C18" s="361">
        <f>C6+C17</f>
        <v>127682</v>
      </c>
      <c r="D18" s="361">
        <f>D6+D17</f>
        <v>117331</v>
      </c>
      <c r="E18" s="361">
        <f>E6+E17</f>
        <v>102321</v>
      </c>
    </row>
    <row r="19" spans="2:5" x14ac:dyDescent="0.2">
      <c r="B19" s="169" t="s">
        <v>312</v>
      </c>
      <c r="C19" s="351"/>
      <c r="D19" s="351"/>
      <c r="E19" s="351"/>
    </row>
    <row r="20" spans="2:5" x14ac:dyDescent="0.2">
      <c r="B20" s="353" t="s">
        <v>1091</v>
      </c>
      <c r="C20" s="108">
        <v>0</v>
      </c>
      <c r="D20" s="108">
        <v>0</v>
      </c>
      <c r="E20" s="108">
        <v>0</v>
      </c>
    </row>
    <row r="21" spans="2:5" x14ac:dyDescent="0.2">
      <c r="B21" s="353" t="s">
        <v>1092</v>
      </c>
      <c r="C21" s="108">
        <v>1119</v>
      </c>
      <c r="D21" s="108">
        <v>1750</v>
      </c>
      <c r="E21" s="108">
        <v>1500</v>
      </c>
    </row>
    <row r="22" spans="2:5" x14ac:dyDescent="0.2">
      <c r="B22" s="353" t="s">
        <v>1093</v>
      </c>
      <c r="C22" s="108">
        <v>39472</v>
      </c>
      <c r="D22" s="108">
        <v>39000</v>
      </c>
      <c r="E22" s="108">
        <v>44000</v>
      </c>
    </row>
    <row r="23" spans="2:5" x14ac:dyDescent="0.2">
      <c r="B23" s="353" t="s">
        <v>1094</v>
      </c>
      <c r="C23" s="108">
        <v>35000</v>
      </c>
      <c r="D23" s="108">
        <v>40000</v>
      </c>
      <c r="E23" s="108">
        <v>40000</v>
      </c>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SUM(C20:C28)</f>
        <v>75591</v>
      </c>
      <c r="D30" s="361">
        <f>SUM(D20:D28)</f>
        <v>80750</v>
      </c>
      <c r="E30" s="361">
        <f>SUM(E20:E28)</f>
        <v>85500</v>
      </c>
    </row>
    <row r="31" spans="2:5" x14ac:dyDescent="0.2">
      <c r="B31" s="169" t="s">
        <v>61</v>
      </c>
      <c r="C31" s="121">
        <f>C18-C30</f>
        <v>52091</v>
      </c>
      <c r="D31" s="121">
        <f>D18-D30</f>
        <v>36581</v>
      </c>
      <c r="E31" s="121">
        <f>E18-E30</f>
        <v>16821</v>
      </c>
    </row>
    <row r="32" spans="2:5" x14ac:dyDescent="0.2">
      <c r="B32" s="199" t="str">
        <f>CONCATENATE("",E1-2,"/",E1-1," Budget Authority Amount:")</f>
        <v>2011/2012 Budget Authority Amount:</v>
      </c>
      <c r="C32" s="307">
        <f>inputOth!B94</f>
        <v>76000</v>
      </c>
      <c r="D32" s="307">
        <f>inputPrYr!D39</f>
        <v>80750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t="str">
        <f>(inputPrYr!B40)</f>
        <v>Convention &amp; Tourism</v>
      </c>
      <c r="C38" s="364" t="str">
        <f>C5</f>
        <v>Actual for 2011</v>
      </c>
      <c r="D38" s="364" t="str">
        <f>D5</f>
        <v>Estimate for 2012</v>
      </c>
      <c r="E38" s="364" t="str">
        <f>E5</f>
        <v>Year for 2013</v>
      </c>
    </row>
    <row r="39" spans="2:5" x14ac:dyDescent="0.2">
      <c r="B39" s="365" t="s">
        <v>60</v>
      </c>
      <c r="C39" s="108">
        <v>9592</v>
      </c>
      <c r="D39" s="351">
        <f>C64</f>
        <v>14281</v>
      </c>
      <c r="E39" s="351">
        <f>D64</f>
        <v>14581</v>
      </c>
    </row>
    <row r="40" spans="2:5" x14ac:dyDescent="0.2">
      <c r="B40" s="366" t="s">
        <v>62</v>
      </c>
      <c r="C40" s="126"/>
      <c r="D40" s="126"/>
      <c r="E40" s="126"/>
    </row>
    <row r="41" spans="2:5" x14ac:dyDescent="0.2">
      <c r="B41" s="353" t="s">
        <v>1095</v>
      </c>
      <c r="C41" s="108">
        <v>16689</v>
      </c>
      <c r="D41" s="108">
        <v>14300</v>
      </c>
      <c r="E41" s="108">
        <v>13306</v>
      </c>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53"/>
      <c r="C46" s="108"/>
      <c r="D46" s="108"/>
      <c r="E46" s="108"/>
    </row>
    <row r="47" spans="2:5" x14ac:dyDescent="0.2">
      <c r="B47" s="367" t="s">
        <v>308</v>
      </c>
      <c r="C47" s="108"/>
      <c r="D47" s="108"/>
      <c r="E47" s="108"/>
    </row>
    <row r="48" spans="2:5" x14ac:dyDescent="0.2">
      <c r="B48" s="357" t="s">
        <v>198</v>
      </c>
      <c r="C48" s="108"/>
      <c r="D48" s="350"/>
      <c r="E48" s="350"/>
    </row>
    <row r="49" spans="2:5" x14ac:dyDescent="0.2">
      <c r="B49" s="357" t="s">
        <v>693</v>
      </c>
      <c r="C49" s="566" t="str">
        <f>IF(C50*0.1&lt;C48,"Exceed 10% Rule","")</f>
        <v/>
      </c>
      <c r="D49" s="358" t="str">
        <f>IF(D50*0.1&lt;D48,"Exceed 10% Rule","")</f>
        <v/>
      </c>
      <c r="E49" s="358" t="str">
        <f>IF(E50*0.1&lt;E48,"Exceed 10% Rule","")</f>
        <v/>
      </c>
    </row>
    <row r="50" spans="2:5" x14ac:dyDescent="0.2">
      <c r="B50" s="359" t="s">
        <v>309</v>
      </c>
      <c r="C50" s="361">
        <f>SUM(C41:C48)</f>
        <v>16689</v>
      </c>
      <c r="D50" s="361">
        <f>SUM(D41:D48)</f>
        <v>14300</v>
      </c>
      <c r="E50" s="361">
        <f>SUM(E41:E48)</f>
        <v>13306</v>
      </c>
    </row>
    <row r="51" spans="2:5" x14ac:dyDescent="0.2">
      <c r="B51" s="359" t="s">
        <v>310</v>
      </c>
      <c r="C51" s="361">
        <f>C39+C50</f>
        <v>26281</v>
      </c>
      <c r="D51" s="361">
        <f>D39+D50</f>
        <v>28581</v>
      </c>
      <c r="E51" s="361">
        <f>E39+E50</f>
        <v>27887</v>
      </c>
    </row>
    <row r="52" spans="2:5" x14ac:dyDescent="0.2">
      <c r="B52" s="169" t="s">
        <v>312</v>
      </c>
      <c r="C52" s="351"/>
      <c r="D52" s="351"/>
      <c r="E52" s="351"/>
    </row>
    <row r="53" spans="2:5" x14ac:dyDescent="0.2">
      <c r="B53" s="353" t="s">
        <v>1091</v>
      </c>
      <c r="C53" s="108"/>
      <c r="D53" s="108"/>
      <c r="E53" s="108"/>
    </row>
    <row r="54" spans="2:5" x14ac:dyDescent="0.2">
      <c r="B54" s="353" t="s">
        <v>1092</v>
      </c>
      <c r="C54" s="108"/>
      <c r="D54" s="108"/>
      <c r="E54" s="108"/>
    </row>
    <row r="55" spans="2:5" x14ac:dyDescent="0.2">
      <c r="B55" s="353" t="s">
        <v>1093</v>
      </c>
      <c r="C55" s="108">
        <v>8000</v>
      </c>
      <c r="D55" s="108">
        <v>10000</v>
      </c>
      <c r="E55" s="108">
        <v>10000</v>
      </c>
    </row>
    <row r="56" spans="2:5" x14ac:dyDescent="0.2">
      <c r="B56" s="353" t="s">
        <v>1096</v>
      </c>
      <c r="C56" s="108">
        <v>4000</v>
      </c>
      <c r="D56" s="108">
        <v>4000</v>
      </c>
      <c r="E56" s="108">
        <v>6000</v>
      </c>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SUM(C53:C61)</f>
        <v>12000</v>
      </c>
      <c r="D63" s="361">
        <f>SUM(D53:D61)</f>
        <v>14000</v>
      </c>
      <c r="E63" s="361">
        <f>SUM(E53:E61)</f>
        <v>16000</v>
      </c>
    </row>
    <row r="64" spans="2:5" x14ac:dyDescent="0.2">
      <c r="B64" s="169" t="s">
        <v>61</v>
      </c>
      <c r="C64" s="121">
        <f>C51-C63</f>
        <v>14281</v>
      </c>
      <c r="D64" s="121">
        <f>D51-D63</f>
        <v>14581</v>
      </c>
      <c r="E64" s="121">
        <f>E51-E63</f>
        <v>11887</v>
      </c>
    </row>
    <row r="65" spans="2:5" x14ac:dyDescent="0.2">
      <c r="B65" s="199" t="str">
        <f>CONCATENATE("",E1-2," Budget Authority Limited Amount:")</f>
        <v>2011 Budget Authority Limited Amount:</v>
      </c>
      <c r="C65" s="307">
        <f>inputOth!B95</f>
        <v>12000</v>
      </c>
      <c r="D65" s="307">
        <f>inputPrYr!$D40</f>
        <v>14000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v>11</v>
      </c>
      <c r="D69" s="86"/>
      <c r="E69" s="86"/>
    </row>
  </sheetData>
  <sheetProtection sheet="1"/>
  <phoneticPr fontId="0" type="noConversion"/>
  <conditionalFormatting sqref="C48">
    <cfRule type="cellIs" dxfId="192" priority="4" stopIfTrue="1" operator="greaterThan">
      <formula>$C$50*0.1</formula>
    </cfRule>
  </conditionalFormatting>
  <conditionalFormatting sqref="D48">
    <cfRule type="cellIs" dxfId="191" priority="5" stopIfTrue="1" operator="greaterThan">
      <formula>$D$50*0.1</formula>
    </cfRule>
  </conditionalFormatting>
  <conditionalFormatting sqref="E48">
    <cfRule type="cellIs" dxfId="190" priority="6" stopIfTrue="1" operator="greaterThan">
      <formula>$E$50*0.1</formula>
    </cfRule>
  </conditionalFormatting>
  <conditionalFormatting sqref="C61">
    <cfRule type="cellIs" dxfId="189" priority="7" stopIfTrue="1" operator="greaterThan">
      <formula>$C$63*0.1</formula>
    </cfRule>
  </conditionalFormatting>
  <conditionalFormatting sqref="D61">
    <cfRule type="cellIs" dxfId="188" priority="8" stopIfTrue="1" operator="greaterThan">
      <formula>$D$63*0.1</formula>
    </cfRule>
  </conditionalFormatting>
  <conditionalFormatting sqref="E61">
    <cfRule type="cellIs" dxfId="187" priority="9" stopIfTrue="1" operator="greaterThan">
      <formula>$E$63*0.1</formula>
    </cfRule>
  </conditionalFormatting>
  <conditionalFormatting sqref="C28">
    <cfRule type="cellIs" dxfId="186" priority="10" stopIfTrue="1" operator="greaterThan">
      <formula>$C$30*0.1</formula>
    </cfRule>
  </conditionalFormatting>
  <conditionalFormatting sqref="D28">
    <cfRule type="cellIs" dxfId="185" priority="11" stopIfTrue="1" operator="greaterThan">
      <formula>$D$30*0.1</formula>
    </cfRule>
  </conditionalFormatting>
  <conditionalFormatting sqref="E28">
    <cfRule type="cellIs" dxfId="184" priority="12" stopIfTrue="1" operator="greaterThan">
      <formula>$E$30*0.1</formula>
    </cfRule>
  </conditionalFormatting>
  <conditionalFormatting sqref="C15">
    <cfRule type="cellIs" dxfId="183" priority="13" stopIfTrue="1" operator="greaterThan">
      <formula>$C$17*0.1</formula>
    </cfRule>
  </conditionalFormatting>
  <conditionalFormatting sqref="D15">
    <cfRule type="cellIs" dxfId="182" priority="14" stopIfTrue="1" operator="greaterThan">
      <formula>$D$17*0.1</formula>
    </cfRule>
  </conditionalFormatting>
  <conditionalFormatting sqref="E15">
    <cfRule type="cellIs" dxfId="181" priority="15" stopIfTrue="1" operator="greaterThan">
      <formula>$E$17*0.1</formula>
    </cfRule>
  </conditionalFormatting>
  <conditionalFormatting sqref="E31 C31 E64">
    <cfRule type="cellIs" dxfId="180" priority="16" stopIfTrue="1" operator="lessThan">
      <formula>0</formula>
    </cfRule>
  </conditionalFormatting>
  <conditionalFormatting sqref="D30">
    <cfRule type="cellIs" dxfId="179" priority="17" stopIfTrue="1" operator="greaterThan">
      <formula>$D$32</formula>
    </cfRule>
  </conditionalFormatting>
  <conditionalFormatting sqref="C30">
    <cfRule type="cellIs" dxfId="178" priority="18" stopIfTrue="1" operator="greaterThan">
      <formula>$C$32</formula>
    </cfRule>
  </conditionalFormatting>
  <conditionalFormatting sqref="D63">
    <cfRule type="cellIs" dxfId="177" priority="19" stopIfTrue="1" operator="greaterThan">
      <formula>$D$65</formula>
    </cfRule>
  </conditionalFormatting>
  <conditionalFormatting sqref="C63">
    <cfRule type="cellIs" dxfId="176" priority="20" stopIfTrue="1" operator="greaterThan">
      <formula>$C$65</formula>
    </cfRule>
  </conditionalFormatting>
  <conditionalFormatting sqref="D64">
    <cfRule type="cellIs" dxfId="175" priority="3" stopIfTrue="1" operator="lessThan">
      <formula>0</formula>
    </cfRule>
  </conditionalFormatting>
  <conditionalFormatting sqref="D31">
    <cfRule type="cellIs" dxfId="174" priority="2" stopIfTrue="1" operator="lessThan">
      <formula>0</formula>
    </cfRule>
  </conditionalFormatting>
  <conditionalFormatting sqref="C64">
    <cfRule type="cellIs" dxfId="173"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21" workbookViewId="0">
      <selection activeCell="E55" sqref="E55"/>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t="str">
        <f>(inputPrYr!B41)</f>
        <v>Special Park</v>
      </c>
      <c r="C5" s="454" t="str">
        <f>CONCATENATE("Actual for ",E1-2,"")</f>
        <v>Actual for 2011</v>
      </c>
      <c r="D5" s="454" t="str">
        <f>CONCATENATE("Estimate for ",E1-1,"")</f>
        <v>Estimate for 2012</v>
      </c>
      <c r="E5" s="272" t="str">
        <f>CONCATENATE("Year for ",E1,"")</f>
        <v>Year for 2013</v>
      </c>
    </row>
    <row r="6" spans="2:5" x14ac:dyDescent="0.2">
      <c r="B6" s="365" t="s">
        <v>60</v>
      </c>
      <c r="C6" s="108">
        <v>32411</v>
      </c>
      <c r="D6" s="351">
        <f>C31</f>
        <v>38432</v>
      </c>
      <c r="E6" s="351">
        <f>D31</f>
        <v>25832</v>
      </c>
    </row>
    <row r="7" spans="2:5" x14ac:dyDescent="0.2">
      <c r="B7" s="366" t="s">
        <v>62</v>
      </c>
      <c r="C7" s="126"/>
      <c r="D7" s="126"/>
      <c r="E7" s="126"/>
    </row>
    <row r="8" spans="2:5" x14ac:dyDescent="0.2">
      <c r="B8" s="353" t="s">
        <v>306</v>
      </c>
      <c r="C8" s="108">
        <v>6021</v>
      </c>
      <c r="D8" s="108">
        <v>7400</v>
      </c>
      <c r="E8" s="108">
        <v>11398</v>
      </c>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6021</v>
      </c>
      <c r="D16" s="361">
        <f>SUM(D8:D14)</f>
        <v>7400</v>
      </c>
      <c r="E16" s="361">
        <f>SUM(E8:E14)</f>
        <v>11398</v>
      </c>
    </row>
    <row r="17" spans="2:5" x14ac:dyDescent="0.2">
      <c r="B17" s="359" t="s">
        <v>310</v>
      </c>
      <c r="C17" s="361">
        <f>C6+C16</f>
        <v>38432</v>
      </c>
      <c r="D17" s="361">
        <f>D6+D16</f>
        <v>45832</v>
      </c>
      <c r="E17" s="361">
        <f>E6+E16</f>
        <v>37230</v>
      </c>
    </row>
    <row r="18" spans="2:5" x14ac:dyDescent="0.2">
      <c r="B18" s="169" t="s">
        <v>312</v>
      </c>
      <c r="C18" s="351"/>
      <c r="D18" s="351"/>
      <c r="E18" s="351"/>
    </row>
    <row r="19" spans="2:5" x14ac:dyDescent="0.2">
      <c r="B19" s="353" t="s">
        <v>1094</v>
      </c>
      <c r="C19" s="108">
        <v>0</v>
      </c>
      <c r="D19" s="108">
        <v>20000</v>
      </c>
      <c r="E19" s="108">
        <v>30000</v>
      </c>
    </row>
    <row r="20" spans="2:5" x14ac:dyDescent="0.2">
      <c r="B20" s="353"/>
      <c r="C20" s="108"/>
      <c r="D20" s="108"/>
      <c r="E20" s="108"/>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0</v>
      </c>
      <c r="D30" s="361">
        <f>SUM(D19:D28)</f>
        <v>20000</v>
      </c>
      <c r="E30" s="361">
        <f>SUM(E19:E28)</f>
        <v>30000</v>
      </c>
    </row>
    <row r="31" spans="2:5" x14ac:dyDescent="0.2">
      <c r="B31" s="169" t="s">
        <v>61</v>
      </c>
      <c r="C31" s="121">
        <f>C17-C30</f>
        <v>38432</v>
      </c>
      <c r="D31" s="121">
        <f>D17-D30</f>
        <v>25832</v>
      </c>
      <c r="E31" s="121">
        <f>E17-E30</f>
        <v>7230</v>
      </c>
    </row>
    <row r="32" spans="2:5" x14ac:dyDescent="0.2">
      <c r="B32" s="199" t="str">
        <f>CONCATENATE("",E1-2,"/",E1-1," Budget Authority Amount:")</f>
        <v>2011/2012 Budget Authority Amount:</v>
      </c>
      <c r="C32" s="307">
        <f>inputOth!B96</f>
        <v>20000</v>
      </c>
      <c r="D32" s="307">
        <f>inputPrYr!D41</f>
        <v>20000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t="str">
        <f>(inputPrYr!B42)</f>
        <v>Solid Waste</v>
      </c>
      <c r="C38" s="364" t="str">
        <f>C5</f>
        <v>Actual for 2011</v>
      </c>
      <c r="D38" s="364" t="str">
        <f>D5</f>
        <v>Estimate for 2012</v>
      </c>
      <c r="E38" s="364" t="str">
        <f>E5</f>
        <v>Year for 2013</v>
      </c>
    </row>
    <row r="39" spans="2:5" x14ac:dyDescent="0.2">
      <c r="B39" s="365" t="s">
        <v>60</v>
      </c>
      <c r="C39" s="108">
        <v>16083</v>
      </c>
      <c r="D39" s="351">
        <f>C64</f>
        <v>14921</v>
      </c>
      <c r="E39" s="351">
        <f>D64</f>
        <v>14921</v>
      </c>
    </row>
    <row r="40" spans="2:5" x14ac:dyDescent="0.2">
      <c r="B40" s="366" t="s">
        <v>62</v>
      </c>
      <c r="C40" s="126"/>
      <c r="D40" s="126"/>
      <c r="E40" s="126"/>
    </row>
    <row r="41" spans="2:5" x14ac:dyDescent="0.2">
      <c r="B41" s="353" t="s">
        <v>1097</v>
      </c>
      <c r="C41" s="108">
        <v>206626</v>
      </c>
      <c r="D41" s="108">
        <v>232000</v>
      </c>
      <c r="E41" s="108">
        <v>232000</v>
      </c>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206626</v>
      </c>
      <c r="D49" s="361">
        <f>SUM(D41:D47)</f>
        <v>232000</v>
      </c>
      <c r="E49" s="361">
        <f>SUM(E41:E47)</f>
        <v>232000</v>
      </c>
    </row>
    <row r="50" spans="2:5" x14ac:dyDescent="0.2">
      <c r="B50" s="359" t="s">
        <v>310</v>
      </c>
      <c r="C50" s="361">
        <f>C39+C49</f>
        <v>222709</v>
      </c>
      <c r="D50" s="361">
        <f>D39+D49</f>
        <v>246921</v>
      </c>
      <c r="E50" s="361">
        <f>E39+E49</f>
        <v>246921</v>
      </c>
    </row>
    <row r="51" spans="2:5" x14ac:dyDescent="0.2">
      <c r="B51" s="169" t="s">
        <v>312</v>
      </c>
      <c r="C51" s="351"/>
      <c r="D51" s="351"/>
      <c r="E51" s="351"/>
    </row>
    <row r="52" spans="2:5" x14ac:dyDescent="0.2">
      <c r="B52" s="353" t="s">
        <v>1098</v>
      </c>
      <c r="C52" s="108">
        <v>207788</v>
      </c>
      <c r="D52" s="108">
        <v>232000</v>
      </c>
      <c r="E52" s="108">
        <v>232000</v>
      </c>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207788</v>
      </c>
      <c r="D63" s="361">
        <f>SUM(D52:D61)</f>
        <v>232000</v>
      </c>
      <c r="E63" s="361">
        <f>SUM(E52:E61)</f>
        <v>232000</v>
      </c>
    </row>
    <row r="64" spans="2:5" x14ac:dyDescent="0.2">
      <c r="B64" s="169" t="s">
        <v>61</v>
      </c>
      <c r="C64" s="121">
        <f>C50-C63</f>
        <v>14921</v>
      </c>
      <c r="D64" s="121">
        <f>D50-D63</f>
        <v>14921</v>
      </c>
      <c r="E64" s="121">
        <f>E50-E63</f>
        <v>14921</v>
      </c>
    </row>
    <row r="65" spans="2:5" x14ac:dyDescent="0.2">
      <c r="B65" s="199" t="str">
        <f>CONCATENATE("",E1-2,"/",E1-1," Budget Authority Amount:")</f>
        <v>2011/2012 Budget Authority Amount:</v>
      </c>
      <c r="C65" s="307">
        <f>inputOth!B97</f>
        <v>220000</v>
      </c>
      <c r="D65" s="307">
        <f>inputPrYr!D42</f>
        <v>232000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v>12</v>
      </c>
      <c r="D69" s="86"/>
      <c r="E69" s="86"/>
    </row>
  </sheetData>
  <sheetProtection sheet="1"/>
  <phoneticPr fontId="0" type="noConversion"/>
  <conditionalFormatting sqref="C47">
    <cfRule type="cellIs" dxfId="172" priority="3" stopIfTrue="1" operator="greaterThan">
      <formula>$C$49*0.1</formula>
    </cfRule>
  </conditionalFormatting>
  <conditionalFormatting sqref="D47">
    <cfRule type="cellIs" dxfId="171" priority="4" stopIfTrue="1" operator="greaterThan">
      <formula>$D$49*0.1</formula>
    </cfRule>
  </conditionalFormatting>
  <conditionalFormatting sqref="E47">
    <cfRule type="cellIs" dxfId="170" priority="5" stopIfTrue="1" operator="greaterThan">
      <formula>$E$49*0.1</formula>
    </cfRule>
  </conditionalFormatting>
  <conditionalFormatting sqref="C61">
    <cfRule type="cellIs" dxfId="169" priority="6" stopIfTrue="1" operator="greaterThan">
      <formula>$C$63*0.1</formula>
    </cfRule>
  </conditionalFormatting>
  <conditionalFormatting sqref="D61">
    <cfRule type="cellIs" dxfId="168" priority="7" stopIfTrue="1" operator="greaterThan">
      <formula>$D$63*0.1</formula>
    </cfRule>
  </conditionalFormatting>
  <conditionalFormatting sqref="E61">
    <cfRule type="cellIs" dxfId="167" priority="8" stopIfTrue="1" operator="greaterThan">
      <formula>$E$63*0.1</formula>
    </cfRule>
  </conditionalFormatting>
  <conditionalFormatting sqref="C28">
    <cfRule type="cellIs" dxfId="166" priority="9" stopIfTrue="1" operator="greaterThan">
      <formula>$C$30*0.1</formula>
    </cfRule>
  </conditionalFormatting>
  <conditionalFormatting sqref="D28">
    <cfRule type="cellIs" dxfId="165" priority="10" stopIfTrue="1" operator="greaterThan">
      <formula>$D$30*0.1</formula>
    </cfRule>
  </conditionalFormatting>
  <conditionalFormatting sqref="E28">
    <cfRule type="cellIs" dxfId="164" priority="11" stopIfTrue="1" operator="greaterThan">
      <formula>$E$30*0.1</formula>
    </cfRule>
  </conditionalFormatting>
  <conditionalFormatting sqref="C14">
    <cfRule type="cellIs" dxfId="163" priority="12" stopIfTrue="1" operator="greaterThan">
      <formula>$C$16*0.1</formula>
    </cfRule>
  </conditionalFormatting>
  <conditionalFormatting sqref="D14">
    <cfRule type="cellIs" dxfId="162" priority="13" stopIfTrue="1" operator="greaterThan">
      <formula>$D$16*0.1</formula>
    </cfRule>
  </conditionalFormatting>
  <conditionalFormatting sqref="E14">
    <cfRule type="cellIs" dxfId="161" priority="14" stopIfTrue="1" operator="greaterThan">
      <formula>$E$16*0.1</formula>
    </cfRule>
  </conditionalFormatting>
  <conditionalFormatting sqref="E64 C64 E31 C31">
    <cfRule type="cellIs" dxfId="160" priority="15" stopIfTrue="1" operator="lessThan">
      <formula>0</formula>
    </cfRule>
  </conditionalFormatting>
  <conditionalFormatting sqref="D63">
    <cfRule type="cellIs" dxfId="159" priority="16" stopIfTrue="1" operator="greaterThan">
      <formula>$D$65</formula>
    </cfRule>
  </conditionalFormatting>
  <conditionalFormatting sqref="C63">
    <cfRule type="cellIs" dxfId="158" priority="17" stopIfTrue="1" operator="greaterThan">
      <formula>$C$65</formula>
    </cfRule>
  </conditionalFormatting>
  <conditionalFormatting sqref="D30">
    <cfRule type="cellIs" dxfId="157" priority="18" stopIfTrue="1" operator="greaterThan">
      <formula>$D$32</formula>
    </cfRule>
  </conditionalFormatting>
  <conditionalFormatting sqref="C30">
    <cfRule type="cellIs" dxfId="156" priority="19" stopIfTrue="1" operator="greaterThan">
      <formula>$C$32</formula>
    </cfRule>
  </conditionalFormatting>
  <conditionalFormatting sqref="D64">
    <cfRule type="cellIs" dxfId="155" priority="2" stopIfTrue="1" operator="lessThan">
      <formula>0</formula>
    </cfRule>
  </conditionalFormatting>
  <conditionalFormatting sqref="D31">
    <cfRule type="cellIs" dxfId="154"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16" workbookViewId="0">
      <selection activeCell="E24" sqref="E24"/>
    </sheetView>
  </sheetViews>
  <sheetFormatPr defaultRowHeight="15.75" x14ac:dyDescent="0.2"/>
  <cols>
    <col min="1" max="1" width="2.44140625" style="82" customWidth="1"/>
    <col min="2" max="2" width="31.109375" style="82" customWidth="1"/>
    <col min="3" max="4" width="15.77734375" style="82" customWidth="1"/>
    <col min="5" max="5" width="16.109375" style="82" customWidth="1"/>
    <col min="6"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t="str">
        <f>(inputPrYr!B43)</f>
        <v>Airport</v>
      </c>
      <c r="C5" s="454" t="str">
        <f>CONCATENATE("Actual for ",E1-2,"")</f>
        <v>Actual for 2011</v>
      </c>
      <c r="D5" s="454" t="str">
        <f>CONCATENATE("Estimate for ",E1-1,"")</f>
        <v>Estimate for 2012</v>
      </c>
      <c r="E5" s="272" t="str">
        <f>CONCATENATE("Year for ",E1,"")</f>
        <v>Year for 2013</v>
      </c>
    </row>
    <row r="6" spans="2:5" x14ac:dyDescent="0.2">
      <c r="B6" s="365" t="s">
        <v>60</v>
      </c>
      <c r="C6" s="108">
        <v>184927</v>
      </c>
      <c r="D6" s="351">
        <f>C31</f>
        <v>102458</v>
      </c>
      <c r="E6" s="351">
        <f>D31</f>
        <v>80208</v>
      </c>
    </row>
    <row r="7" spans="2:5" x14ac:dyDescent="0.2">
      <c r="B7" s="366" t="s">
        <v>62</v>
      </c>
      <c r="C7" s="126"/>
      <c r="D7" s="126"/>
      <c r="E7" s="126"/>
    </row>
    <row r="8" spans="2:5" x14ac:dyDescent="0.2">
      <c r="B8" s="353" t="s">
        <v>1051</v>
      </c>
      <c r="C8" s="108">
        <v>68418</v>
      </c>
      <c r="D8" s="108">
        <v>70000</v>
      </c>
      <c r="E8" s="108">
        <v>110000</v>
      </c>
    </row>
    <row r="9" spans="2:5" x14ac:dyDescent="0.2">
      <c r="B9" s="353" t="s">
        <v>1052</v>
      </c>
      <c r="C9" s="108"/>
      <c r="D9" s="108">
        <v>4000</v>
      </c>
      <c r="E9" s="108">
        <v>4000</v>
      </c>
    </row>
    <row r="10" spans="2:5" x14ac:dyDescent="0.2">
      <c r="B10" s="353" t="s">
        <v>1099</v>
      </c>
      <c r="C10" s="108">
        <v>344066</v>
      </c>
      <c r="D10" s="108"/>
      <c r="E10" s="108"/>
    </row>
    <row r="11" spans="2:5" x14ac:dyDescent="0.2">
      <c r="B11" s="353"/>
      <c r="C11" s="108"/>
      <c r="D11" s="108"/>
      <c r="E11" s="108"/>
    </row>
    <row r="12" spans="2:5" x14ac:dyDescent="0.2">
      <c r="B12" s="353"/>
      <c r="C12" s="108"/>
      <c r="D12" s="108"/>
      <c r="E12" s="108"/>
    </row>
    <row r="13" spans="2:5" x14ac:dyDescent="0.2">
      <c r="B13" s="367" t="s">
        <v>308</v>
      </c>
      <c r="C13" s="108">
        <v>158</v>
      </c>
      <c r="D13" s="108">
        <v>250</v>
      </c>
      <c r="E13" s="108">
        <v>54</v>
      </c>
    </row>
    <row r="14" spans="2:5" x14ac:dyDescent="0.2">
      <c r="B14" s="357" t="s">
        <v>198</v>
      </c>
      <c r="C14" s="108">
        <v>781</v>
      </c>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413423</v>
      </c>
      <c r="D16" s="361">
        <f>SUM(D8:D14)</f>
        <v>74250</v>
      </c>
      <c r="E16" s="361">
        <f>SUM(E8:E14)</f>
        <v>114054</v>
      </c>
    </row>
    <row r="17" spans="2:5" x14ac:dyDescent="0.2">
      <c r="B17" s="359" t="s">
        <v>310</v>
      </c>
      <c r="C17" s="361">
        <f>C6+C16</f>
        <v>598350</v>
      </c>
      <c r="D17" s="361">
        <f>D6+D16</f>
        <v>176708</v>
      </c>
      <c r="E17" s="361">
        <f>E6+E16</f>
        <v>194262</v>
      </c>
    </row>
    <row r="18" spans="2:5" x14ac:dyDescent="0.2">
      <c r="B18" s="169" t="s">
        <v>312</v>
      </c>
      <c r="C18" s="351"/>
      <c r="D18" s="351"/>
      <c r="E18" s="351"/>
    </row>
    <row r="19" spans="2:5" x14ac:dyDescent="0.2">
      <c r="B19" s="353" t="s">
        <v>1091</v>
      </c>
      <c r="C19" s="108">
        <v>4229</v>
      </c>
      <c r="D19" s="108">
        <v>10000</v>
      </c>
      <c r="E19" s="108">
        <v>10000</v>
      </c>
    </row>
    <row r="20" spans="2:5" x14ac:dyDescent="0.2">
      <c r="B20" s="353" t="s">
        <v>1092</v>
      </c>
      <c r="C20" s="108">
        <v>123661</v>
      </c>
      <c r="D20" s="108">
        <v>61750</v>
      </c>
      <c r="E20" s="108">
        <v>85000</v>
      </c>
    </row>
    <row r="21" spans="2:5" x14ac:dyDescent="0.2">
      <c r="B21" s="353" t="s">
        <v>1093</v>
      </c>
      <c r="C21" s="108">
        <v>17420</v>
      </c>
      <c r="D21" s="108">
        <v>14750</v>
      </c>
      <c r="E21" s="108">
        <v>26300</v>
      </c>
    </row>
    <row r="22" spans="2:5" x14ac:dyDescent="0.2">
      <c r="B22" s="353" t="s">
        <v>1094</v>
      </c>
      <c r="C22" s="108"/>
      <c r="D22" s="108">
        <v>10000</v>
      </c>
      <c r="E22" s="108">
        <v>35000</v>
      </c>
    </row>
    <row r="23" spans="2:5" x14ac:dyDescent="0.2">
      <c r="B23" s="353" t="s">
        <v>1100</v>
      </c>
      <c r="C23" s="108">
        <v>350582</v>
      </c>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495892</v>
      </c>
      <c r="D30" s="361">
        <f>SUM(D19:D28)</f>
        <v>96500</v>
      </c>
      <c r="E30" s="361">
        <f>SUM(E19:E28)</f>
        <v>156300</v>
      </c>
    </row>
    <row r="31" spans="2:5" x14ac:dyDescent="0.2">
      <c r="B31" s="169" t="s">
        <v>61</v>
      </c>
      <c r="C31" s="121">
        <f>C17-C30</f>
        <v>102458</v>
      </c>
      <c r="D31" s="121">
        <f>D17-D30</f>
        <v>80208</v>
      </c>
      <c r="E31" s="121">
        <f>E17-E30</f>
        <v>37962</v>
      </c>
    </row>
    <row r="32" spans="2:5" x14ac:dyDescent="0.2">
      <c r="B32" s="199" t="str">
        <f>CONCATENATE("",E1-2,"/",E1-1," Budget Authority Amount:")</f>
        <v>2011/2012 Budget Authority Amount:</v>
      </c>
      <c r="C32" s="307">
        <f>inputOth!B98</f>
        <v>140000</v>
      </c>
      <c r="D32" s="307">
        <f>inputPrYr!D43</f>
        <v>96500</v>
      </c>
      <c r="E32" s="564" t="str">
        <f>IF(E31&lt;0,"See Tab E","")</f>
        <v/>
      </c>
    </row>
    <row r="33" spans="2:5" x14ac:dyDescent="0.2">
      <c r="B33" s="199"/>
      <c r="C33" s="363" t="str">
        <f>IF(C30&gt;C32,"See Tab A","")</f>
        <v>See Tab A</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t="str">
        <f>(inputPrYr!B44)</f>
        <v>2006 Sales Tax</v>
      </c>
      <c r="C38" s="364" t="str">
        <f>C5</f>
        <v>Actual for 2011</v>
      </c>
      <c r="D38" s="364" t="str">
        <f>D5</f>
        <v>Estimate for 2012</v>
      </c>
      <c r="E38" s="364" t="str">
        <f>E5</f>
        <v>Year for 2013</v>
      </c>
    </row>
    <row r="39" spans="2:5" x14ac:dyDescent="0.2">
      <c r="B39" s="365" t="s">
        <v>60</v>
      </c>
      <c r="C39" s="108">
        <v>84613</v>
      </c>
      <c r="D39" s="351">
        <f>C64</f>
        <v>26180</v>
      </c>
      <c r="E39" s="351">
        <f>D64</f>
        <v>19905</v>
      </c>
    </row>
    <row r="40" spans="2:5" x14ac:dyDescent="0.2">
      <c r="B40" s="366" t="s">
        <v>62</v>
      </c>
      <c r="C40" s="126"/>
      <c r="D40" s="126"/>
      <c r="E40" s="126"/>
    </row>
    <row r="41" spans="2:5" x14ac:dyDescent="0.2">
      <c r="B41" s="353" t="s">
        <v>696</v>
      </c>
      <c r="C41" s="108">
        <v>103919</v>
      </c>
      <c r="D41" s="108">
        <v>106900</v>
      </c>
      <c r="E41" s="108">
        <v>105290</v>
      </c>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103919</v>
      </c>
      <c r="D49" s="361">
        <f>SUM(D41:D47)</f>
        <v>106900</v>
      </c>
      <c r="E49" s="361">
        <f>SUM(E41:E47)</f>
        <v>105290</v>
      </c>
    </row>
    <row r="50" spans="2:5" x14ac:dyDescent="0.2">
      <c r="B50" s="359" t="s">
        <v>310</v>
      </c>
      <c r="C50" s="361">
        <f>C39+C49</f>
        <v>188532</v>
      </c>
      <c r="D50" s="361">
        <f>D39+D49</f>
        <v>133080</v>
      </c>
      <c r="E50" s="361">
        <f>E39+E49</f>
        <v>125195</v>
      </c>
    </row>
    <row r="51" spans="2:5" x14ac:dyDescent="0.2">
      <c r="B51" s="169" t="s">
        <v>312</v>
      </c>
      <c r="C51" s="351"/>
      <c r="D51" s="351"/>
      <c r="E51" s="351"/>
    </row>
    <row r="52" spans="2:5" x14ac:dyDescent="0.2">
      <c r="B52" s="353" t="s">
        <v>1101</v>
      </c>
      <c r="C52" s="108">
        <v>162352</v>
      </c>
      <c r="D52" s="108">
        <v>113175</v>
      </c>
      <c r="E52" s="108">
        <v>114000</v>
      </c>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162352</v>
      </c>
      <c r="D63" s="361">
        <f>SUM(D52:D61)</f>
        <v>113175</v>
      </c>
      <c r="E63" s="361">
        <f>SUM(E52:E61)</f>
        <v>114000</v>
      </c>
    </row>
    <row r="64" spans="2:5" x14ac:dyDescent="0.2">
      <c r="B64" s="169" t="s">
        <v>61</v>
      </c>
      <c r="C64" s="121">
        <f>C50-C63</f>
        <v>26180</v>
      </c>
      <c r="D64" s="121">
        <f>D50-D63</f>
        <v>19905</v>
      </c>
      <c r="E64" s="121">
        <f>E50-E63</f>
        <v>11195</v>
      </c>
    </row>
    <row r="65" spans="2:5" x14ac:dyDescent="0.2">
      <c r="B65" s="199" t="str">
        <f>CONCATENATE("",E1-2,"/",E1-1," Budget Authority Amount:")</f>
        <v>2011/2012 Budget Authority Amount:</v>
      </c>
      <c r="C65" s="307">
        <f>inputOth!B99</f>
        <v>111278</v>
      </c>
      <c r="D65" s="307">
        <f>inputPrYr!D44</f>
        <v>113175</v>
      </c>
      <c r="E65" s="564" t="str">
        <f>IF(E64&lt;0,"See Tab E","")</f>
        <v/>
      </c>
    </row>
    <row r="66" spans="2:5" x14ac:dyDescent="0.2">
      <c r="B66" s="199"/>
      <c r="C66" s="363" t="str">
        <f>IF(C63&gt;C65,"See Tab A","")</f>
        <v>See Tab A</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v>13</v>
      </c>
      <c r="D69" s="86"/>
      <c r="E69" s="86"/>
    </row>
  </sheetData>
  <sheetProtection sheet="1"/>
  <phoneticPr fontId="0" type="noConversion"/>
  <conditionalFormatting sqref="C47">
    <cfRule type="cellIs" dxfId="153" priority="3" stopIfTrue="1" operator="greaterThan">
      <formula>$C$49*0.1</formula>
    </cfRule>
  </conditionalFormatting>
  <conditionalFormatting sqref="D47">
    <cfRule type="cellIs" dxfId="152" priority="4" stopIfTrue="1" operator="greaterThan">
      <formula>$D$49*0.1</formula>
    </cfRule>
  </conditionalFormatting>
  <conditionalFormatting sqref="E47">
    <cfRule type="cellIs" dxfId="151" priority="5" stopIfTrue="1" operator="greaterThan">
      <formula>$E$49*0.1</formula>
    </cfRule>
  </conditionalFormatting>
  <conditionalFormatting sqref="C61">
    <cfRule type="cellIs" dxfId="150" priority="6" stopIfTrue="1" operator="greaterThan">
      <formula>$C$63*0.1</formula>
    </cfRule>
  </conditionalFormatting>
  <conditionalFormatting sqref="D61">
    <cfRule type="cellIs" dxfId="149" priority="7" stopIfTrue="1" operator="greaterThan">
      <formula>$D$63*0.1</formula>
    </cfRule>
  </conditionalFormatting>
  <conditionalFormatting sqref="E61">
    <cfRule type="cellIs" dxfId="148" priority="8" stopIfTrue="1" operator="greaterThan">
      <formula>$E$63*0.1</formula>
    </cfRule>
  </conditionalFormatting>
  <conditionalFormatting sqref="C28">
    <cfRule type="cellIs" dxfId="147" priority="9" stopIfTrue="1" operator="greaterThan">
      <formula>$C$30*0.1</formula>
    </cfRule>
  </conditionalFormatting>
  <conditionalFormatting sqref="D28">
    <cfRule type="cellIs" dxfId="146" priority="10" stopIfTrue="1" operator="greaterThan">
      <formula>$D$30*0.1</formula>
    </cfRule>
  </conditionalFormatting>
  <conditionalFormatting sqref="E28">
    <cfRule type="cellIs" dxfId="145" priority="11" stopIfTrue="1" operator="greaterThan">
      <formula>$E$30*0.1</formula>
    </cfRule>
  </conditionalFormatting>
  <conditionalFormatting sqref="C14">
    <cfRule type="cellIs" dxfId="144" priority="12" stopIfTrue="1" operator="greaterThan">
      <formula>$C$16*0.1</formula>
    </cfRule>
  </conditionalFormatting>
  <conditionalFormatting sqref="D14">
    <cfRule type="cellIs" dxfId="143" priority="13" stopIfTrue="1" operator="greaterThan">
      <formula>$D$16*0.1</formula>
    </cfRule>
  </conditionalFormatting>
  <conditionalFormatting sqref="E14">
    <cfRule type="cellIs" dxfId="142" priority="14" stopIfTrue="1" operator="greaterThan">
      <formula>$E$16*0.1</formula>
    </cfRule>
  </conditionalFormatting>
  <conditionalFormatting sqref="E64 C64 E31 C31">
    <cfRule type="cellIs" dxfId="141" priority="15" stopIfTrue="1" operator="lessThan">
      <formula>0</formula>
    </cfRule>
  </conditionalFormatting>
  <conditionalFormatting sqref="D30">
    <cfRule type="cellIs" dxfId="140" priority="16" stopIfTrue="1" operator="greaterThan">
      <formula>$D$32</formula>
    </cfRule>
  </conditionalFormatting>
  <conditionalFormatting sqref="C30">
    <cfRule type="cellIs" dxfId="139" priority="17" stopIfTrue="1" operator="greaterThan">
      <formula>$C$32</formula>
    </cfRule>
  </conditionalFormatting>
  <conditionalFormatting sqref="C63">
    <cfRule type="cellIs" dxfId="138" priority="18" stopIfTrue="1" operator="greaterThan">
      <formula>$C$65</formula>
    </cfRule>
  </conditionalFormatting>
  <conditionalFormatting sqref="D63">
    <cfRule type="cellIs" dxfId="137" priority="19" stopIfTrue="1" operator="greaterThan">
      <formula>$D$65</formula>
    </cfRule>
  </conditionalFormatting>
  <conditionalFormatting sqref="D64 D31">
    <cfRule type="cellIs" dxfId="136" priority="2"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47" workbookViewId="0">
      <selection activeCell="E56" sqref="E56"/>
    </sheetView>
  </sheetViews>
  <sheetFormatPr defaultRowHeight="15.75" x14ac:dyDescent="0.2"/>
  <cols>
    <col min="1" max="1" width="2.44140625" style="82" customWidth="1"/>
    <col min="2" max="2" width="31.109375" style="82" customWidth="1"/>
    <col min="3" max="4" width="15.77734375" style="82" customWidth="1"/>
    <col min="5" max="5" width="16.6640625" style="82" customWidth="1"/>
    <col min="6"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t="str">
        <f>inputPrYr!B45</f>
        <v>2010 Sales Tax</v>
      </c>
      <c r="C5" s="454" t="str">
        <f>CONCATENATE("Actual for ",E1-2,"")</f>
        <v>Actual for 2011</v>
      </c>
      <c r="D5" s="454" t="str">
        <f>CONCATENATE("Estimate for ",E1-1,"")</f>
        <v>Estimate for 2012</v>
      </c>
      <c r="E5" s="272" t="str">
        <f>CONCATENATE("Year for ",E1,"")</f>
        <v>Year for 2013</v>
      </c>
    </row>
    <row r="6" spans="2:5" x14ac:dyDescent="0.2">
      <c r="B6" s="365" t="s">
        <v>60</v>
      </c>
      <c r="C6" s="108">
        <v>32163</v>
      </c>
      <c r="D6" s="351">
        <f>C31</f>
        <v>35052</v>
      </c>
      <c r="E6" s="351">
        <f>D31</f>
        <v>31452</v>
      </c>
    </row>
    <row r="7" spans="2:5" x14ac:dyDescent="0.2">
      <c r="B7" s="366" t="s">
        <v>62</v>
      </c>
      <c r="C7" s="126"/>
      <c r="D7" s="126"/>
      <c r="E7" s="126"/>
    </row>
    <row r="8" spans="2:5" x14ac:dyDescent="0.2">
      <c r="B8" s="353" t="s">
        <v>696</v>
      </c>
      <c r="C8" s="108">
        <v>103919</v>
      </c>
      <c r="D8" s="108">
        <v>106900</v>
      </c>
      <c r="E8" s="108">
        <v>105290</v>
      </c>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103919</v>
      </c>
      <c r="D16" s="361">
        <f>SUM(D8:D14)</f>
        <v>106900</v>
      </c>
      <c r="E16" s="361">
        <f>SUM(E8:E14)</f>
        <v>105290</v>
      </c>
    </row>
    <row r="17" spans="2:5" x14ac:dyDescent="0.2">
      <c r="B17" s="359" t="s">
        <v>310</v>
      </c>
      <c r="C17" s="361">
        <f>C6+C16</f>
        <v>136082</v>
      </c>
      <c r="D17" s="361">
        <f>D6+D16</f>
        <v>141952</v>
      </c>
      <c r="E17" s="361">
        <f>E6+E16</f>
        <v>136742</v>
      </c>
    </row>
    <row r="18" spans="2:5" x14ac:dyDescent="0.2">
      <c r="B18" s="169" t="s">
        <v>312</v>
      </c>
      <c r="C18" s="351"/>
      <c r="D18" s="351"/>
      <c r="E18" s="351"/>
    </row>
    <row r="19" spans="2:5" x14ac:dyDescent="0.2">
      <c r="B19" s="353" t="s">
        <v>1102</v>
      </c>
      <c r="C19" s="108">
        <v>90321</v>
      </c>
      <c r="D19" s="108">
        <v>90500</v>
      </c>
      <c r="E19" s="108">
        <v>90500</v>
      </c>
    </row>
    <row r="20" spans="2:5" x14ac:dyDescent="0.2">
      <c r="B20" s="353" t="s">
        <v>1103</v>
      </c>
      <c r="C20" s="108">
        <v>10709</v>
      </c>
      <c r="D20" s="108">
        <v>20000</v>
      </c>
      <c r="E20" s="108">
        <v>20000</v>
      </c>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101030</v>
      </c>
      <c r="D30" s="361">
        <f>SUM(D19:D28)</f>
        <v>110500</v>
      </c>
      <c r="E30" s="361">
        <f>SUM(E19:E28)</f>
        <v>110500</v>
      </c>
    </row>
    <row r="31" spans="2:5" x14ac:dyDescent="0.2">
      <c r="B31" s="169" t="s">
        <v>61</v>
      </c>
      <c r="C31" s="121">
        <f>C17-C30</f>
        <v>35052</v>
      </c>
      <c r="D31" s="121">
        <f>D17-D30</f>
        <v>31452</v>
      </c>
      <c r="E31" s="121">
        <f>E17-E30</f>
        <v>26242</v>
      </c>
    </row>
    <row r="32" spans="2:5" x14ac:dyDescent="0.2">
      <c r="B32" s="199" t="str">
        <f>CONCATENATE("",E1-2,"/",E1-1," Budget Authority Amount:")</f>
        <v>2011/2012 Budget Authority Amount:</v>
      </c>
      <c r="C32" s="307">
        <f>inputOth!B100</f>
        <v>110500</v>
      </c>
      <c r="D32" s="307">
        <f>inputPrYr!D45</f>
        <v>110500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t="str">
        <f>inputPrYr!B46</f>
        <v>Storm Water</v>
      </c>
      <c r="C38" s="364" t="str">
        <f>C5</f>
        <v>Actual for 2011</v>
      </c>
      <c r="D38" s="364" t="str">
        <f>D5</f>
        <v>Estimate for 2012</v>
      </c>
      <c r="E38" s="364" t="str">
        <f>E5</f>
        <v>Year for 2013</v>
      </c>
    </row>
    <row r="39" spans="2:5" x14ac:dyDescent="0.2">
      <c r="B39" s="365" t="s">
        <v>60</v>
      </c>
      <c r="C39" s="108">
        <v>50844</v>
      </c>
      <c r="D39" s="351">
        <f>C64</f>
        <v>91812</v>
      </c>
      <c r="E39" s="351">
        <f>D64</f>
        <v>67312</v>
      </c>
    </row>
    <row r="40" spans="2:5" x14ac:dyDescent="0.2">
      <c r="B40" s="366" t="s">
        <v>62</v>
      </c>
      <c r="C40" s="126"/>
      <c r="D40" s="126"/>
      <c r="E40" s="126"/>
    </row>
    <row r="41" spans="2:5" x14ac:dyDescent="0.2">
      <c r="B41" s="353" t="s">
        <v>1104</v>
      </c>
      <c r="C41" s="108">
        <v>52291</v>
      </c>
      <c r="D41" s="108">
        <v>50500</v>
      </c>
      <c r="E41" s="108">
        <v>51900</v>
      </c>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52291</v>
      </c>
      <c r="D49" s="361">
        <f>SUM(D41:D47)</f>
        <v>50500</v>
      </c>
      <c r="E49" s="361">
        <f>SUM(E41:E47)</f>
        <v>51900</v>
      </c>
    </row>
    <row r="50" spans="2:5" x14ac:dyDescent="0.2">
      <c r="B50" s="359" t="s">
        <v>310</v>
      </c>
      <c r="C50" s="361">
        <f>C39+C49</f>
        <v>103135</v>
      </c>
      <c r="D50" s="361">
        <f>D39+D49</f>
        <v>142312</v>
      </c>
      <c r="E50" s="361">
        <f>E39+E49</f>
        <v>119212</v>
      </c>
    </row>
    <row r="51" spans="2:5" x14ac:dyDescent="0.2">
      <c r="B51" s="169" t="s">
        <v>312</v>
      </c>
      <c r="C51" s="351"/>
      <c r="D51" s="351"/>
      <c r="E51" s="351"/>
    </row>
    <row r="52" spans="2:5" x14ac:dyDescent="0.2">
      <c r="B52" s="353" t="s">
        <v>1105</v>
      </c>
      <c r="C52" s="108">
        <v>11323</v>
      </c>
      <c r="D52" s="108">
        <v>75000</v>
      </c>
      <c r="E52" s="108">
        <v>75000</v>
      </c>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166" t="s">
        <v>316</v>
      </c>
      <c r="C63" s="361">
        <f>SUM(C52:C61)</f>
        <v>11323</v>
      </c>
      <c r="D63" s="361">
        <f>SUM(D52:D61)</f>
        <v>75000</v>
      </c>
      <c r="E63" s="361">
        <f>SUM(E52:E61)</f>
        <v>75000</v>
      </c>
    </row>
    <row r="64" spans="2:5" x14ac:dyDescent="0.2">
      <c r="B64" s="169" t="s">
        <v>61</v>
      </c>
      <c r="C64" s="121">
        <f>C50-C63</f>
        <v>91812</v>
      </c>
      <c r="D64" s="121">
        <f>D50-D63</f>
        <v>67312</v>
      </c>
      <c r="E64" s="121">
        <f>E50-E63</f>
        <v>44212</v>
      </c>
    </row>
    <row r="65" spans="2:5" x14ac:dyDescent="0.2">
      <c r="B65" s="199" t="str">
        <f>CONCATENATE("",E1-2,"/",E1-1," Budget Authority Amount:")</f>
        <v>2011/2012 Budget Authority Amount:</v>
      </c>
      <c r="C65" s="307">
        <f>inputOth!B101</f>
        <v>75000</v>
      </c>
      <c r="D65" s="307">
        <f>inputPrYr!D46</f>
        <v>75000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v>14</v>
      </c>
      <c r="D69" s="86"/>
      <c r="E69" s="86"/>
    </row>
  </sheetData>
  <sheetProtection sheet="1"/>
  <phoneticPr fontId="0" type="noConversion"/>
  <conditionalFormatting sqref="C47">
    <cfRule type="cellIs" dxfId="135" priority="3" stopIfTrue="1" operator="greaterThan">
      <formula>$C$49*0.1</formula>
    </cfRule>
  </conditionalFormatting>
  <conditionalFormatting sqref="D47">
    <cfRule type="cellIs" dxfId="134" priority="4" stopIfTrue="1" operator="greaterThan">
      <formula>$D$49*0.1</formula>
    </cfRule>
  </conditionalFormatting>
  <conditionalFormatting sqref="E47">
    <cfRule type="cellIs" dxfId="133" priority="5" stopIfTrue="1" operator="greaterThan">
      <formula>$E$49*0.1</formula>
    </cfRule>
  </conditionalFormatting>
  <conditionalFormatting sqref="C61">
    <cfRule type="cellIs" dxfId="132" priority="6" stopIfTrue="1" operator="greaterThan">
      <formula>$C$63*0.1</formula>
    </cfRule>
  </conditionalFormatting>
  <conditionalFormatting sqref="D61">
    <cfRule type="cellIs" dxfId="131" priority="7" stopIfTrue="1" operator="greaterThan">
      <formula>$D$63*0.1</formula>
    </cfRule>
  </conditionalFormatting>
  <conditionalFormatting sqref="E61">
    <cfRule type="cellIs" dxfId="130" priority="8" stopIfTrue="1" operator="greaterThan">
      <formula>$E$63*0.1</formula>
    </cfRule>
  </conditionalFormatting>
  <conditionalFormatting sqref="C28">
    <cfRule type="cellIs" dxfId="129" priority="9" stopIfTrue="1" operator="greaterThan">
      <formula>$C$30*0.1</formula>
    </cfRule>
  </conditionalFormatting>
  <conditionalFormatting sqref="D28">
    <cfRule type="cellIs" dxfId="128" priority="10" stopIfTrue="1" operator="greaterThan">
      <formula>$D$30*0.1</formula>
    </cfRule>
  </conditionalFormatting>
  <conditionalFormatting sqref="E28">
    <cfRule type="cellIs" dxfId="127" priority="11" stopIfTrue="1" operator="greaterThan">
      <formula>$E$30*0.1</formula>
    </cfRule>
  </conditionalFormatting>
  <conditionalFormatting sqref="C14">
    <cfRule type="cellIs" dxfId="126" priority="12" stopIfTrue="1" operator="greaterThan">
      <formula>$C$16*0.1</formula>
    </cfRule>
  </conditionalFormatting>
  <conditionalFormatting sqref="D14">
    <cfRule type="cellIs" dxfId="125" priority="13" stopIfTrue="1" operator="greaterThan">
      <formula>$D$16*0.1</formula>
    </cfRule>
  </conditionalFormatting>
  <conditionalFormatting sqref="E14">
    <cfRule type="cellIs" dxfId="124" priority="14" stopIfTrue="1" operator="greaterThan">
      <formula>$E$16*0.1</formula>
    </cfRule>
  </conditionalFormatting>
  <conditionalFormatting sqref="E31 C31 E64 C64">
    <cfRule type="cellIs" dxfId="123" priority="15" stopIfTrue="1" operator="lessThan">
      <formula>0</formula>
    </cfRule>
  </conditionalFormatting>
  <conditionalFormatting sqref="C30">
    <cfRule type="cellIs" dxfId="122" priority="16" stopIfTrue="1" operator="greaterThan">
      <formula>$C$32</formula>
    </cfRule>
  </conditionalFormatting>
  <conditionalFormatting sqref="D30">
    <cfRule type="cellIs" dxfId="121" priority="17" stopIfTrue="1" operator="greaterThan">
      <formula>$D$32</formula>
    </cfRule>
  </conditionalFormatting>
  <conditionalFormatting sqref="C63">
    <cfRule type="cellIs" dxfId="120" priority="18" stopIfTrue="1" operator="greaterThan">
      <formula>$C$65</formula>
    </cfRule>
  </conditionalFormatting>
  <conditionalFormatting sqref="D63">
    <cfRule type="cellIs" dxfId="119" priority="19" stopIfTrue="1" operator="greaterThan">
      <formula>$D$65</formula>
    </cfRule>
  </conditionalFormatting>
  <conditionalFormatting sqref="D64">
    <cfRule type="cellIs" dxfId="118" priority="2" stopIfTrue="1" operator="lessThan">
      <formula>0</formula>
    </cfRule>
  </conditionalFormatting>
  <conditionalFormatting sqref="D31">
    <cfRule type="cellIs" dxfId="117"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2" workbookViewId="0">
      <selection activeCell="H5" sqref="H5"/>
    </sheetView>
  </sheetViews>
  <sheetFormatPr defaultRowHeight="15.75" x14ac:dyDescent="0.2"/>
  <cols>
    <col min="1" max="1" width="2.44140625" style="82" customWidth="1"/>
    <col min="2" max="2" width="31.109375" style="82" customWidth="1"/>
    <col min="3" max="4" width="15.77734375" style="82" customWidth="1"/>
    <col min="5" max="5" width="16.21875" style="82" customWidth="1"/>
    <col min="6" max="16384" width="8.88671875" style="82"/>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f>inputPrYr!B47</f>
        <v>0</v>
      </c>
      <c r="C5" s="454" t="str">
        <f>CONCATENATE("Actual for ",E1-2,"")</f>
        <v>Actual for 2011</v>
      </c>
      <c r="D5" s="454" t="str">
        <f>CONCATENATE("Estimate for ",E1-1,"")</f>
        <v>Estimate for 2012</v>
      </c>
      <c r="E5" s="272" t="str">
        <f>CONCATENATE("Year for ",E1,"")</f>
        <v>Year for 2013</v>
      </c>
    </row>
    <row r="6" spans="2:5" x14ac:dyDescent="0.2">
      <c r="B6" s="365" t="s">
        <v>60</v>
      </c>
      <c r="C6" s="108"/>
      <c r="D6" s="351">
        <f>C31</f>
        <v>0</v>
      </c>
      <c r="E6" s="351">
        <f>D31</f>
        <v>0</v>
      </c>
    </row>
    <row r="7" spans="2:5" x14ac:dyDescent="0.2">
      <c r="B7" s="366" t="s">
        <v>62</v>
      </c>
      <c r="C7" s="126"/>
      <c r="D7" s="126"/>
      <c r="E7" s="126"/>
    </row>
    <row r="8" spans="2:5" x14ac:dyDescent="0.2">
      <c r="B8" s="353"/>
      <c r="C8" s="108"/>
      <c r="D8" s="108"/>
      <c r="E8" s="108"/>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0</v>
      </c>
      <c r="D16" s="361">
        <f>SUM(D8:D14)</f>
        <v>0</v>
      </c>
      <c r="E16" s="361">
        <f>SUM(E8:E14)</f>
        <v>0</v>
      </c>
    </row>
    <row r="17" spans="2:5" x14ac:dyDescent="0.2">
      <c r="B17" s="359" t="s">
        <v>310</v>
      </c>
      <c r="C17" s="361">
        <f>C6+C16</f>
        <v>0</v>
      </c>
      <c r="D17" s="361">
        <f>D6+D16</f>
        <v>0</v>
      </c>
      <c r="E17" s="361">
        <f>E6+E16</f>
        <v>0</v>
      </c>
    </row>
    <row r="18" spans="2:5" x14ac:dyDescent="0.2">
      <c r="B18" s="169" t="s">
        <v>312</v>
      </c>
      <c r="C18" s="351"/>
      <c r="D18" s="351"/>
      <c r="E18" s="351"/>
    </row>
    <row r="19" spans="2:5" x14ac:dyDescent="0.2">
      <c r="B19" s="353"/>
      <c r="C19" s="108"/>
      <c r="D19" s="108"/>
      <c r="E19" s="108"/>
    </row>
    <row r="20" spans="2:5" x14ac:dyDescent="0.2">
      <c r="B20" s="353"/>
      <c r="C20" s="108"/>
      <c r="D20" s="108"/>
      <c r="E20" s="108"/>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0</v>
      </c>
      <c r="D30" s="361">
        <f>SUM(D19:D28)</f>
        <v>0</v>
      </c>
      <c r="E30" s="361">
        <f>SUM(E19:E28)</f>
        <v>0</v>
      </c>
    </row>
    <row r="31" spans="2:5" x14ac:dyDescent="0.2">
      <c r="B31" s="169" t="s">
        <v>61</v>
      </c>
      <c r="C31" s="121">
        <f>C17-C30</f>
        <v>0</v>
      </c>
      <c r="D31" s="121">
        <f>D17-D30</f>
        <v>0</v>
      </c>
      <c r="E31" s="121">
        <f>E17-E30</f>
        <v>0</v>
      </c>
    </row>
    <row r="32" spans="2:5" x14ac:dyDescent="0.2">
      <c r="B32" s="199" t="str">
        <f>CONCATENATE("",E1-2,"/",E1-1," Budget Authority Amount:")</f>
        <v>2011/2012 Budget Authority Amount:</v>
      </c>
      <c r="C32" s="307">
        <f>inputOth!B102</f>
        <v>0</v>
      </c>
      <c r="D32" s="307">
        <f>inputPrYr!D47</f>
        <v>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f>inputPrYr!B48</f>
        <v>0</v>
      </c>
      <c r="C38" s="364" t="str">
        <f>C5</f>
        <v>Actual for 2011</v>
      </c>
      <c r="D38" s="364" t="str">
        <f>D5</f>
        <v>Estimate for 2012</v>
      </c>
      <c r="E38" s="364" t="str">
        <f>E5</f>
        <v>Year for 2013</v>
      </c>
    </row>
    <row r="39" spans="2:5" x14ac:dyDescent="0.2">
      <c r="B39" s="365" t="s">
        <v>60</v>
      </c>
      <c r="C39" s="108"/>
      <c r="D39" s="351">
        <f>C64</f>
        <v>0</v>
      </c>
      <c r="E39" s="351">
        <f>D64</f>
        <v>0</v>
      </c>
    </row>
    <row r="40" spans="2:5" x14ac:dyDescent="0.2">
      <c r="B40" s="366" t="s">
        <v>62</v>
      </c>
      <c r="C40" s="126"/>
      <c r="D40" s="126"/>
      <c r="E40" s="126"/>
    </row>
    <row r="41" spans="2:5" x14ac:dyDescent="0.2">
      <c r="B41" s="353"/>
      <c r="C41" s="108"/>
      <c r="D41" s="108"/>
      <c r="E41" s="108"/>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0</v>
      </c>
      <c r="D49" s="361">
        <f>SUM(D41:D47)</f>
        <v>0</v>
      </c>
      <c r="E49" s="361">
        <f>SUM(E41:E47)</f>
        <v>0</v>
      </c>
    </row>
    <row r="50" spans="2:5" x14ac:dyDescent="0.2">
      <c r="B50" s="359" t="s">
        <v>310</v>
      </c>
      <c r="C50" s="361">
        <f>C39+C49</f>
        <v>0</v>
      </c>
      <c r="D50" s="361">
        <f>D39+D49</f>
        <v>0</v>
      </c>
      <c r="E50" s="361">
        <f>E39+E49</f>
        <v>0</v>
      </c>
    </row>
    <row r="51" spans="2:5" x14ac:dyDescent="0.2">
      <c r="B51" s="169" t="s">
        <v>312</v>
      </c>
      <c r="C51" s="351"/>
      <c r="D51" s="351"/>
      <c r="E51" s="351"/>
    </row>
    <row r="52" spans="2:5" x14ac:dyDescent="0.2">
      <c r="B52" s="353"/>
      <c r="C52" s="108"/>
      <c r="D52" s="108"/>
      <c r="E52" s="108"/>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0</v>
      </c>
      <c r="D63" s="361">
        <f>SUM(D52:D61)</f>
        <v>0</v>
      </c>
      <c r="E63" s="361">
        <f>SUM(E52:E61)</f>
        <v>0</v>
      </c>
    </row>
    <row r="64" spans="2:5" x14ac:dyDescent="0.2">
      <c r="B64" s="169" t="s">
        <v>61</v>
      </c>
      <c r="C64" s="121">
        <f>C50-C63</f>
        <v>0</v>
      </c>
      <c r="D64" s="121">
        <f>D50-D63</f>
        <v>0</v>
      </c>
      <c r="E64" s="121">
        <f>E50-E63</f>
        <v>0</v>
      </c>
    </row>
    <row r="65" spans="2:5" x14ac:dyDescent="0.2">
      <c r="B65" s="199" t="str">
        <f>CONCATENATE("",E1-2," Budget Authority Limited Amount:")</f>
        <v>2011 Budget Authority Limited Amount:</v>
      </c>
      <c r="C65" s="307">
        <f>inputOth!B103</f>
        <v>0</v>
      </c>
      <c r="D65" s="307">
        <f>inputPrYr!D48</f>
        <v>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c r="D69" s="86"/>
      <c r="E69" s="86"/>
    </row>
  </sheetData>
  <sheetProtection sheet="1"/>
  <phoneticPr fontId="0" type="noConversion"/>
  <conditionalFormatting sqref="C47">
    <cfRule type="cellIs" dxfId="116" priority="3" stopIfTrue="1" operator="greaterThan">
      <formula>$C$49*0.1</formula>
    </cfRule>
  </conditionalFormatting>
  <conditionalFormatting sqref="D47">
    <cfRule type="cellIs" dxfId="115" priority="4" stopIfTrue="1" operator="greaterThan">
      <formula>$D$49*0.1</formula>
    </cfRule>
  </conditionalFormatting>
  <conditionalFormatting sqref="E47">
    <cfRule type="cellIs" dxfId="114" priority="5" stopIfTrue="1" operator="greaterThan">
      <formula>$E$49*0.1</formula>
    </cfRule>
  </conditionalFormatting>
  <conditionalFormatting sqref="C61">
    <cfRule type="cellIs" dxfId="113" priority="6" stopIfTrue="1" operator="greaterThan">
      <formula>$C$63*0.1</formula>
    </cfRule>
  </conditionalFormatting>
  <conditionalFormatting sqref="D61">
    <cfRule type="cellIs" dxfId="112" priority="7" stopIfTrue="1" operator="greaterThan">
      <formula>$D$63*0.1</formula>
    </cfRule>
  </conditionalFormatting>
  <conditionalFormatting sqref="E61">
    <cfRule type="cellIs" dxfId="111" priority="8" stopIfTrue="1" operator="greaterThan">
      <formula>$E$63*0.1</formula>
    </cfRule>
  </conditionalFormatting>
  <conditionalFormatting sqref="C28">
    <cfRule type="cellIs" dxfId="110" priority="9" stopIfTrue="1" operator="greaterThan">
      <formula>$C$30*0.1</formula>
    </cfRule>
  </conditionalFormatting>
  <conditionalFormatting sqref="D28">
    <cfRule type="cellIs" dxfId="109" priority="10" stopIfTrue="1" operator="greaterThan">
      <formula>$D$30*0.1</formula>
    </cfRule>
  </conditionalFormatting>
  <conditionalFormatting sqref="E28">
    <cfRule type="cellIs" dxfId="108" priority="11" stopIfTrue="1" operator="greaterThan">
      <formula>$E$30*0.1</formula>
    </cfRule>
  </conditionalFormatting>
  <conditionalFormatting sqref="C14">
    <cfRule type="cellIs" dxfId="107" priority="12" stopIfTrue="1" operator="greaterThan">
      <formula>$C$16*0.1</formula>
    </cfRule>
  </conditionalFormatting>
  <conditionalFormatting sqref="D14">
    <cfRule type="cellIs" dxfId="106" priority="13" stopIfTrue="1" operator="greaterThan">
      <formula>$D$16*0.1</formula>
    </cfRule>
  </conditionalFormatting>
  <conditionalFormatting sqref="E14">
    <cfRule type="cellIs" dxfId="105" priority="14" stopIfTrue="1" operator="greaterThan">
      <formula>$E$16*0.1</formula>
    </cfRule>
  </conditionalFormatting>
  <conditionalFormatting sqref="E31 C31 E64 C64">
    <cfRule type="cellIs" dxfId="104" priority="15" stopIfTrue="1" operator="lessThan">
      <formula>0</formula>
    </cfRule>
  </conditionalFormatting>
  <conditionalFormatting sqref="C30">
    <cfRule type="cellIs" dxfId="103" priority="16" stopIfTrue="1" operator="greaterThan">
      <formula>$C$32</formula>
    </cfRule>
  </conditionalFormatting>
  <conditionalFormatting sqref="D30">
    <cfRule type="cellIs" dxfId="102" priority="17" stopIfTrue="1" operator="greaterThan">
      <formula>$D$32</formula>
    </cfRule>
  </conditionalFormatting>
  <conditionalFormatting sqref="C63">
    <cfRule type="cellIs" dxfId="101" priority="18" stopIfTrue="1" operator="greaterThan">
      <formula>$C$65</formula>
    </cfRule>
  </conditionalFormatting>
  <conditionalFormatting sqref="D63">
    <cfRule type="cellIs" dxfId="100" priority="19" stopIfTrue="1" operator="greaterThan">
      <formula>$D$65</formula>
    </cfRule>
  </conditionalFormatting>
  <conditionalFormatting sqref="D64">
    <cfRule type="cellIs" dxfId="99" priority="2" stopIfTrue="1" operator="lessThan">
      <formula>0</formula>
    </cfRule>
  </conditionalFormatting>
  <conditionalFormatting sqref="D31">
    <cfRule type="cellIs" dxfId="98"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workbookViewId="0">
      <selection activeCell="C10" sqref="C10:D11"/>
    </sheetView>
  </sheetViews>
  <sheetFormatPr defaultRowHeight="15.75" x14ac:dyDescent="0.2"/>
  <cols>
    <col min="1" max="1" width="2.44140625" style="69" customWidth="1"/>
    <col min="2" max="2" width="31.109375" style="69" customWidth="1"/>
    <col min="3" max="5" width="15.77734375" style="69" customWidth="1"/>
    <col min="6" max="16384" width="8.88671875" style="69"/>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f>inputPrYr!B49</f>
        <v>0</v>
      </c>
      <c r="C5" s="454" t="str">
        <f>CONCATENATE("Actual for ",E1-2,"")</f>
        <v>Actual for 2011</v>
      </c>
      <c r="D5" s="454" t="str">
        <f>CONCATENATE("Estimate for ",E1-1,"")</f>
        <v>Estimate for 2012</v>
      </c>
      <c r="E5" s="272" t="str">
        <f>CONCATENATE("Year for ",E1,"")</f>
        <v>Year for 2013</v>
      </c>
    </row>
    <row r="6" spans="2:5" x14ac:dyDescent="0.2">
      <c r="B6" s="365" t="s">
        <v>60</v>
      </c>
      <c r="C6" s="108"/>
      <c r="D6" s="351">
        <f>C31</f>
        <v>0</v>
      </c>
      <c r="E6" s="351">
        <f>D31</f>
        <v>0</v>
      </c>
    </row>
    <row r="7" spans="2:5" s="82" customFormat="1" x14ac:dyDescent="0.2">
      <c r="B7" s="366" t="s">
        <v>62</v>
      </c>
      <c r="C7" s="126"/>
      <c r="D7" s="126"/>
      <c r="E7" s="126"/>
    </row>
    <row r="8" spans="2:5" x14ac:dyDescent="0.2">
      <c r="B8" s="353"/>
      <c r="C8" s="108"/>
      <c r="D8" s="108"/>
      <c r="E8" s="108"/>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0</v>
      </c>
      <c r="D16" s="361">
        <f>SUM(D8:D14)</f>
        <v>0</v>
      </c>
      <c r="E16" s="361">
        <f>SUM(E8:E14)</f>
        <v>0</v>
      </c>
    </row>
    <row r="17" spans="2:5" x14ac:dyDescent="0.2">
      <c r="B17" s="359" t="s">
        <v>310</v>
      </c>
      <c r="C17" s="361">
        <f>C6+C16</f>
        <v>0</v>
      </c>
      <c r="D17" s="361">
        <f>D6+D16</f>
        <v>0</v>
      </c>
      <c r="E17" s="361">
        <f>E6+E16</f>
        <v>0</v>
      </c>
    </row>
    <row r="18" spans="2:5" x14ac:dyDescent="0.2">
      <c r="B18" s="169" t="s">
        <v>312</v>
      </c>
      <c r="C18" s="351"/>
      <c r="D18" s="351"/>
      <c r="E18" s="351"/>
    </row>
    <row r="19" spans="2:5" x14ac:dyDescent="0.2">
      <c r="B19" s="353"/>
      <c r="C19" s="108"/>
      <c r="D19" s="108"/>
      <c r="E19" s="108"/>
    </row>
    <row r="20" spans="2:5" x14ac:dyDescent="0.2">
      <c r="B20" s="353"/>
      <c r="C20" s="108"/>
      <c r="D20" s="108"/>
      <c r="E20" s="108"/>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0</v>
      </c>
      <c r="D30" s="361">
        <f>SUM(D19:D28)</f>
        <v>0</v>
      </c>
      <c r="E30" s="361">
        <f>SUM(E19:E28)</f>
        <v>0</v>
      </c>
    </row>
    <row r="31" spans="2:5" x14ac:dyDescent="0.2">
      <c r="B31" s="169" t="s">
        <v>61</v>
      </c>
      <c r="C31" s="121">
        <f>C17-C30</f>
        <v>0</v>
      </c>
      <c r="D31" s="121">
        <f>D17-D30</f>
        <v>0</v>
      </c>
      <c r="E31" s="121">
        <f>E17-E30</f>
        <v>0</v>
      </c>
    </row>
    <row r="32" spans="2:5" x14ac:dyDescent="0.2">
      <c r="B32" s="199" t="str">
        <f>CONCATENATE("",E1-2,"/",E1-1," Budget Authority Amount:")</f>
        <v>2011/2012 Budget Authority Amount:</v>
      </c>
      <c r="C32" s="307">
        <f>inputOth!B104</f>
        <v>0</v>
      </c>
      <c r="D32" s="307">
        <f>inputPrYr!D49</f>
        <v>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f>inputPrYr!B50</f>
        <v>0</v>
      </c>
      <c r="C38" s="364" t="str">
        <f>C5</f>
        <v>Actual for 2011</v>
      </c>
      <c r="D38" s="364" t="str">
        <f>D5</f>
        <v>Estimate for 2012</v>
      </c>
      <c r="E38" s="364" t="str">
        <f>E5</f>
        <v>Year for 2013</v>
      </c>
    </row>
    <row r="39" spans="2:5" x14ac:dyDescent="0.2">
      <c r="B39" s="365" t="s">
        <v>60</v>
      </c>
      <c r="C39" s="108"/>
      <c r="D39" s="351">
        <f>C64</f>
        <v>0</v>
      </c>
      <c r="E39" s="351">
        <f>D64</f>
        <v>0</v>
      </c>
    </row>
    <row r="40" spans="2:5" s="82" customFormat="1" x14ac:dyDescent="0.2">
      <c r="B40" s="366" t="s">
        <v>62</v>
      </c>
      <c r="C40" s="126"/>
      <c r="D40" s="126"/>
      <c r="E40" s="126"/>
    </row>
    <row r="41" spans="2:5" x14ac:dyDescent="0.2">
      <c r="B41" s="353"/>
      <c r="C41" s="108"/>
      <c r="D41" s="108"/>
      <c r="E41" s="108"/>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0</v>
      </c>
      <c r="D49" s="361">
        <f>SUM(D41:D47)</f>
        <v>0</v>
      </c>
      <c r="E49" s="361">
        <f>SUM(E41:E47)</f>
        <v>0</v>
      </c>
    </row>
    <row r="50" spans="2:5" x14ac:dyDescent="0.2">
      <c r="B50" s="359" t="s">
        <v>310</v>
      </c>
      <c r="C50" s="361">
        <f>C39+C49</f>
        <v>0</v>
      </c>
      <c r="D50" s="361">
        <f>D39+D49</f>
        <v>0</v>
      </c>
      <c r="E50" s="361">
        <f>E39+E49</f>
        <v>0</v>
      </c>
    </row>
    <row r="51" spans="2:5" x14ac:dyDescent="0.2">
      <c r="B51" s="169" t="s">
        <v>312</v>
      </c>
      <c r="C51" s="351"/>
      <c r="D51" s="351"/>
      <c r="E51" s="351"/>
    </row>
    <row r="52" spans="2:5" x14ac:dyDescent="0.2">
      <c r="B52" s="353"/>
      <c r="C52" s="108"/>
      <c r="D52" s="108"/>
      <c r="E52" s="108"/>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0</v>
      </c>
      <c r="D63" s="361">
        <f>SUM(D52:D61)</f>
        <v>0</v>
      </c>
      <c r="E63" s="361">
        <f>SUM(E52:E61)</f>
        <v>0</v>
      </c>
    </row>
    <row r="64" spans="2:5" x14ac:dyDescent="0.2">
      <c r="B64" s="169" t="s">
        <v>61</v>
      </c>
      <c r="C64" s="121">
        <f>C50-C63</f>
        <v>0</v>
      </c>
      <c r="D64" s="121">
        <f>D50-D63</f>
        <v>0</v>
      </c>
      <c r="E64" s="121">
        <f>E50-E63</f>
        <v>0</v>
      </c>
    </row>
    <row r="65" spans="2:5" x14ac:dyDescent="0.2">
      <c r="B65" s="199" t="str">
        <f>CONCATENATE("",E1-2,"/",E1-1," Budget Authority Amount:")</f>
        <v>2011/2012 Budget Authority Amount:</v>
      </c>
      <c r="C65" s="307">
        <f>inputOth!B105</f>
        <v>0</v>
      </c>
      <c r="D65" s="307">
        <f>inputPrYr!D50</f>
        <v>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c r="D69" s="86"/>
      <c r="E69" s="86"/>
    </row>
  </sheetData>
  <sheetProtection sheet="1"/>
  <phoneticPr fontId="0" type="noConversion"/>
  <conditionalFormatting sqref="C47">
    <cfRule type="cellIs" dxfId="97" priority="3" stopIfTrue="1" operator="greaterThan">
      <formula>$C$49*0.1</formula>
    </cfRule>
  </conditionalFormatting>
  <conditionalFormatting sqref="D47">
    <cfRule type="cellIs" dxfId="96" priority="4" stopIfTrue="1" operator="greaterThan">
      <formula>$D$49*0.1</formula>
    </cfRule>
  </conditionalFormatting>
  <conditionalFormatting sqref="E47">
    <cfRule type="cellIs" dxfId="95" priority="5" stopIfTrue="1" operator="greaterThan">
      <formula>$E$49*0.1</formula>
    </cfRule>
  </conditionalFormatting>
  <conditionalFormatting sqref="C61">
    <cfRule type="cellIs" dxfId="94" priority="6" stopIfTrue="1" operator="greaterThan">
      <formula>$C$63*0.1</formula>
    </cfRule>
  </conditionalFormatting>
  <conditionalFormatting sqref="D61">
    <cfRule type="cellIs" dxfId="93" priority="7" stopIfTrue="1" operator="greaterThan">
      <formula>$D$63*0.1</formula>
    </cfRule>
  </conditionalFormatting>
  <conditionalFormatting sqref="E61">
    <cfRule type="cellIs" dxfId="92" priority="8" stopIfTrue="1" operator="greaterThan">
      <formula>$E$63*0.1</formula>
    </cfRule>
  </conditionalFormatting>
  <conditionalFormatting sqref="C28">
    <cfRule type="cellIs" dxfId="91" priority="9" stopIfTrue="1" operator="greaterThan">
      <formula>$C$30*0.1</formula>
    </cfRule>
  </conditionalFormatting>
  <conditionalFormatting sqref="D28">
    <cfRule type="cellIs" dxfId="90" priority="10" stopIfTrue="1" operator="greaterThan">
      <formula>$D$30*0.1</formula>
    </cfRule>
  </conditionalFormatting>
  <conditionalFormatting sqref="E28">
    <cfRule type="cellIs" dxfId="89" priority="11" stopIfTrue="1" operator="greaterThan">
      <formula>$E$30*0.1</formula>
    </cfRule>
  </conditionalFormatting>
  <conditionalFormatting sqref="C14">
    <cfRule type="cellIs" dxfId="88" priority="12" stopIfTrue="1" operator="greaterThan">
      <formula>$C$16*0.1</formula>
    </cfRule>
  </conditionalFormatting>
  <conditionalFormatting sqref="D14">
    <cfRule type="cellIs" dxfId="87" priority="13" stopIfTrue="1" operator="greaterThan">
      <formula>$D$16*0.1</formula>
    </cfRule>
  </conditionalFormatting>
  <conditionalFormatting sqref="E14">
    <cfRule type="cellIs" dxfId="86" priority="14" stopIfTrue="1" operator="greaterThan">
      <formula>$E$16*0.1</formula>
    </cfRule>
  </conditionalFormatting>
  <conditionalFormatting sqref="E31 C31 E64 C64">
    <cfRule type="cellIs" dxfId="85" priority="15" stopIfTrue="1" operator="lessThan">
      <formula>0</formula>
    </cfRule>
  </conditionalFormatting>
  <conditionalFormatting sqref="C30">
    <cfRule type="cellIs" dxfId="84" priority="16" stopIfTrue="1" operator="greaterThan">
      <formula>$C$32</formula>
    </cfRule>
  </conditionalFormatting>
  <conditionalFormatting sqref="D30">
    <cfRule type="cellIs" dxfId="83" priority="17" stopIfTrue="1" operator="greaterThan">
      <formula>$D$32</formula>
    </cfRule>
  </conditionalFormatting>
  <conditionalFormatting sqref="C63">
    <cfRule type="cellIs" dxfId="82" priority="18" stopIfTrue="1" operator="greaterThan">
      <formula>$C$65</formula>
    </cfRule>
  </conditionalFormatting>
  <conditionalFormatting sqref="D63">
    <cfRule type="cellIs" dxfId="81" priority="19" stopIfTrue="1" operator="greaterThan">
      <formula>$D$65</formula>
    </cfRule>
  </conditionalFormatting>
  <conditionalFormatting sqref="D64">
    <cfRule type="cellIs" dxfId="80" priority="2" stopIfTrue="1" operator="lessThan">
      <formula>0</formula>
    </cfRule>
  </conditionalFormatting>
  <conditionalFormatting sqref="D31">
    <cfRule type="cellIs" dxfId="79"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workbookViewId="0">
      <selection activeCell="H6" sqref="H6"/>
    </sheetView>
  </sheetViews>
  <sheetFormatPr defaultRowHeight="15.75" x14ac:dyDescent="0.2"/>
  <cols>
    <col min="1" max="1" width="2.44140625" style="69" customWidth="1"/>
    <col min="2" max="2" width="31.109375" style="69" customWidth="1"/>
    <col min="3" max="5" width="15.77734375" style="69" customWidth="1"/>
    <col min="6" max="16384" width="8.88671875" style="69"/>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f>inputPrYr!B51</f>
        <v>0</v>
      </c>
      <c r="C5" s="454" t="str">
        <f>CONCATENATE("Actual for ",E1-2,"")</f>
        <v>Actual for 2011</v>
      </c>
      <c r="D5" s="454" t="str">
        <f>CONCATENATE("Estimate for ",E1-1,"")</f>
        <v>Estimate for 2012</v>
      </c>
      <c r="E5" s="272" t="str">
        <f>CONCATENATE("Year for ",E1,"")</f>
        <v>Year for 2013</v>
      </c>
    </row>
    <row r="6" spans="2:5" x14ac:dyDescent="0.2">
      <c r="B6" s="365" t="s">
        <v>60</v>
      </c>
      <c r="C6" s="108"/>
      <c r="D6" s="351">
        <f>C31</f>
        <v>0</v>
      </c>
      <c r="E6" s="351">
        <f>D31</f>
        <v>0</v>
      </c>
    </row>
    <row r="7" spans="2:5" s="82" customFormat="1" x14ac:dyDescent="0.2">
      <c r="B7" s="366" t="s">
        <v>62</v>
      </c>
      <c r="C7" s="126"/>
      <c r="D7" s="126"/>
      <c r="E7" s="126"/>
    </row>
    <row r="8" spans="2:5" x14ac:dyDescent="0.2">
      <c r="B8" s="353"/>
      <c r="C8" s="108"/>
      <c r="D8" s="108"/>
      <c r="E8" s="108"/>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0</v>
      </c>
      <c r="D16" s="361">
        <f>SUM(D8:D14)</f>
        <v>0</v>
      </c>
      <c r="E16" s="361">
        <f>SUM(E8:E14)</f>
        <v>0</v>
      </c>
    </row>
    <row r="17" spans="2:5" x14ac:dyDescent="0.2">
      <c r="B17" s="359" t="s">
        <v>310</v>
      </c>
      <c r="C17" s="361">
        <f>C6+C16</f>
        <v>0</v>
      </c>
      <c r="D17" s="361">
        <f>D6+D16</f>
        <v>0</v>
      </c>
      <c r="E17" s="361">
        <f>E6+E16</f>
        <v>0</v>
      </c>
    </row>
    <row r="18" spans="2:5" x14ac:dyDescent="0.2">
      <c r="B18" s="169" t="s">
        <v>312</v>
      </c>
      <c r="C18" s="351"/>
      <c r="D18" s="351"/>
      <c r="E18" s="351"/>
    </row>
    <row r="19" spans="2:5" x14ac:dyDescent="0.2">
      <c r="B19" s="353"/>
      <c r="C19" s="108"/>
      <c r="D19" s="108"/>
      <c r="E19" s="108"/>
    </row>
    <row r="20" spans="2:5" x14ac:dyDescent="0.2">
      <c r="B20" s="353"/>
      <c r="C20" s="108"/>
      <c r="D20" s="108"/>
      <c r="E20" s="108"/>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0</v>
      </c>
      <c r="D30" s="361">
        <f>SUM(D19:D28)</f>
        <v>0</v>
      </c>
      <c r="E30" s="361">
        <f>SUM(E19:E28)</f>
        <v>0</v>
      </c>
    </row>
    <row r="31" spans="2:5" x14ac:dyDescent="0.2">
      <c r="B31" s="169" t="s">
        <v>61</v>
      </c>
      <c r="C31" s="121">
        <f>C17-C30</f>
        <v>0</v>
      </c>
      <c r="D31" s="121">
        <f>D17-D30</f>
        <v>0</v>
      </c>
      <c r="E31" s="121">
        <f>E17-E30</f>
        <v>0</v>
      </c>
    </row>
    <row r="32" spans="2:5" x14ac:dyDescent="0.2">
      <c r="B32" s="199" t="str">
        <f>CONCATENATE("",E1-2,"/",E1-1," Budget Authority Amount:")</f>
        <v>2011/2012 Budget Authority Amount:</v>
      </c>
      <c r="C32" s="307">
        <f>inputOth!B106</f>
        <v>0</v>
      </c>
      <c r="D32" s="307">
        <f>inputPrYr!D51</f>
        <v>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f>inputPrYr!B52</f>
        <v>0</v>
      </c>
      <c r="C38" s="364" t="str">
        <f>C5</f>
        <v>Actual for 2011</v>
      </c>
      <c r="D38" s="364" t="str">
        <f>D5</f>
        <v>Estimate for 2012</v>
      </c>
      <c r="E38" s="364" t="str">
        <f>E5</f>
        <v>Year for 2013</v>
      </c>
    </row>
    <row r="39" spans="2:5" x14ac:dyDescent="0.2">
      <c r="B39" s="365" t="s">
        <v>60</v>
      </c>
      <c r="C39" s="108"/>
      <c r="D39" s="351">
        <f>C64</f>
        <v>0</v>
      </c>
      <c r="E39" s="351">
        <f>D64</f>
        <v>0</v>
      </c>
    </row>
    <row r="40" spans="2:5" s="82" customFormat="1" x14ac:dyDescent="0.2">
      <c r="B40" s="366" t="s">
        <v>62</v>
      </c>
      <c r="C40" s="126"/>
      <c r="D40" s="126"/>
      <c r="E40" s="126"/>
    </row>
    <row r="41" spans="2:5" x14ac:dyDescent="0.2">
      <c r="B41" s="353"/>
      <c r="C41" s="108"/>
      <c r="D41" s="108"/>
      <c r="E41" s="108"/>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0</v>
      </c>
      <c r="D49" s="361">
        <f>SUM(D41:D47)</f>
        <v>0</v>
      </c>
      <c r="E49" s="361">
        <f>SUM(E41:E47)</f>
        <v>0</v>
      </c>
    </row>
    <row r="50" spans="2:5" x14ac:dyDescent="0.2">
      <c r="B50" s="359" t="s">
        <v>310</v>
      </c>
      <c r="C50" s="361">
        <f>C39+C49</f>
        <v>0</v>
      </c>
      <c r="D50" s="361">
        <f>D39+D49</f>
        <v>0</v>
      </c>
      <c r="E50" s="361">
        <f>E39+E49</f>
        <v>0</v>
      </c>
    </row>
    <row r="51" spans="2:5" x14ac:dyDescent="0.2">
      <c r="B51" s="169" t="s">
        <v>312</v>
      </c>
      <c r="C51" s="351"/>
      <c r="D51" s="351"/>
      <c r="E51" s="351"/>
    </row>
    <row r="52" spans="2:5" x14ac:dyDescent="0.2">
      <c r="B52" s="353"/>
      <c r="C52" s="108"/>
      <c r="D52" s="108"/>
      <c r="E52" s="108"/>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0</v>
      </c>
      <c r="D63" s="361">
        <f>SUM(D52:D61)</f>
        <v>0</v>
      </c>
      <c r="E63" s="361">
        <f>SUM(E52:E61)</f>
        <v>0</v>
      </c>
    </row>
    <row r="64" spans="2:5" x14ac:dyDescent="0.2">
      <c r="B64" s="169" t="s">
        <v>61</v>
      </c>
      <c r="C64" s="121">
        <f>C50-C63</f>
        <v>0</v>
      </c>
      <c r="D64" s="121">
        <f>D50-D63</f>
        <v>0</v>
      </c>
      <c r="E64" s="121">
        <f>E50-E63</f>
        <v>0</v>
      </c>
    </row>
    <row r="65" spans="2:5" x14ac:dyDescent="0.2">
      <c r="B65" s="199" t="str">
        <f>CONCATENATE("",E1-2,"/",E1-1," Budget Authority Amount:")</f>
        <v>2011/2012 Budget Authority Amount:</v>
      </c>
      <c r="C65" s="307">
        <f>inputOth!B107</f>
        <v>0</v>
      </c>
      <c r="D65" s="307">
        <f>inputPrYr!D52</f>
        <v>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c r="D69" s="86"/>
      <c r="E69" s="86"/>
    </row>
  </sheetData>
  <sheetProtection sheet="1"/>
  <conditionalFormatting sqref="C47">
    <cfRule type="cellIs" dxfId="78" priority="19" stopIfTrue="1" operator="greaterThan">
      <formula>$C$49*0.1</formula>
    </cfRule>
  </conditionalFormatting>
  <conditionalFormatting sqref="D47">
    <cfRule type="cellIs" dxfId="77" priority="18" stopIfTrue="1" operator="greaterThan">
      <formula>$D$49*0.1</formula>
    </cfRule>
  </conditionalFormatting>
  <conditionalFormatting sqref="E47">
    <cfRule type="cellIs" dxfId="76" priority="17" stopIfTrue="1" operator="greaterThan">
      <formula>$E$49*0.1</formula>
    </cfRule>
  </conditionalFormatting>
  <conditionalFormatting sqref="C61">
    <cfRule type="cellIs" dxfId="75" priority="16" stopIfTrue="1" operator="greaterThan">
      <formula>$C$63*0.1</formula>
    </cfRule>
  </conditionalFormatting>
  <conditionalFormatting sqref="D61">
    <cfRule type="cellIs" dxfId="74" priority="15" stopIfTrue="1" operator="greaterThan">
      <formula>$D$63*0.1</formula>
    </cfRule>
  </conditionalFormatting>
  <conditionalFormatting sqref="E61">
    <cfRule type="cellIs" dxfId="73" priority="14" stopIfTrue="1" operator="greaterThan">
      <formula>$E$63*0.1</formula>
    </cfRule>
  </conditionalFormatting>
  <conditionalFormatting sqref="C28">
    <cfRule type="cellIs" dxfId="72" priority="13" stopIfTrue="1" operator="greaterThan">
      <formula>$C$30*0.1</formula>
    </cfRule>
  </conditionalFormatting>
  <conditionalFormatting sqref="D28">
    <cfRule type="cellIs" dxfId="71" priority="12" stopIfTrue="1" operator="greaterThan">
      <formula>$D$30*0.1</formula>
    </cfRule>
  </conditionalFormatting>
  <conditionalFormatting sqref="E28">
    <cfRule type="cellIs" dxfId="70" priority="11" stopIfTrue="1" operator="greaterThan">
      <formula>$E$30*0.1</formula>
    </cfRule>
  </conditionalFormatting>
  <conditionalFormatting sqref="C14">
    <cfRule type="cellIs" dxfId="69" priority="10" stopIfTrue="1" operator="greaterThan">
      <formula>$C$16*0.1</formula>
    </cfRule>
  </conditionalFormatting>
  <conditionalFormatting sqref="D14">
    <cfRule type="cellIs" dxfId="68" priority="9" stopIfTrue="1" operator="greaterThan">
      <formula>$D$16*0.1</formula>
    </cfRule>
  </conditionalFormatting>
  <conditionalFormatting sqref="E14">
    <cfRule type="cellIs" dxfId="67" priority="8" stopIfTrue="1" operator="greaterThan">
      <formula>$E$16*0.1</formula>
    </cfRule>
  </conditionalFormatting>
  <conditionalFormatting sqref="E31 C31 E64 C64">
    <cfRule type="cellIs" dxfId="66" priority="7" stopIfTrue="1" operator="lessThan">
      <formula>0</formula>
    </cfRule>
  </conditionalFormatting>
  <conditionalFormatting sqref="C30">
    <cfRule type="cellIs" dxfId="65" priority="6" stopIfTrue="1" operator="greaterThan">
      <formula>$C$32</formula>
    </cfRule>
  </conditionalFormatting>
  <conditionalFormatting sqref="D30">
    <cfRule type="cellIs" dxfId="64" priority="5" stopIfTrue="1" operator="greaterThan">
      <formula>$D$32</formula>
    </cfRule>
  </conditionalFormatting>
  <conditionalFormatting sqref="C63">
    <cfRule type="cellIs" dxfId="63" priority="4" stopIfTrue="1" operator="greaterThan">
      <formula>$C$65</formula>
    </cfRule>
  </conditionalFormatting>
  <conditionalFormatting sqref="D63">
    <cfRule type="cellIs" dxfId="62" priority="3" stopIfTrue="1" operator="greaterThan">
      <formula>$D$65</formula>
    </cfRule>
  </conditionalFormatting>
  <conditionalFormatting sqref="D64">
    <cfRule type="cellIs" dxfId="61" priority="2" stopIfTrue="1" operator="lessThan">
      <formula>0</formula>
    </cfRule>
  </conditionalFormatting>
  <conditionalFormatting sqref="D31">
    <cfRule type="cellIs" dxfId="60" priority="1" stopIfTrue="1" operator="lessThan">
      <formula>0</formula>
    </cfRule>
  </conditionalFormatting>
  <pageMargins left="0.7" right="0.7" top="0.75" bottom="0.75" header="0.3" footer="0.3"/>
  <pageSetup scale="63"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workbookViewId="0">
      <selection activeCell="H6" sqref="H6:O6"/>
    </sheetView>
  </sheetViews>
  <sheetFormatPr defaultRowHeight="15.75" x14ac:dyDescent="0.2"/>
  <cols>
    <col min="1" max="1" width="2.44140625" style="69" customWidth="1"/>
    <col min="2" max="2" width="31.109375" style="69" customWidth="1"/>
    <col min="3" max="5" width="15.77734375" style="69" customWidth="1"/>
    <col min="6" max="16384" width="8.88671875" style="69"/>
  </cols>
  <sheetData>
    <row r="1" spans="2:5" x14ac:dyDescent="0.2">
      <c r="B1" s="256" t="str">
        <f>(inputPrYr!D3)</f>
        <v>City of Herington</v>
      </c>
      <c r="C1" s="86"/>
      <c r="D1" s="86"/>
      <c r="E1" s="281">
        <f>inputPrYr!C10</f>
        <v>2013</v>
      </c>
    </row>
    <row r="2" spans="2:5" x14ac:dyDescent="0.2">
      <c r="B2" s="86"/>
      <c r="C2" s="86"/>
      <c r="D2" s="86"/>
      <c r="E2" s="230"/>
    </row>
    <row r="3" spans="2:5" x14ac:dyDescent="0.2">
      <c r="B3" s="347" t="s">
        <v>7</v>
      </c>
      <c r="C3" s="295"/>
      <c r="D3" s="295"/>
      <c r="E3" s="295"/>
    </row>
    <row r="4" spans="2:5" x14ac:dyDescent="0.2">
      <c r="B4" s="93" t="s">
        <v>301</v>
      </c>
      <c r="C4" s="633" t="s">
        <v>833</v>
      </c>
      <c r="D4" s="634" t="s">
        <v>834</v>
      </c>
      <c r="E4" s="206" t="s">
        <v>835</v>
      </c>
    </row>
    <row r="5" spans="2:5" x14ac:dyDescent="0.2">
      <c r="B5" s="579">
        <f>inputPrYr!B53</f>
        <v>0</v>
      </c>
      <c r="C5" s="454" t="str">
        <f>CONCATENATE("Actual for ",E1-2,"")</f>
        <v>Actual for 2011</v>
      </c>
      <c r="D5" s="454" t="str">
        <f>CONCATENATE("Estimate for ",E1-1,"")</f>
        <v>Estimate for 2012</v>
      </c>
      <c r="E5" s="272" t="str">
        <f>CONCATENATE("Year for ",E1,"")</f>
        <v>Year for 2013</v>
      </c>
    </row>
    <row r="6" spans="2:5" x14ac:dyDescent="0.2">
      <c r="B6" s="365" t="s">
        <v>60</v>
      </c>
      <c r="C6" s="108"/>
      <c r="D6" s="351">
        <f>C31</f>
        <v>0</v>
      </c>
      <c r="E6" s="351">
        <f>D31</f>
        <v>0</v>
      </c>
    </row>
    <row r="7" spans="2:5" s="82" customFormat="1" x14ac:dyDescent="0.2">
      <c r="B7" s="366" t="s">
        <v>62</v>
      </c>
      <c r="C7" s="126"/>
      <c r="D7" s="126"/>
      <c r="E7" s="126"/>
    </row>
    <row r="8" spans="2:5" x14ac:dyDescent="0.2">
      <c r="B8" s="353"/>
      <c r="C8" s="108"/>
      <c r="D8" s="108"/>
      <c r="E8" s="108"/>
    </row>
    <row r="9" spans="2:5" x14ac:dyDescent="0.2">
      <c r="B9" s="353"/>
      <c r="C9" s="108"/>
      <c r="D9" s="108"/>
      <c r="E9" s="108"/>
    </row>
    <row r="10" spans="2:5" x14ac:dyDescent="0.2">
      <c r="B10" s="353"/>
      <c r="C10" s="108"/>
      <c r="D10" s="108"/>
      <c r="E10" s="108"/>
    </row>
    <row r="11" spans="2:5" x14ac:dyDescent="0.2">
      <c r="B11" s="353"/>
      <c r="C11" s="108"/>
      <c r="D11" s="108"/>
      <c r="E11" s="108"/>
    </row>
    <row r="12" spans="2:5" x14ac:dyDescent="0.2">
      <c r="B12" s="353"/>
      <c r="C12" s="108"/>
      <c r="D12" s="108"/>
      <c r="E12" s="108"/>
    </row>
    <row r="13" spans="2:5" x14ac:dyDescent="0.2">
      <c r="B13" s="367" t="s">
        <v>308</v>
      </c>
      <c r="C13" s="108"/>
      <c r="D13" s="108"/>
      <c r="E13" s="108"/>
    </row>
    <row r="14" spans="2:5" x14ac:dyDescent="0.2">
      <c r="B14" s="357" t="s">
        <v>198</v>
      </c>
      <c r="C14" s="108"/>
      <c r="D14" s="350"/>
      <c r="E14" s="350"/>
    </row>
    <row r="15" spans="2:5" x14ac:dyDescent="0.2">
      <c r="B15" s="357" t="s">
        <v>693</v>
      </c>
      <c r="C15" s="566" t="str">
        <f>IF(C16*0.1&lt;C14,"Exceed 10% Rule","")</f>
        <v/>
      </c>
      <c r="D15" s="358" t="str">
        <f>IF(D16*0.1&lt;D14,"Exceed 10% Rule","")</f>
        <v/>
      </c>
      <c r="E15" s="358" t="str">
        <f>IF(E16*0.1&lt;E14,"Exceed 10% Rule","")</f>
        <v/>
      </c>
    </row>
    <row r="16" spans="2:5" x14ac:dyDescent="0.2">
      <c r="B16" s="359" t="s">
        <v>309</v>
      </c>
      <c r="C16" s="361">
        <f>SUM(C8:C14)</f>
        <v>0</v>
      </c>
      <c r="D16" s="361">
        <f>SUM(D8:D14)</f>
        <v>0</v>
      </c>
      <c r="E16" s="361">
        <f>SUM(E8:E14)</f>
        <v>0</v>
      </c>
    </row>
    <row r="17" spans="2:5" x14ac:dyDescent="0.2">
      <c r="B17" s="359" t="s">
        <v>310</v>
      </c>
      <c r="C17" s="361">
        <f>C6+C16</f>
        <v>0</v>
      </c>
      <c r="D17" s="361">
        <f>D6+D16</f>
        <v>0</v>
      </c>
      <c r="E17" s="361">
        <f>E6+E16</f>
        <v>0</v>
      </c>
    </row>
    <row r="18" spans="2:5" x14ac:dyDescent="0.2">
      <c r="B18" s="169" t="s">
        <v>312</v>
      </c>
      <c r="C18" s="351"/>
      <c r="D18" s="351"/>
      <c r="E18" s="351"/>
    </row>
    <row r="19" spans="2:5" x14ac:dyDescent="0.2">
      <c r="B19" s="353"/>
      <c r="C19" s="108"/>
      <c r="D19" s="108"/>
      <c r="E19" s="108"/>
    </row>
    <row r="20" spans="2:5" x14ac:dyDescent="0.2">
      <c r="B20" s="353"/>
      <c r="C20" s="108"/>
      <c r="D20" s="108"/>
      <c r="E20" s="108"/>
    </row>
    <row r="21" spans="2:5" x14ac:dyDescent="0.2">
      <c r="B21" s="353"/>
      <c r="C21" s="108"/>
      <c r="D21" s="108"/>
      <c r="E21" s="108"/>
    </row>
    <row r="22" spans="2:5" x14ac:dyDescent="0.2">
      <c r="B22" s="353"/>
      <c r="C22" s="108"/>
      <c r="D22" s="108"/>
      <c r="E22" s="108"/>
    </row>
    <row r="23" spans="2:5" x14ac:dyDescent="0.2">
      <c r="B23" s="353"/>
      <c r="C23" s="108"/>
      <c r="D23" s="108"/>
      <c r="E23" s="108"/>
    </row>
    <row r="24" spans="2:5" x14ac:dyDescent="0.2">
      <c r="B24" s="353"/>
      <c r="C24" s="108"/>
      <c r="D24" s="108"/>
      <c r="E24" s="108"/>
    </row>
    <row r="25" spans="2:5" x14ac:dyDescent="0.2">
      <c r="B25" s="353"/>
      <c r="C25" s="108"/>
      <c r="D25" s="108"/>
      <c r="E25" s="108"/>
    </row>
    <row r="26" spans="2:5" x14ac:dyDescent="0.2">
      <c r="B26" s="353"/>
      <c r="C26" s="108"/>
      <c r="D26" s="108"/>
      <c r="E26" s="108"/>
    </row>
    <row r="27" spans="2:5" x14ac:dyDescent="0.2">
      <c r="B27" s="353"/>
      <c r="C27" s="108"/>
      <c r="D27" s="108"/>
      <c r="E27" s="108"/>
    </row>
    <row r="28" spans="2:5" x14ac:dyDescent="0.2">
      <c r="B28" s="357" t="s">
        <v>198</v>
      </c>
      <c r="C28" s="108"/>
      <c r="D28" s="350"/>
      <c r="E28" s="350"/>
    </row>
    <row r="29" spans="2:5" x14ac:dyDescent="0.2">
      <c r="B29" s="357" t="s">
        <v>692</v>
      </c>
      <c r="C29" s="566" t="str">
        <f>IF(C30*0.1&lt;C28,"Exceed 10% Rule","")</f>
        <v/>
      </c>
      <c r="D29" s="358" t="str">
        <f>IF(D30*0.1&lt;D28,"Exceed 10% Rule","")</f>
        <v/>
      </c>
      <c r="E29" s="358" t="str">
        <f>IF(E30*0.1&lt;E28,"Exceed 10% Rule","")</f>
        <v/>
      </c>
    </row>
    <row r="30" spans="2:5" x14ac:dyDescent="0.2">
      <c r="B30" s="359" t="s">
        <v>316</v>
      </c>
      <c r="C30" s="361">
        <f>SUM(C19:C28)</f>
        <v>0</v>
      </c>
      <c r="D30" s="361">
        <f>SUM(D19:D28)</f>
        <v>0</v>
      </c>
      <c r="E30" s="361">
        <f>SUM(E19:E28)</f>
        <v>0</v>
      </c>
    </row>
    <row r="31" spans="2:5" x14ac:dyDescent="0.2">
      <c r="B31" s="169" t="s">
        <v>61</v>
      </c>
      <c r="C31" s="121">
        <f>C17-C30</f>
        <v>0</v>
      </c>
      <c r="D31" s="121">
        <f>D17-D30</f>
        <v>0</v>
      </c>
      <c r="E31" s="121">
        <f>E17-E30</f>
        <v>0</v>
      </c>
    </row>
    <row r="32" spans="2:5" x14ac:dyDescent="0.2">
      <c r="B32" s="199" t="str">
        <f>CONCATENATE("",E1-2,"/",E1-1," Budget Authority Amount:")</f>
        <v>2011/2012 Budget Authority Amount:</v>
      </c>
      <c r="C32" s="307">
        <f>inputOth!B108</f>
        <v>0</v>
      </c>
      <c r="D32" s="307">
        <f>inputPrYr!D53</f>
        <v>0</v>
      </c>
      <c r="E32" s="564" t="str">
        <f>IF(E31&lt;0,"See Tab E","")</f>
        <v/>
      </c>
    </row>
    <row r="33" spans="2:5" x14ac:dyDescent="0.2">
      <c r="B33" s="199"/>
      <c r="C33" s="363" t="str">
        <f>IF(C30&gt;C32,"See Tab A","")</f>
        <v/>
      </c>
      <c r="D33" s="363" t="str">
        <f>IF(D30&gt;D32,"See Tab C","")</f>
        <v/>
      </c>
      <c r="E33" s="138"/>
    </row>
    <row r="34" spans="2:5" x14ac:dyDescent="0.2">
      <c r="B34" s="199"/>
      <c r="C34" s="363" t="str">
        <f>IF(C31&lt;0,"See Tab B","")</f>
        <v/>
      </c>
      <c r="D34" s="363" t="str">
        <f>IF(D31&lt;0,"See Tab D","")</f>
        <v/>
      </c>
      <c r="E34" s="138"/>
    </row>
    <row r="35" spans="2:5" x14ac:dyDescent="0.2">
      <c r="B35" s="86"/>
      <c r="C35" s="138"/>
      <c r="D35" s="138"/>
      <c r="E35" s="138"/>
    </row>
    <row r="36" spans="2:5" x14ac:dyDescent="0.2">
      <c r="B36" s="93"/>
      <c r="C36" s="368"/>
      <c r="D36" s="368"/>
      <c r="E36" s="368"/>
    </row>
    <row r="37" spans="2:5" x14ac:dyDescent="0.2">
      <c r="B37" s="93" t="s">
        <v>301</v>
      </c>
      <c r="C37" s="297" t="s">
        <v>833</v>
      </c>
      <c r="D37" s="206" t="s">
        <v>836</v>
      </c>
      <c r="E37" s="206" t="s">
        <v>835</v>
      </c>
    </row>
    <row r="38" spans="2:5" x14ac:dyDescent="0.2">
      <c r="B38" s="579">
        <f>inputPrYr!B54</f>
        <v>0</v>
      </c>
      <c r="C38" s="364" t="str">
        <f>C5</f>
        <v>Actual for 2011</v>
      </c>
      <c r="D38" s="364" t="str">
        <f>D5</f>
        <v>Estimate for 2012</v>
      </c>
      <c r="E38" s="364" t="str">
        <f>E5</f>
        <v>Year for 2013</v>
      </c>
    </row>
    <row r="39" spans="2:5" x14ac:dyDescent="0.2">
      <c r="B39" s="365" t="s">
        <v>60</v>
      </c>
      <c r="C39" s="108"/>
      <c r="D39" s="351">
        <f>C64</f>
        <v>0</v>
      </c>
      <c r="E39" s="351">
        <f>D64</f>
        <v>0</v>
      </c>
    </row>
    <row r="40" spans="2:5" s="82" customFormat="1" x14ac:dyDescent="0.2">
      <c r="B40" s="366" t="s">
        <v>62</v>
      </c>
      <c r="C40" s="126"/>
      <c r="D40" s="126"/>
      <c r="E40" s="126"/>
    </row>
    <row r="41" spans="2:5" x14ac:dyDescent="0.2">
      <c r="B41" s="353"/>
      <c r="C41" s="108"/>
      <c r="D41" s="108"/>
      <c r="E41" s="108"/>
    </row>
    <row r="42" spans="2:5" x14ac:dyDescent="0.2">
      <c r="B42" s="353"/>
      <c r="C42" s="108"/>
      <c r="D42" s="108"/>
      <c r="E42" s="108"/>
    </row>
    <row r="43" spans="2:5" x14ac:dyDescent="0.2">
      <c r="B43" s="353"/>
      <c r="C43" s="108"/>
      <c r="D43" s="108"/>
      <c r="E43" s="108"/>
    </row>
    <row r="44" spans="2:5" x14ac:dyDescent="0.2">
      <c r="B44" s="353"/>
      <c r="C44" s="108"/>
      <c r="D44" s="108"/>
      <c r="E44" s="108"/>
    </row>
    <row r="45" spans="2:5" x14ac:dyDescent="0.2">
      <c r="B45" s="353"/>
      <c r="C45" s="108"/>
      <c r="D45" s="108"/>
      <c r="E45" s="108"/>
    </row>
    <row r="46" spans="2:5" x14ac:dyDescent="0.2">
      <c r="B46" s="367" t="s">
        <v>308</v>
      </c>
      <c r="C46" s="108"/>
      <c r="D46" s="108"/>
      <c r="E46" s="108"/>
    </row>
    <row r="47" spans="2:5" x14ac:dyDescent="0.2">
      <c r="B47" s="357" t="s">
        <v>198</v>
      </c>
      <c r="C47" s="108"/>
      <c r="D47" s="350"/>
      <c r="E47" s="350"/>
    </row>
    <row r="48" spans="2:5" x14ac:dyDescent="0.2">
      <c r="B48" s="357" t="s">
        <v>693</v>
      </c>
      <c r="C48" s="566" t="str">
        <f>IF(C49*0.1&lt;C47,"Exceed 10% Rule","")</f>
        <v/>
      </c>
      <c r="D48" s="358" t="str">
        <f>IF(D49*0.1&lt;D47,"Exceed 10% Rule","")</f>
        <v/>
      </c>
      <c r="E48" s="358" t="str">
        <f>IF(E49*0.1&lt;E47,"Exceed 10% Rule","")</f>
        <v/>
      </c>
    </row>
    <row r="49" spans="2:5" x14ac:dyDescent="0.2">
      <c r="B49" s="359" t="s">
        <v>309</v>
      </c>
      <c r="C49" s="361">
        <f>SUM(C41:C47)</f>
        <v>0</v>
      </c>
      <c r="D49" s="361">
        <f>SUM(D41:D47)</f>
        <v>0</v>
      </c>
      <c r="E49" s="361">
        <f>SUM(E41:E47)</f>
        <v>0</v>
      </c>
    </row>
    <row r="50" spans="2:5" x14ac:dyDescent="0.2">
      <c r="B50" s="359" t="s">
        <v>310</v>
      </c>
      <c r="C50" s="361">
        <f>C39+C49</f>
        <v>0</v>
      </c>
      <c r="D50" s="361">
        <f>D39+D49</f>
        <v>0</v>
      </c>
      <c r="E50" s="361">
        <f>E39+E49</f>
        <v>0</v>
      </c>
    </row>
    <row r="51" spans="2:5" x14ac:dyDescent="0.2">
      <c r="B51" s="169" t="s">
        <v>312</v>
      </c>
      <c r="C51" s="351"/>
      <c r="D51" s="351"/>
      <c r="E51" s="351"/>
    </row>
    <row r="52" spans="2:5" x14ac:dyDescent="0.2">
      <c r="B52" s="353"/>
      <c r="C52" s="108"/>
      <c r="D52" s="108"/>
      <c r="E52" s="108"/>
    </row>
    <row r="53" spans="2:5" x14ac:dyDescent="0.2">
      <c r="B53" s="353"/>
      <c r="C53" s="108"/>
      <c r="D53" s="108"/>
      <c r="E53" s="108"/>
    </row>
    <row r="54" spans="2:5" x14ac:dyDescent="0.2">
      <c r="B54" s="353"/>
      <c r="C54" s="108"/>
      <c r="D54" s="108"/>
      <c r="E54" s="108"/>
    </row>
    <row r="55" spans="2:5" x14ac:dyDescent="0.2">
      <c r="B55" s="353"/>
      <c r="C55" s="108"/>
      <c r="D55" s="108"/>
      <c r="E55" s="108"/>
    </row>
    <row r="56" spans="2:5" x14ac:dyDescent="0.2">
      <c r="B56" s="353"/>
      <c r="C56" s="108"/>
      <c r="D56" s="108"/>
      <c r="E56" s="108"/>
    </row>
    <row r="57" spans="2:5" x14ac:dyDescent="0.2">
      <c r="B57" s="353"/>
      <c r="C57" s="108"/>
      <c r="D57" s="108"/>
      <c r="E57" s="108"/>
    </row>
    <row r="58" spans="2:5" x14ac:dyDescent="0.2">
      <c r="B58" s="353"/>
      <c r="C58" s="108"/>
      <c r="D58" s="108"/>
      <c r="E58" s="108"/>
    </row>
    <row r="59" spans="2:5" x14ac:dyDescent="0.2">
      <c r="B59" s="353"/>
      <c r="C59" s="108"/>
      <c r="D59" s="108"/>
      <c r="E59" s="108"/>
    </row>
    <row r="60" spans="2:5" x14ac:dyDescent="0.2">
      <c r="B60" s="353"/>
      <c r="C60" s="108"/>
      <c r="D60" s="108"/>
      <c r="E60" s="108"/>
    </row>
    <row r="61" spans="2:5" x14ac:dyDescent="0.2">
      <c r="B61" s="357" t="s">
        <v>198</v>
      </c>
      <c r="C61" s="108"/>
      <c r="D61" s="350"/>
      <c r="E61" s="350"/>
    </row>
    <row r="62" spans="2:5" x14ac:dyDescent="0.2">
      <c r="B62" s="357" t="s">
        <v>692</v>
      </c>
      <c r="C62" s="566" t="str">
        <f>IF(C63*0.1&lt;C61,"Exceed 10% Rule","")</f>
        <v/>
      </c>
      <c r="D62" s="358" t="str">
        <f>IF(D63*0.1&lt;D61,"Exceed 10% Rule","")</f>
        <v/>
      </c>
      <c r="E62" s="358" t="str">
        <f>IF(E63*0.1&lt;E61,"Exceed 10% Rule","")</f>
        <v/>
      </c>
    </row>
    <row r="63" spans="2:5" x14ac:dyDescent="0.2">
      <c r="B63" s="359" t="s">
        <v>316</v>
      </c>
      <c r="C63" s="361">
        <f>SUM(C52:C61)</f>
        <v>0</v>
      </c>
      <c r="D63" s="361">
        <f>SUM(D52:D61)</f>
        <v>0</v>
      </c>
      <c r="E63" s="361">
        <f>SUM(E52:E61)</f>
        <v>0</v>
      </c>
    </row>
    <row r="64" spans="2:5" x14ac:dyDescent="0.2">
      <c r="B64" s="169" t="s">
        <v>61</v>
      </c>
      <c r="C64" s="121">
        <f>C50-C63</f>
        <v>0</v>
      </c>
      <c r="D64" s="121">
        <f>D50-D63</f>
        <v>0</v>
      </c>
      <c r="E64" s="121">
        <f>E50-E63</f>
        <v>0</v>
      </c>
    </row>
    <row r="65" spans="2:5" x14ac:dyDescent="0.2">
      <c r="B65" s="199" t="str">
        <f>CONCATENATE("",E1-2,"/",E1-1," Budget Authority Amount:")</f>
        <v>2011/2012 Budget Authority Amount:</v>
      </c>
      <c r="C65" s="307">
        <f>inputOth!B109</f>
        <v>0</v>
      </c>
      <c r="D65" s="307">
        <f>inputPrYr!D54</f>
        <v>0</v>
      </c>
      <c r="E65" s="564" t="str">
        <f>IF(E64&lt;0,"See Tab E","")</f>
        <v/>
      </c>
    </row>
    <row r="66" spans="2:5" x14ac:dyDescent="0.2">
      <c r="B66" s="199"/>
      <c r="C66" s="363" t="str">
        <f>IF(C63&gt;C65,"See Tab A","")</f>
        <v/>
      </c>
      <c r="D66" s="363" t="str">
        <f>IF(D63&gt;D65,"See Tab C","")</f>
        <v/>
      </c>
      <c r="E66" s="86"/>
    </row>
    <row r="67" spans="2:5" x14ac:dyDescent="0.2">
      <c r="B67" s="199"/>
      <c r="C67" s="363" t="str">
        <f>IF(C64&lt;0,"See Tab B","")</f>
        <v/>
      </c>
      <c r="D67" s="363" t="str">
        <f>IF(D64&lt;0,"See Tab D","")</f>
        <v/>
      </c>
      <c r="E67" s="86"/>
    </row>
    <row r="68" spans="2:5" x14ac:dyDescent="0.2">
      <c r="B68" s="86"/>
      <c r="C68" s="86"/>
      <c r="D68" s="86"/>
      <c r="E68" s="86"/>
    </row>
    <row r="69" spans="2:5" x14ac:dyDescent="0.2">
      <c r="B69" s="199" t="s">
        <v>319</v>
      </c>
      <c r="C69" s="301"/>
      <c r="D69" s="86"/>
      <c r="E69" s="86"/>
    </row>
  </sheetData>
  <sheetProtection sheet="1"/>
  <conditionalFormatting sqref="C47">
    <cfRule type="cellIs" dxfId="59" priority="19" stopIfTrue="1" operator="greaterThan">
      <formula>$C$49*0.1</formula>
    </cfRule>
  </conditionalFormatting>
  <conditionalFormatting sqref="D47">
    <cfRule type="cellIs" dxfId="58" priority="18" stopIfTrue="1" operator="greaterThan">
      <formula>$D$49*0.1</formula>
    </cfRule>
  </conditionalFormatting>
  <conditionalFormatting sqref="E47">
    <cfRule type="cellIs" dxfId="57" priority="17" stopIfTrue="1" operator="greaterThan">
      <formula>$E$49*0.1</formula>
    </cfRule>
  </conditionalFormatting>
  <conditionalFormatting sqref="C61">
    <cfRule type="cellIs" dxfId="56" priority="16" stopIfTrue="1" operator="greaterThan">
      <formula>$C$63*0.1</formula>
    </cfRule>
  </conditionalFormatting>
  <conditionalFormatting sqref="D61">
    <cfRule type="cellIs" dxfId="55" priority="15" stopIfTrue="1" operator="greaterThan">
      <formula>$D$63*0.1</formula>
    </cfRule>
  </conditionalFormatting>
  <conditionalFormatting sqref="E61">
    <cfRule type="cellIs" dxfId="54" priority="14" stopIfTrue="1" operator="greaterThan">
      <formula>$E$63*0.1</formula>
    </cfRule>
  </conditionalFormatting>
  <conditionalFormatting sqref="C28">
    <cfRule type="cellIs" dxfId="53" priority="13" stopIfTrue="1" operator="greaterThan">
      <formula>$C$30*0.1</formula>
    </cfRule>
  </conditionalFormatting>
  <conditionalFormatting sqref="D28">
    <cfRule type="cellIs" dxfId="52" priority="12" stopIfTrue="1" operator="greaterThan">
      <formula>$D$30*0.1</formula>
    </cfRule>
  </conditionalFormatting>
  <conditionalFormatting sqref="E28">
    <cfRule type="cellIs" dxfId="51" priority="11" stopIfTrue="1" operator="greaterThan">
      <formula>$E$30*0.1</formula>
    </cfRule>
  </conditionalFormatting>
  <conditionalFormatting sqref="C14">
    <cfRule type="cellIs" dxfId="50" priority="10" stopIfTrue="1" operator="greaterThan">
      <formula>$C$16*0.1</formula>
    </cfRule>
  </conditionalFormatting>
  <conditionalFormatting sqref="D14">
    <cfRule type="cellIs" dxfId="49" priority="9" stopIfTrue="1" operator="greaterThan">
      <formula>$D$16*0.1</formula>
    </cfRule>
  </conditionalFormatting>
  <conditionalFormatting sqref="E14">
    <cfRule type="cellIs" dxfId="48" priority="8" stopIfTrue="1" operator="greaterThan">
      <formula>$E$16*0.1</formula>
    </cfRule>
  </conditionalFormatting>
  <conditionalFormatting sqref="E31 C31 E64 C64">
    <cfRule type="cellIs" dxfId="47" priority="7" stopIfTrue="1" operator="lessThan">
      <formula>0</formula>
    </cfRule>
  </conditionalFormatting>
  <conditionalFormatting sqref="C30">
    <cfRule type="cellIs" dxfId="46" priority="6" stopIfTrue="1" operator="greaterThan">
      <formula>$C$32</formula>
    </cfRule>
  </conditionalFormatting>
  <conditionalFormatting sqref="D30">
    <cfRule type="cellIs" dxfId="45" priority="5" stopIfTrue="1" operator="greaterThan">
      <formula>$D$32</formula>
    </cfRule>
  </conditionalFormatting>
  <conditionalFormatting sqref="C63">
    <cfRule type="cellIs" dxfId="44" priority="4" stopIfTrue="1" operator="greaterThan">
      <formula>$C$65</formula>
    </cfRule>
  </conditionalFormatting>
  <conditionalFormatting sqref="D63">
    <cfRule type="cellIs" dxfId="43" priority="3" stopIfTrue="1" operator="greaterThan">
      <formula>$D$65</formula>
    </cfRule>
  </conditionalFormatting>
  <conditionalFormatting sqref="D64">
    <cfRule type="cellIs" dxfId="42" priority="2" stopIfTrue="1" operator="lessThan">
      <formula>0</formula>
    </cfRule>
  </conditionalFormatting>
  <conditionalFormatting sqref="D31">
    <cfRule type="cellIs" dxfId="41" priority="1" stopIfTrue="1" operator="lessThan">
      <formula>0</formula>
    </cfRule>
  </conditionalFormatting>
  <pageMargins left="0.7" right="0.7" top="0.75" bottom="0.75" header="0.3" footer="0.3"/>
  <pageSetup scale="63"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E18" sqref="E18"/>
    </sheetView>
  </sheetViews>
  <sheetFormatPr defaultRowHeight="15" x14ac:dyDescent="0.2"/>
  <cols>
    <col min="1" max="1" width="2.44140625" style="146" customWidth="1"/>
    <col min="2" max="2" width="31.109375" style="146" customWidth="1"/>
    <col min="3" max="4" width="15.77734375" style="146" customWidth="1"/>
    <col min="5" max="5" width="16.21875" style="146" customWidth="1"/>
    <col min="6" max="16384" width="8.88671875" style="146"/>
  </cols>
  <sheetData>
    <row r="1" spans="2:5" ht="15.75" x14ac:dyDescent="0.2">
      <c r="B1" s="256" t="str">
        <f>(inputPrYr!D3)</f>
        <v>City of Herington</v>
      </c>
      <c r="C1" s="86"/>
      <c r="D1" s="86"/>
      <c r="E1" s="346">
        <f>inputPrYr!$C$10</f>
        <v>2013</v>
      </c>
    </row>
    <row r="2" spans="2:5" ht="15.75" x14ac:dyDescent="0.2">
      <c r="B2" s="86"/>
      <c r="C2" s="86"/>
      <c r="D2" s="86"/>
      <c r="E2" s="230"/>
    </row>
    <row r="3" spans="2:5" ht="15.75" x14ac:dyDescent="0.2">
      <c r="B3" s="347" t="s">
        <v>7</v>
      </c>
      <c r="C3" s="348"/>
      <c r="D3" s="348"/>
      <c r="E3" s="349"/>
    </row>
    <row r="4" spans="2:5" ht="15.75" x14ac:dyDescent="0.2">
      <c r="B4" s="93" t="s">
        <v>301</v>
      </c>
      <c r="C4" s="633" t="s">
        <v>833</v>
      </c>
      <c r="D4" s="634" t="s">
        <v>834</v>
      </c>
      <c r="E4" s="206" t="s">
        <v>835</v>
      </c>
    </row>
    <row r="5" spans="2:5" ht="15.75" x14ac:dyDescent="0.2">
      <c r="B5" s="579" t="str">
        <f>(inputPrYr!B56)</f>
        <v>Light</v>
      </c>
      <c r="C5" s="454" t="str">
        <f>CONCATENATE("Actual for ",E1-2,"")</f>
        <v>Actual for 2011</v>
      </c>
      <c r="D5" s="454" t="str">
        <f>CONCATENATE("Estimate for ",E1-1,"")</f>
        <v>Estimate for 2012</v>
      </c>
      <c r="E5" s="272" t="str">
        <f>CONCATENATE("Year for ",E1,"")</f>
        <v>Year for 2013</v>
      </c>
    </row>
    <row r="6" spans="2:5" ht="15.75" x14ac:dyDescent="0.2">
      <c r="B6" s="169" t="s">
        <v>60</v>
      </c>
      <c r="C6" s="108">
        <v>590590</v>
      </c>
      <c r="D6" s="351">
        <f>C48</f>
        <v>377856</v>
      </c>
      <c r="E6" s="351">
        <f>D48</f>
        <v>123532</v>
      </c>
    </row>
    <row r="7" spans="2:5" ht="15.75" x14ac:dyDescent="0.2">
      <c r="B7" s="352" t="s">
        <v>62</v>
      </c>
      <c r="C7" s="126"/>
      <c r="D7" s="126"/>
      <c r="E7" s="126"/>
    </row>
    <row r="8" spans="2:5" ht="15.75" x14ac:dyDescent="0.2">
      <c r="B8" s="353" t="s">
        <v>1106</v>
      </c>
      <c r="C8" s="108">
        <v>2508592</v>
      </c>
      <c r="D8" s="108">
        <v>2615000</v>
      </c>
      <c r="E8" s="108">
        <v>2630000</v>
      </c>
    </row>
    <row r="9" spans="2:5" ht="15.75" x14ac:dyDescent="0.2">
      <c r="B9" s="353" t="s">
        <v>1107</v>
      </c>
      <c r="C9" s="108">
        <v>14930</v>
      </c>
      <c r="D9" s="108">
        <v>3800</v>
      </c>
      <c r="E9" s="108">
        <v>5000</v>
      </c>
    </row>
    <row r="10" spans="2:5" ht="15.75" x14ac:dyDescent="0.2">
      <c r="B10" s="353" t="s">
        <v>1108</v>
      </c>
      <c r="C10" s="108">
        <v>42459</v>
      </c>
      <c r="D10" s="108">
        <v>46037</v>
      </c>
      <c r="E10" s="108">
        <v>45054</v>
      </c>
    </row>
    <row r="11" spans="2:5" ht="15.75" x14ac:dyDescent="0.2">
      <c r="B11" s="353" t="s">
        <v>1109</v>
      </c>
      <c r="C11" s="108">
        <v>17249</v>
      </c>
      <c r="D11" s="108">
        <v>9300</v>
      </c>
      <c r="E11" s="108">
        <v>24000</v>
      </c>
    </row>
    <row r="12" spans="2:5" ht="15.75" x14ac:dyDescent="0.2">
      <c r="B12" s="353" t="s">
        <v>1032</v>
      </c>
      <c r="C12" s="108">
        <v>77213</v>
      </c>
      <c r="D12" s="108">
        <v>77000</v>
      </c>
      <c r="E12" s="108">
        <v>78000</v>
      </c>
    </row>
    <row r="13" spans="2:5" ht="15.75" x14ac:dyDescent="0.2">
      <c r="B13" s="353" t="s">
        <v>1043</v>
      </c>
      <c r="C13" s="108">
        <v>11411</v>
      </c>
      <c r="D13" s="108">
        <v>15000</v>
      </c>
      <c r="E13" s="108">
        <v>6000</v>
      </c>
    </row>
    <row r="14" spans="2:5" ht="15.75" x14ac:dyDescent="0.2">
      <c r="B14" s="355" t="s">
        <v>1052</v>
      </c>
      <c r="C14" s="117">
        <v>351042</v>
      </c>
      <c r="D14" s="117">
        <v>10000</v>
      </c>
      <c r="E14" s="117">
        <v>30000</v>
      </c>
    </row>
    <row r="15" spans="2:5" ht="15.75" x14ac:dyDescent="0.2">
      <c r="B15" s="353" t="s">
        <v>1183</v>
      </c>
      <c r="C15" s="108"/>
      <c r="D15" s="108"/>
      <c r="E15" s="108">
        <v>62000</v>
      </c>
    </row>
    <row r="16" spans="2:5" ht="15.75" x14ac:dyDescent="0.2">
      <c r="B16" s="356" t="s">
        <v>308</v>
      </c>
      <c r="C16" s="108"/>
      <c r="D16" s="108"/>
      <c r="E16" s="108"/>
    </row>
    <row r="17" spans="2:5" ht="15.75" x14ac:dyDescent="0.2">
      <c r="B17" s="357" t="s">
        <v>198</v>
      </c>
      <c r="C17" s="108">
        <v>21610</v>
      </c>
      <c r="D17" s="350">
        <v>15200</v>
      </c>
      <c r="E17" s="350">
        <v>70000</v>
      </c>
    </row>
    <row r="18" spans="2:5" ht="15.75" x14ac:dyDescent="0.2">
      <c r="B18" s="357" t="s">
        <v>693</v>
      </c>
      <c r="C18" s="566" t="str">
        <f>IF(C19*0.1&lt;C17,"Exceed 10% Rule","")</f>
        <v/>
      </c>
      <c r="D18" s="358" t="str">
        <f>IF(D19*0.1&lt;D17,"Exceed 10% Rule","")</f>
        <v/>
      </c>
      <c r="E18" s="358" t="str">
        <f>IF(E19*0.1&lt;E17,"Exceed 10% Rule","")</f>
        <v/>
      </c>
    </row>
    <row r="19" spans="2:5" ht="15.75" x14ac:dyDescent="0.2">
      <c r="B19" s="359" t="s">
        <v>309</v>
      </c>
      <c r="C19" s="361">
        <f>SUM(C8:C17)</f>
        <v>3044506</v>
      </c>
      <c r="D19" s="361">
        <f>SUM(D8:D17)</f>
        <v>2791337</v>
      </c>
      <c r="E19" s="361">
        <f>SUM(E8:E17)</f>
        <v>2950054</v>
      </c>
    </row>
    <row r="20" spans="2:5" ht="15.75" x14ac:dyDescent="0.2">
      <c r="B20" s="359" t="s">
        <v>310</v>
      </c>
      <c r="C20" s="361">
        <f>C6+C19</f>
        <v>3635096</v>
      </c>
      <c r="D20" s="361">
        <f>D6+D19</f>
        <v>3169193</v>
      </c>
      <c r="E20" s="361">
        <f>E6+E19</f>
        <v>3073586</v>
      </c>
    </row>
    <row r="21" spans="2:5" ht="15.75" x14ac:dyDescent="0.2">
      <c r="B21" s="169" t="s">
        <v>312</v>
      </c>
      <c r="C21" s="126"/>
      <c r="D21" s="126"/>
      <c r="E21" s="126"/>
    </row>
    <row r="22" spans="2:5" ht="15.75" x14ac:dyDescent="0.2">
      <c r="B22" s="353" t="s">
        <v>1059</v>
      </c>
      <c r="C22" s="108">
        <v>416221</v>
      </c>
      <c r="D22" s="108">
        <v>438411</v>
      </c>
      <c r="E22" s="108">
        <v>447230</v>
      </c>
    </row>
    <row r="23" spans="2:5" ht="15.75" x14ac:dyDescent="0.2">
      <c r="B23" s="353" t="s">
        <v>1111</v>
      </c>
      <c r="C23" s="108">
        <v>1612924</v>
      </c>
      <c r="D23" s="108">
        <v>1733550</v>
      </c>
      <c r="E23" s="108">
        <v>1823950</v>
      </c>
    </row>
    <row r="24" spans="2:5" ht="15.75" x14ac:dyDescent="0.2">
      <c r="B24" s="353" t="s">
        <v>1110</v>
      </c>
      <c r="C24" s="117">
        <v>605666</v>
      </c>
      <c r="D24" s="117">
        <v>589950</v>
      </c>
      <c r="E24" s="117">
        <v>512875</v>
      </c>
    </row>
    <row r="25" spans="2:5" ht="15.75" x14ac:dyDescent="0.2">
      <c r="B25" s="353" t="s">
        <v>1112</v>
      </c>
      <c r="C25" s="117">
        <v>422429</v>
      </c>
      <c r="D25" s="117">
        <v>109600</v>
      </c>
      <c r="E25" s="117">
        <v>111100</v>
      </c>
    </row>
    <row r="26" spans="2:5" ht="15.75" x14ac:dyDescent="0.2">
      <c r="B26" s="353" t="s">
        <v>1113</v>
      </c>
      <c r="C26" s="117">
        <v>175000</v>
      </c>
      <c r="D26" s="117">
        <v>75000</v>
      </c>
      <c r="E26" s="117">
        <v>75000</v>
      </c>
    </row>
    <row r="27" spans="2:5" ht="15.75" x14ac:dyDescent="0.2">
      <c r="B27" s="353" t="s">
        <v>235</v>
      </c>
      <c r="C27" s="117">
        <v>25000</v>
      </c>
      <c r="D27" s="117">
        <v>99150</v>
      </c>
      <c r="E27" s="117">
        <v>102925</v>
      </c>
    </row>
    <row r="28" spans="2:5" ht="15.75" x14ac:dyDescent="0.2">
      <c r="B28" s="353"/>
      <c r="C28" s="117"/>
      <c r="D28" s="117"/>
      <c r="E28" s="117"/>
    </row>
    <row r="29" spans="2:5" ht="15.75" x14ac:dyDescent="0.2">
      <c r="B29" s="353"/>
      <c r="C29" s="117"/>
      <c r="D29" s="117"/>
      <c r="E29" s="117"/>
    </row>
    <row r="30" spans="2:5" ht="15.75" x14ac:dyDescent="0.2">
      <c r="B30" s="353"/>
      <c r="C30" s="117"/>
      <c r="D30" s="117"/>
      <c r="E30" s="117"/>
    </row>
    <row r="31" spans="2:5" ht="15.75" x14ac:dyDescent="0.2">
      <c r="B31" s="353"/>
      <c r="C31" s="117"/>
      <c r="D31" s="117"/>
      <c r="E31" s="117"/>
    </row>
    <row r="32" spans="2:5" ht="15.75" x14ac:dyDescent="0.2">
      <c r="B32" s="353"/>
      <c r="C32" s="117"/>
      <c r="D32" s="117"/>
      <c r="E32" s="117"/>
    </row>
    <row r="33" spans="2:5" ht="15.75" x14ac:dyDescent="0.2">
      <c r="B33" s="353"/>
      <c r="C33" s="117"/>
      <c r="D33" s="117"/>
      <c r="E33" s="117"/>
    </row>
    <row r="34" spans="2:5" ht="15.75" x14ac:dyDescent="0.2">
      <c r="B34" s="353"/>
      <c r="C34" s="117"/>
      <c r="D34" s="117"/>
      <c r="E34" s="117"/>
    </row>
    <row r="35" spans="2:5" ht="15.75" x14ac:dyDescent="0.2">
      <c r="B35" s="353"/>
      <c r="C35" s="108"/>
      <c r="D35" s="108"/>
      <c r="E35" s="108"/>
    </row>
    <row r="36" spans="2:5" ht="15.75" x14ac:dyDescent="0.2">
      <c r="B36" s="353"/>
      <c r="C36" s="108"/>
      <c r="D36" s="108"/>
      <c r="E36" s="108"/>
    </row>
    <row r="37" spans="2:5" ht="15.75" x14ac:dyDescent="0.2">
      <c r="B37" s="353"/>
      <c r="C37" s="108"/>
      <c r="D37" s="108"/>
      <c r="E37" s="108"/>
    </row>
    <row r="38" spans="2:5" ht="15.75" x14ac:dyDescent="0.2">
      <c r="B38" s="353"/>
      <c r="C38" s="108"/>
      <c r="D38" s="108"/>
      <c r="E38" s="108"/>
    </row>
    <row r="39" spans="2:5" ht="15.75" x14ac:dyDescent="0.2">
      <c r="B39" s="353"/>
      <c r="C39" s="108"/>
      <c r="D39" s="108"/>
      <c r="E39" s="108"/>
    </row>
    <row r="40" spans="2:5" ht="15.75" x14ac:dyDescent="0.2">
      <c r="B40" s="353"/>
      <c r="C40" s="108"/>
      <c r="D40" s="108"/>
      <c r="E40" s="108"/>
    </row>
    <row r="41" spans="2:5" ht="15.75" x14ac:dyDescent="0.2">
      <c r="B41" s="353"/>
      <c r="C41" s="108"/>
      <c r="D41" s="108"/>
      <c r="E41" s="108"/>
    </row>
    <row r="42" spans="2:5" ht="15.75" x14ac:dyDescent="0.2">
      <c r="B42" s="353"/>
      <c r="C42" s="108"/>
      <c r="D42" s="108"/>
      <c r="E42" s="108"/>
    </row>
    <row r="43" spans="2:5" ht="15.75" x14ac:dyDescent="0.2">
      <c r="B43" s="353"/>
      <c r="C43" s="108"/>
      <c r="D43" s="108"/>
      <c r="E43" s="108"/>
    </row>
    <row r="44" spans="2:5" ht="15.75" x14ac:dyDescent="0.2">
      <c r="B44" s="353"/>
      <c r="C44" s="108"/>
      <c r="D44" s="108"/>
      <c r="E44" s="108"/>
    </row>
    <row r="45" spans="2:5" ht="15.75" x14ac:dyDescent="0.2">
      <c r="B45" s="357" t="s">
        <v>198</v>
      </c>
      <c r="C45" s="108"/>
      <c r="D45" s="350"/>
      <c r="E45" s="350"/>
    </row>
    <row r="46" spans="2:5" ht="15.75" x14ac:dyDescent="0.2">
      <c r="B46" s="357" t="s">
        <v>692</v>
      </c>
      <c r="C46" s="566" t="str">
        <f>IF(C47*0.1&lt;C45,"Exceed 10% Rule","")</f>
        <v/>
      </c>
      <c r="D46" s="358" t="str">
        <f>IF(D47*0.1&lt;D45,"Exceed 10% Rule","")</f>
        <v/>
      </c>
      <c r="E46" s="358" t="str">
        <f>IF(E47*0.1&lt;E45,"Exceed 10% Rule","")</f>
        <v/>
      </c>
    </row>
    <row r="47" spans="2:5" ht="15.75" x14ac:dyDescent="0.2">
      <c r="B47" s="359" t="s">
        <v>316</v>
      </c>
      <c r="C47" s="361">
        <f>SUM(C22:C45)</f>
        <v>3257240</v>
      </c>
      <c r="D47" s="361">
        <f>SUM(D22:D45)</f>
        <v>3045661</v>
      </c>
      <c r="E47" s="361">
        <f>SUM(E22:E45)</f>
        <v>3073080</v>
      </c>
    </row>
    <row r="48" spans="2:5" ht="15.75" x14ac:dyDescent="0.2">
      <c r="B48" s="169" t="s">
        <v>61</v>
      </c>
      <c r="C48" s="121">
        <f>C20-C47</f>
        <v>377856</v>
      </c>
      <c r="D48" s="121">
        <f>D20-D47</f>
        <v>123532</v>
      </c>
      <c r="E48" s="121">
        <f>E20-E47</f>
        <v>506</v>
      </c>
    </row>
    <row r="49" spans="2:5" ht="15.75" x14ac:dyDescent="0.2">
      <c r="B49" s="199" t="str">
        <f>CONCATENATE("",E1-2,"/",E1-1," Budget Authority Amount:")</f>
        <v>2011/2012 Budget Authority Amount:</v>
      </c>
      <c r="C49" s="307">
        <f>inputOth!B110</f>
        <v>3112340</v>
      </c>
      <c r="D49" s="307">
        <f>inputPrYr!D56</f>
        <v>3045661</v>
      </c>
      <c r="E49" s="564" t="str">
        <f>IF(E48&lt;0,"See Tab E","")</f>
        <v/>
      </c>
    </row>
    <row r="50" spans="2:5" ht="15.75" x14ac:dyDescent="0.2">
      <c r="B50" s="199"/>
      <c r="C50" s="363" t="str">
        <f>IF(C47&gt;C49,"See Tab A","")</f>
        <v>See Tab A</v>
      </c>
      <c r="D50" s="363" t="str">
        <f>IF(D47&gt;D49,"See Tab C","")</f>
        <v/>
      </c>
      <c r="E50" s="109"/>
    </row>
    <row r="51" spans="2:5" ht="15.75" x14ac:dyDescent="0.2">
      <c r="B51" s="199"/>
      <c r="C51" s="363" t="str">
        <f>IF(C48&lt;0,"See Tab B","")</f>
        <v/>
      </c>
      <c r="D51" s="363" t="str">
        <f>IF(D48&lt;0,"See Tab D","")</f>
        <v/>
      </c>
      <c r="E51" s="109"/>
    </row>
    <row r="52" spans="2:5" x14ac:dyDescent="0.2">
      <c r="B52" s="109"/>
      <c r="C52" s="109"/>
      <c r="D52" s="109"/>
      <c r="E52" s="109"/>
    </row>
    <row r="53" spans="2:5" ht="15.75" x14ac:dyDescent="0.2">
      <c r="B53" s="199" t="s">
        <v>319</v>
      </c>
      <c r="C53" s="301">
        <v>15</v>
      </c>
      <c r="D53" s="109"/>
      <c r="E53" s="109"/>
    </row>
  </sheetData>
  <sheetProtection sheet="1"/>
  <phoneticPr fontId="9" type="noConversion"/>
  <conditionalFormatting sqref="C17">
    <cfRule type="cellIs" dxfId="40" priority="3" stopIfTrue="1" operator="greaterThan">
      <formula>$C$19*0.1</formula>
    </cfRule>
  </conditionalFormatting>
  <conditionalFormatting sqref="D17">
    <cfRule type="cellIs" dxfId="39" priority="4" stopIfTrue="1" operator="greaterThan">
      <formula>$D$19*0.1</formula>
    </cfRule>
  </conditionalFormatting>
  <conditionalFormatting sqref="E17">
    <cfRule type="cellIs" dxfId="38" priority="5" stopIfTrue="1" operator="greaterThan">
      <formula>$E$19*0.1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E45">
    <cfRule type="cellIs" dxfId="35" priority="8" stopIfTrue="1" operator="greaterThan">
      <formula>$E$47*0.1</formula>
    </cfRule>
  </conditionalFormatting>
  <conditionalFormatting sqref="E48 C48">
    <cfRule type="cellIs" dxfId="34" priority="9" stopIfTrue="1" operator="lessThan">
      <formula>0</formula>
    </cfRule>
  </conditionalFormatting>
  <conditionalFormatting sqref="C47">
    <cfRule type="cellIs" dxfId="33" priority="10" stopIfTrue="1" operator="greaterThan">
      <formula>$C$49</formula>
    </cfRule>
  </conditionalFormatting>
  <conditionalFormatting sqref="D47">
    <cfRule type="cellIs" dxfId="32" priority="11" stopIfTrue="1" operator="greaterThan">
      <formula>$D$49</formula>
    </cfRule>
  </conditionalFormatting>
  <conditionalFormatting sqref="D48">
    <cfRule type="cellIs" dxfId="31" priority="1" stopIfTrue="1" operator="lessThan">
      <formula>0</formula>
    </cfRule>
    <cfRule type="cellIs" dxfId="30" priority="2" stopIfTrue="1" operator="lessThan">
      <formula>0</formula>
    </cfRule>
  </conditionalFormatting>
  <pageMargins left="0.75" right="0.75" top="1" bottom="1" header="0.5" footer="0.5"/>
  <pageSetup scale="78" orientation="portrait" blackAndWhite="1" r:id="rId1"/>
  <headerFooter alignWithMargins="0">
    <oddHeader>&amp;RState of KansasCity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
  <sheetViews>
    <sheetView workbookViewId="0">
      <selection activeCell="D10" sqref="D10"/>
    </sheetView>
  </sheetViews>
  <sheetFormatPr defaultRowHeight="15" x14ac:dyDescent="0.2"/>
  <cols>
    <col min="1" max="1" width="22.109375" style="146" customWidth="1"/>
    <col min="2" max="2" width="12.5546875" style="146" customWidth="1"/>
    <col min="3" max="3" width="10.77734375" style="146" customWidth="1"/>
    <col min="4" max="5" width="11.33203125" style="146" customWidth="1"/>
    <col min="6" max="6" width="10.77734375" style="146" customWidth="1"/>
    <col min="7" max="16384" width="8.88671875" style="146"/>
  </cols>
  <sheetData>
    <row r="1" spans="1:6" ht="15.75" x14ac:dyDescent="0.2">
      <c r="A1" s="147" t="str">
        <f>inputPrYr!$D$3</f>
        <v>City of Herington</v>
      </c>
      <c r="B1" s="109"/>
      <c r="C1" s="109"/>
      <c r="D1" s="109"/>
      <c r="E1" s="148">
        <f>inputPrYr!C10</f>
        <v>2013</v>
      </c>
      <c r="F1" s="109"/>
    </row>
    <row r="2" spans="1:6" x14ac:dyDescent="0.2">
      <c r="A2" s="109"/>
      <c r="B2" s="109"/>
      <c r="C2" s="109"/>
      <c r="D2" s="109"/>
      <c r="E2" s="109"/>
      <c r="F2" s="109"/>
    </row>
    <row r="3" spans="1:6" ht="15.75" x14ac:dyDescent="0.2">
      <c r="A3" s="839" t="s">
        <v>159</v>
      </c>
      <c r="B3" s="840"/>
      <c r="C3" s="840"/>
      <c r="D3" s="840"/>
      <c r="E3" s="840"/>
      <c r="F3" s="109"/>
    </row>
    <row r="4" spans="1:6" ht="15.75" x14ac:dyDescent="0.2">
      <c r="A4" s="445"/>
      <c r="B4" s="109"/>
      <c r="C4" s="109"/>
      <c r="D4" s="109"/>
      <c r="E4" s="109"/>
      <c r="F4" s="109"/>
    </row>
    <row r="5" spans="1:6" x14ac:dyDescent="0.2">
      <c r="A5" s="109"/>
      <c r="B5" s="109"/>
      <c r="C5" s="109"/>
      <c r="D5" s="109"/>
      <c r="E5" s="109"/>
      <c r="F5" s="109"/>
    </row>
    <row r="6" spans="1:6" ht="16.5" thickBot="1" x14ac:dyDescent="0.25">
      <c r="A6" s="865" t="str">
        <f>CONCATENATE("From the County Clerks ",E1," Budget Information:")</f>
        <v>From the County Clerks 2013 Budget Information:</v>
      </c>
      <c r="B6" s="866"/>
      <c r="C6" s="866"/>
      <c r="D6" s="866"/>
      <c r="E6" s="866"/>
      <c r="F6" s="866"/>
    </row>
    <row r="7" spans="1:6" ht="15.75" x14ac:dyDescent="0.2">
      <c r="A7" s="114"/>
      <c r="B7" s="869" t="str">
        <f>CONCATENATE("Assessed Valuation for ",E1-1,"")</f>
        <v>Assessed Valuation for 2012</v>
      </c>
      <c r="C7" s="870" t="str">
        <f>CONCATENATE("New Improvements for ",E1-1,"")</f>
        <v>New Improvements for 2012</v>
      </c>
      <c r="D7" s="872" t="str">
        <f>CONCATENATE("Personal Property excluding oil, gas, and mobile homes- ",E1-1,"")</f>
        <v>Personal Property excluding oil, gas, and mobile homes- 2012</v>
      </c>
      <c r="E7" s="874" t="str">
        <f>CONCATENATE("Property that has changed in use for ",E1-1,"")</f>
        <v>Property that has changed in use for 2012</v>
      </c>
      <c r="F7" s="863" t="str">
        <f>CONCATENATE("Personal Property excluding oil, gas, and mobile homes- ",E1-2,"")</f>
        <v>Personal Property excluding oil, gas, and mobile homes- 2011</v>
      </c>
    </row>
    <row r="8" spans="1:6" ht="15.75" x14ac:dyDescent="0.2">
      <c r="A8" s="114"/>
      <c r="B8" s="870"/>
      <c r="C8" s="870"/>
      <c r="D8" s="872"/>
      <c r="E8" s="874"/>
      <c r="F8" s="863"/>
    </row>
    <row r="9" spans="1:6" ht="15.75" x14ac:dyDescent="0.2">
      <c r="A9" s="149"/>
      <c r="B9" s="871"/>
      <c r="C9" s="871"/>
      <c r="D9" s="873"/>
      <c r="E9" s="875"/>
      <c r="F9" s="864"/>
    </row>
    <row r="10" spans="1:6" ht="15.75" x14ac:dyDescent="0.2">
      <c r="A10" s="106" t="str">
        <f>inputPrYr!D4</f>
        <v>Dickinson County</v>
      </c>
      <c r="B10" s="117">
        <v>9614478</v>
      </c>
      <c r="C10" s="117">
        <v>14632</v>
      </c>
      <c r="D10" s="117">
        <v>215044</v>
      </c>
      <c r="E10" s="108">
        <v>7374</v>
      </c>
      <c r="F10" s="117">
        <v>348716</v>
      </c>
    </row>
    <row r="11" spans="1:6" ht="15.75" x14ac:dyDescent="0.2">
      <c r="A11" s="150" t="str">
        <f>inputPrYr!D6</f>
        <v>Morris County</v>
      </c>
      <c r="B11" s="117">
        <v>1046836</v>
      </c>
      <c r="C11" s="117"/>
      <c r="D11" s="117">
        <v>307306</v>
      </c>
      <c r="E11" s="108"/>
      <c r="F11" s="117">
        <v>245329</v>
      </c>
    </row>
    <row r="12" spans="1:6" ht="15.75" x14ac:dyDescent="0.2">
      <c r="A12" s="150">
        <f>inputPrYr!D7</f>
        <v>0</v>
      </c>
      <c r="B12" s="117"/>
      <c r="C12" s="117"/>
      <c r="D12" s="151"/>
      <c r="E12" s="108"/>
      <c r="F12" s="117"/>
    </row>
    <row r="13" spans="1:6" ht="15.75" x14ac:dyDescent="0.2">
      <c r="A13" s="150">
        <f>inputPrYr!D8</f>
        <v>0</v>
      </c>
      <c r="B13" s="117"/>
      <c r="C13" s="117"/>
      <c r="D13" s="117"/>
      <c r="E13" s="117"/>
      <c r="F13" s="117"/>
    </row>
    <row r="14" spans="1:6" ht="15.75" x14ac:dyDescent="0.2">
      <c r="A14" s="106" t="s">
        <v>289</v>
      </c>
      <c r="B14" s="121">
        <f>SUM(B10:B13)</f>
        <v>10661314</v>
      </c>
      <c r="C14" s="121">
        <f>SUM(C10:C13)</f>
        <v>14632</v>
      </c>
      <c r="D14" s="121">
        <f>SUM(D10:D13)</f>
        <v>522350</v>
      </c>
      <c r="E14" s="121">
        <f>SUM(E10:E13)</f>
        <v>7374</v>
      </c>
      <c r="F14" s="121">
        <f>SUM(F10:F13)</f>
        <v>594045</v>
      </c>
    </row>
    <row r="15" spans="1:6" ht="15.75" x14ac:dyDescent="0.2">
      <c r="A15" s="114"/>
      <c r="B15" s="115"/>
      <c r="C15" s="115"/>
      <c r="D15" s="115"/>
      <c r="E15" s="152"/>
      <c r="F15" s="109"/>
    </row>
    <row r="16" spans="1:6" ht="16.5" thickBot="1" x14ac:dyDescent="0.25">
      <c r="A16" s="850" t="str">
        <f>CONCATENATE("Territory Added for ",E1-1,"")</f>
        <v>Territory Added for 2012</v>
      </c>
      <c r="B16" s="868"/>
      <c r="C16" s="868"/>
      <c r="D16" s="868"/>
      <c r="E16" s="152"/>
      <c r="F16" s="109"/>
    </row>
    <row r="17" spans="1:6" ht="31.5" x14ac:dyDescent="0.2">
      <c r="A17" s="111"/>
      <c r="B17" s="153" t="s">
        <v>183</v>
      </c>
      <c r="C17" s="153" t="s">
        <v>54</v>
      </c>
      <c r="D17" s="153" t="s">
        <v>55</v>
      </c>
      <c r="E17" s="152"/>
      <c r="F17" s="109"/>
    </row>
    <row r="18" spans="1:6" ht="15.75" x14ac:dyDescent="0.2">
      <c r="A18" s="106" t="str">
        <f>inputPrYr!D4</f>
        <v>Dickinson County</v>
      </c>
      <c r="B18" s="154"/>
      <c r="C18" s="154"/>
      <c r="D18" s="154"/>
      <c r="E18" s="152"/>
      <c r="F18" s="109"/>
    </row>
    <row r="19" spans="1:6" ht="15.75" x14ac:dyDescent="0.2">
      <c r="A19" s="106" t="str">
        <f>inputPrYr!D6</f>
        <v>Morris County</v>
      </c>
      <c r="B19" s="154"/>
      <c r="C19" s="154"/>
      <c r="D19" s="154"/>
      <c r="E19" s="152"/>
      <c r="F19" s="109"/>
    </row>
    <row r="20" spans="1:6" ht="15.75" x14ac:dyDescent="0.2">
      <c r="A20" s="106">
        <f>inputPrYr!D7</f>
        <v>0</v>
      </c>
      <c r="B20" s="154"/>
      <c r="C20" s="154"/>
      <c r="D20" s="154"/>
      <c r="E20" s="152"/>
      <c r="F20" s="109"/>
    </row>
    <row r="21" spans="1:6" ht="15.75" x14ac:dyDescent="0.2">
      <c r="A21" s="106">
        <f>inputPrYr!D8</f>
        <v>0</v>
      </c>
      <c r="B21" s="154"/>
      <c r="C21" s="154"/>
      <c r="D21" s="154"/>
      <c r="E21" s="152"/>
      <c r="F21" s="109"/>
    </row>
    <row r="22" spans="1:6" ht="15.75" x14ac:dyDescent="0.2">
      <c r="A22" s="106" t="s">
        <v>289</v>
      </c>
      <c r="B22" s="155">
        <f>SUM(B18:B21)</f>
        <v>0</v>
      </c>
      <c r="C22" s="155">
        <f>SUM(C18:C21)</f>
        <v>0</v>
      </c>
      <c r="D22" s="155">
        <f>SUM(D18:D21)</f>
        <v>0</v>
      </c>
      <c r="E22" s="152"/>
      <c r="F22" s="109"/>
    </row>
    <row r="23" spans="1:6" ht="15.75" x14ac:dyDescent="0.2">
      <c r="A23" s="114"/>
      <c r="B23" s="156"/>
      <c r="C23" s="156"/>
      <c r="D23" s="156"/>
      <c r="E23" s="152"/>
      <c r="F23" s="109"/>
    </row>
    <row r="24" spans="1:6" ht="15.75" x14ac:dyDescent="0.2">
      <c r="A24" s="111" t="str">
        <f>CONCATENATE("Gross earnings (intangible) tax estimate for ",E1,"")</f>
        <v>Gross earnings (intangible) tax estimate for 2013</v>
      </c>
      <c r="B24" s="101"/>
      <c r="C24" s="101"/>
      <c r="D24" s="127"/>
      <c r="E24" s="108"/>
      <c r="F24" s="109"/>
    </row>
    <row r="25" spans="1:6" ht="15.75" x14ac:dyDescent="0.2">
      <c r="A25" s="150" t="s">
        <v>189</v>
      </c>
      <c r="B25" s="133"/>
      <c r="C25" s="133"/>
      <c r="D25" s="133"/>
      <c r="E25" s="117"/>
      <c r="F25" s="109"/>
    </row>
    <row r="26" spans="1:6" ht="15.75" x14ac:dyDescent="0.2">
      <c r="A26" s="114"/>
      <c r="B26" s="115"/>
      <c r="C26" s="115"/>
      <c r="D26" s="115"/>
      <c r="E26" s="123"/>
      <c r="F26" s="109"/>
    </row>
    <row r="27" spans="1:6" ht="16.5" thickBot="1" x14ac:dyDescent="0.25">
      <c r="A27" s="850" t="str">
        <f>CONCATENATE("Actual Tax Rates for the ",E1-1," Budget:")</f>
        <v>Actual Tax Rates for the 2012 Budget:</v>
      </c>
      <c r="B27" s="851"/>
      <c r="C27" s="851"/>
      <c r="D27" s="851"/>
      <c r="E27" s="123"/>
      <c r="F27" s="109"/>
    </row>
    <row r="28" spans="1:6" ht="15.75" x14ac:dyDescent="0.2">
      <c r="A28" s="867" t="s">
        <v>287</v>
      </c>
      <c r="B28" s="842"/>
      <c r="C28" s="109"/>
      <c r="D28" s="157" t="s">
        <v>342</v>
      </c>
      <c r="E28" s="123"/>
      <c r="F28" s="109"/>
    </row>
    <row r="29" spans="1:6" ht="15.75" x14ac:dyDescent="0.2">
      <c r="A29" s="111" t="s">
        <v>275</v>
      </c>
      <c r="B29" s="101"/>
      <c r="C29" s="115"/>
      <c r="D29" s="158">
        <v>29.513000000000002</v>
      </c>
      <c r="E29" s="123"/>
      <c r="F29" s="109"/>
    </row>
    <row r="30" spans="1:6" ht="15.75" x14ac:dyDescent="0.2">
      <c r="A30" s="150" t="s">
        <v>235</v>
      </c>
      <c r="B30" s="133"/>
      <c r="C30" s="115"/>
      <c r="D30" s="159">
        <v>0.78400000000000003</v>
      </c>
      <c r="E30" s="123"/>
      <c r="F30" s="109"/>
    </row>
    <row r="31" spans="1:6" ht="15.75" x14ac:dyDescent="0.2">
      <c r="A31" s="150" t="str">
        <f>IF(inputPrYr!B24&gt;" ",(inputPrYr!B24)," ")</f>
        <v>Library</v>
      </c>
      <c r="B31" s="133"/>
      <c r="C31" s="115"/>
      <c r="D31" s="159">
        <v>7.11</v>
      </c>
      <c r="E31" s="123"/>
      <c r="F31" s="109"/>
    </row>
    <row r="32" spans="1:6" ht="15.75" x14ac:dyDescent="0.2">
      <c r="A32" s="150" t="str">
        <f>IF(inputPrYr!B26&gt;" ",(inputPrYr!B26)," ")</f>
        <v>Employee Benefit</v>
      </c>
      <c r="B32" s="133"/>
      <c r="C32" s="115"/>
      <c r="D32" s="159">
        <v>28.797000000000001</v>
      </c>
      <c r="E32" s="123"/>
      <c r="F32" s="109"/>
    </row>
    <row r="33" spans="1:6" ht="15.75" x14ac:dyDescent="0.2">
      <c r="A33" s="150" t="str">
        <f>IF(inputPrYr!B27&gt;" ",(inputPrYr!B27)," ")</f>
        <v>Hospital</v>
      </c>
      <c r="B33" s="133"/>
      <c r="C33" s="115"/>
      <c r="D33" s="159">
        <v>0.50700000000000001</v>
      </c>
      <c r="E33" s="123"/>
      <c r="F33" s="109"/>
    </row>
    <row r="34" spans="1:6" ht="15.75" x14ac:dyDescent="0.2">
      <c r="A34" s="150" t="str">
        <f>IF(inputPrYr!B28&gt;" ",(inputPrYr!B28)," ")</f>
        <v xml:space="preserve"> </v>
      </c>
      <c r="B34" s="160"/>
      <c r="C34" s="115"/>
      <c r="D34" s="161"/>
      <c r="E34" s="123"/>
      <c r="F34" s="109"/>
    </row>
    <row r="35" spans="1:6" ht="15.75" x14ac:dyDescent="0.2">
      <c r="A35" s="150" t="str">
        <f>IF(inputPrYr!B29&gt;" ",(inputPrYr!B29)," ")</f>
        <v xml:space="preserve"> </v>
      </c>
      <c r="B35" s="160"/>
      <c r="C35" s="115"/>
      <c r="D35" s="161"/>
      <c r="E35" s="123"/>
      <c r="F35" s="109"/>
    </row>
    <row r="36" spans="1:6" ht="15.75" x14ac:dyDescent="0.2">
      <c r="A36" s="150" t="str">
        <f>IF(inputPrYr!B30&gt;" ",(inputPrYr!B30)," ")</f>
        <v xml:space="preserve"> </v>
      </c>
      <c r="B36" s="160"/>
      <c r="C36" s="115"/>
      <c r="D36" s="161"/>
      <c r="E36" s="123"/>
      <c r="F36" s="109"/>
    </row>
    <row r="37" spans="1:6" ht="15.75" x14ac:dyDescent="0.2">
      <c r="A37" s="150" t="str">
        <f>IF(inputPrYr!B31&gt;" ",(inputPrYr!B31)," ")</f>
        <v xml:space="preserve"> </v>
      </c>
      <c r="B37" s="160"/>
      <c r="C37" s="115"/>
      <c r="D37" s="161"/>
      <c r="E37" s="123"/>
      <c r="F37" s="109"/>
    </row>
    <row r="38" spans="1:6" ht="15.75" x14ac:dyDescent="0.2">
      <c r="A38" s="150" t="str">
        <f>IF(inputPrYr!B32&gt;" ",(inputPrYr!B32)," ")</f>
        <v xml:space="preserve"> </v>
      </c>
      <c r="B38" s="160"/>
      <c r="C38" s="115"/>
      <c r="D38" s="161"/>
      <c r="E38" s="123"/>
      <c r="F38" s="109"/>
    </row>
    <row r="39" spans="1:6" ht="15.75" x14ac:dyDescent="0.2">
      <c r="A39" s="150" t="str">
        <f>IF(inputPrYr!B33&gt;" ",(inputPrYr!B33)," ")</f>
        <v xml:space="preserve"> </v>
      </c>
      <c r="B39" s="160"/>
      <c r="C39" s="115"/>
      <c r="D39" s="161"/>
      <c r="E39" s="123"/>
      <c r="F39" s="109"/>
    </row>
    <row r="40" spans="1:6" ht="15.75" x14ac:dyDescent="0.2">
      <c r="A40" s="150" t="str">
        <f>IF(inputPrYr!B34&gt;" ",(inputPrYr!B34)," ")</f>
        <v xml:space="preserve"> </v>
      </c>
      <c r="B40" s="160"/>
      <c r="C40" s="115"/>
      <c r="D40" s="161"/>
      <c r="E40" s="123"/>
      <c r="F40" s="109"/>
    </row>
    <row r="41" spans="1:6" ht="15.75" x14ac:dyDescent="0.2">
      <c r="A41" s="150" t="str">
        <f>IF(inputPrYr!B35&gt;" ",(inputPrYr!B35)," ")</f>
        <v xml:space="preserve"> </v>
      </c>
      <c r="B41" s="160"/>
      <c r="C41" s="115"/>
      <c r="D41" s="161"/>
      <c r="E41" s="123"/>
      <c r="F41" s="109"/>
    </row>
    <row r="42" spans="1:6" ht="15.75" x14ac:dyDescent="0.2">
      <c r="A42" s="162"/>
      <c r="B42" s="357" t="s">
        <v>277</v>
      </c>
      <c r="C42" s="669"/>
      <c r="D42" s="668">
        <f>SUM(D29:D41)</f>
        <v>66.711000000000013</v>
      </c>
      <c r="E42" s="162"/>
      <c r="F42" s="109"/>
    </row>
    <row r="43" spans="1:6" x14ac:dyDescent="0.2">
      <c r="A43" s="162"/>
      <c r="B43" s="162"/>
      <c r="C43" s="162"/>
      <c r="D43" s="162"/>
      <c r="E43" s="162"/>
      <c r="F43" s="109"/>
    </row>
    <row r="44" spans="1:6" ht="16.5" thickBot="1" x14ac:dyDescent="0.25">
      <c r="A44" s="848" t="str">
        <f>CONCATENATE("Final Assessed Valuation from the November 1, ",E1-2," Abstract:")</f>
        <v>Final Assessed Valuation from the November 1, 2011 Abstract:</v>
      </c>
      <c r="B44" s="849"/>
      <c r="C44" s="849"/>
      <c r="D44" s="849"/>
      <c r="E44" s="163"/>
      <c r="F44" s="109"/>
    </row>
    <row r="45" spans="1:6" ht="15.75" x14ac:dyDescent="0.2">
      <c r="A45" s="157"/>
      <c r="B45" s="109"/>
      <c r="C45" s="109"/>
      <c r="D45" s="109"/>
      <c r="E45" s="163"/>
      <c r="F45" s="109"/>
    </row>
    <row r="46" spans="1:6" ht="15.75" x14ac:dyDescent="0.2">
      <c r="A46" s="106" t="str">
        <f>inputPrYr!D4</f>
        <v>Dickinson County</v>
      </c>
      <c r="B46" s="162"/>
      <c r="C46" s="162"/>
      <c r="D46" s="117">
        <v>9711231</v>
      </c>
      <c r="E46" s="162"/>
      <c r="F46" s="109"/>
    </row>
    <row r="47" spans="1:6" ht="15.75" x14ac:dyDescent="0.2">
      <c r="A47" s="106" t="str">
        <f>inputPrYr!D6</f>
        <v>Morris County</v>
      </c>
      <c r="B47" s="162"/>
      <c r="C47" s="162"/>
      <c r="D47" s="117">
        <v>978979</v>
      </c>
      <c r="E47" s="162"/>
      <c r="F47" s="109"/>
    </row>
    <row r="48" spans="1:6" ht="15.75" x14ac:dyDescent="0.2">
      <c r="A48" s="106">
        <f>inputPrYr!D7</f>
        <v>0</v>
      </c>
      <c r="B48" s="162"/>
      <c r="C48" s="162"/>
      <c r="D48" s="117"/>
      <c r="E48" s="162"/>
      <c r="F48" s="109"/>
    </row>
    <row r="49" spans="1:6" ht="15.75" x14ac:dyDescent="0.2">
      <c r="A49" s="106">
        <f>inputPrYr!D8</f>
        <v>0</v>
      </c>
      <c r="B49" s="162"/>
      <c r="C49" s="162"/>
      <c r="D49" s="117"/>
      <c r="E49" s="162"/>
      <c r="F49" s="109"/>
    </row>
    <row r="50" spans="1:6" ht="15.75" x14ac:dyDescent="0.2">
      <c r="A50" s="107" t="s">
        <v>180</v>
      </c>
      <c r="B50" s="162"/>
      <c r="C50" s="162"/>
      <c r="D50" s="121">
        <f>SUM(D46:D49)</f>
        <v>10690210</v>
      </c>
      <c r="E50" s="162"/>
      <c r="F50" s="109"/>
    </row>
    <row r="51" spans="1:6" x14ac:dyDescent="0.2">
      <c r="A51" s="162"/>
      <c r="B51" s="162"/>
      <c r="C51" s="162"/>
      <c r="D51" s="162"/>
      <c r="E51" s="162"/>
      <c r="F51" s="109"/>
    </row>
    <row r="52" spans="1:6" ht="15.75" x14ac:dyDescent="0.2">
      <c r="A52" s="135" t="str">
        <f>CONCATENATE("From the County Treasurer's Budget Information - ",E1," Budget Year Estimates:")</f>
        <v>From the County Treasurer's Budget Information - 2013 Budget Year Estimates:</v>
      </c>
      <c r="B52" s="98"/>
      <c r="C52" s="98"/>
      <c r="D52" s="164"/>
      <c r="E52" s="165"/>
      <c r="F52" s="109"/>
    </row>
    <row r="53" spans="1:6" ht="15.75" x14ac:dyDescent="0.2">
      <c r="A53" s="166"/>
      <c r="B53" s="167"/>
      <c r="C53" s="852" t="s">
        <v>186</v>
      </c>
      <c r="D53" s="858" t="s">
        <v>184</v>
      </c>
      <c r="E53" s="852" t="s">
        <v>185</v>
      </c>
      <c r="F53" s="109"/>
    </row>
    <row r="54" spans="1:6" ht="15.75" x14ac:dyDescent="0.2">
      <c r="A54" s="861" t="str">
        <f>CONCATENATE("",E1," Vehicle Tax Estimates")</f>
        <v>2013 Vehicle Tax Estimates</v>
      </c>
      <c r="B54" s="862"/>
      <c r="C54" s="853"/>
      <c r="D54" s="853"/>
      <c r="E54" s="853"/>
      <c r="F54" s="109"/>
    </row>
    <row r="55" spans="1:6" ht="15.75" x14ac:dyDescent="0.2">
      <c r="A55" s="168" t="str">
        <f>inputPrYr!D4</f>
        <v>Dickinson County</v>
      </c>
      <c r="B55" s="134"/>
      <c r="C55" s="117">
        <v>93462</v>
      </c>
      <c r="D55" s="117">
        <v>2951</v>
      </c>
      <c r="E55" s="108">
        <v>303</v>
      </c>
      <c r="F55" s="109"/>
    </row>
    <row r="56" spans="1:6" ht="15.75" x14ac:dyDescent="0.2">
      <c r="A56" s="169" t="str">
        <f>inputPrYr!D6</f>
        <v>Morris County</v>
      </c>
      <c r="B56" s="134"/>
      <c r="C56" s="117">
        <v>1149</v>
      </c>
      <c r="D56" s="117"/>
      <c r="E56" s="108">
        <v>473</v>
      </c>
      <c r="F56" s="109"/>
    </row>
    <row r="57" spans="1:6" ht="15.75" x14ac:dyDescent="0.2">
      <c r="A57" s="169">
        <f>inputPrYr!D7</f>
        <v>0</v>
      </c>
      <c r="B57" s="134"/>
      <c r="C57" s="117"/>
      <c r="D57" s="117"/>
      <c r="E57" s="108"/>
      <c r="F57" s="109"/>
    </row>
    <row r="58" spans="1:6" ht="15.75" x14ac:dyDescent="0.2">
      <c r="A58" s="169">
        <f>inputPrYr!D8</f>
        <v>0</v>
      </c>
      <c r="B58" s="134"/>
      <c r="C58" s="170"/>
      <c r="D58" s="117"/>
      <c r="E58" s="108"/>
      <c r="F58" s="109"/>
    </row>
    <row r="59" spans="1:6" ht="15.75" x14ac:dyDescent="0.2">
      <c r="A59" s="169" t="s">
        <v>187</v>
      </c>
      <c r="B59" s="134"/>
      <c r="C59" s="171">
        <f>SUM(C55:C58)</f>
        <v>94611</v>
      </c>
      <c r="D59" s="121">
        <f>SUM(D55:D58)</f>
        <v>2951</v>
      </c>
      <c r="E59" s="121">
        <f>SUM(E55:E58)</f>
        <v>776</v>
      </c>
      <c r="F59" s="109"/>
    </row>
    <row r="60" spans="1:6" ht="15.75" x14ac:dyDescent="0.2">
      <c r="A60" s="111"/>
      <c r="B60" s="101"/>
      <c r="C60" s="101"/>
      <c r="D60" s="172"/>
      <c r="E60" s="123"/>
      <c r="F60" s="109"/>
    </row>
    <row r="61" spans="1:6" ht="15.75" x14ac:dyDescent="0.2">
      <c r="A61" s="111" t="s">
        <v>96</v>
      </c>
      <c r="B61" s="101"/>
      <c r="C61" s="101"/>
      <c r="D61" s="173"/>
      <c r="E61" s="108"/>
      <c r="F61" s="109"/>
    </row>
    <row r="62" spans="1:6" ht="15.75" x14ac:dyDescent="0.2">
      <c r="A62" s="150" t="s">
        <v>97</v>
      </c>
      <c r="B62" s="133"/>
      <c r="C62" s="133"/>
      <c r="D62" s="174"/>
      <c r="E62" s="108"/>
      <c r="F62" s="109"/>
    </row>
    <row r="63" spans="1:6" ht="15.75" x14ac:dyDescent="0.2">
      <c r="A63" s="86"/>
      <c r="B63" s="86"/>
      <c r="C63" s="86"/>
      <c r="D63" s="86"/>
      <c r="E63" s="86"/>
      <c r="F63" s="109"/>
    </row>
    <row r="64" spans="1:6" ht="15.75" x14ac:dyDescent="0.2">
      <c r="A64" s="85" t="s">
        <v>295</v>
      </c>
      <c r="B64" s="96"/>
      <c r="C64" s="96"/>
      <c r="D64" s="86"/>
      <c r="E64" s="86"/>
      <c r="F64" s="109"/>
    </row>
    <row r="65" spans="1:7" ht="15.75" x14ac:dyDescent="0.2">
      <c r="A65" s="114" t="str">
        <f>CONCATENATE("Actual Delinquency for ",E20-3," Tax - (rate .01213 = 1.213%, key in 1.2)")</f>
        <v>Actual Delinquency for -3 Tax - (rate .01213 = 1.213%, key in 1.2)</v>
      </c>
      <c r="B65" s="115"/>
      <c r="C65" s="86"/>
      <c r="D65" s="86"/>
      <c r="E65" s="671">
        <v>2.23E-2</v>
      </c>
      <c r="F65" s="109"/>
    </row>
    <row r="66" spans="1:7" ht="15.75" x14ac:dyDescent="0.2">
      <c r="A66" s="670" t="s">
        <v>895</v>
      </c>
      <c r="B66" s="111"/>
      <c r="C66" s="101"/>
      <c r="D66" s="101"/>
      <c r="E66" s="672"/>
      <c r="F66" s="109"/>
    </row>
    <row r="67" spans="1:7" ht="15.75" x14ac:dyDescent="0.2">
      <c r="A67" s="177" t="s">
        <v>188</v>
      </c>
      <c r="B67" s="178"/>
      <c r="C67" s="178"/>
      <c r="D67" s="178"/>
      <c r="E67" s="178"/>
      <c r="F67" s="179"/>
    </row>
    <row r="68" spans="1:7" ht="15.75" x14ac:dyDescent="0.2">
      <c r="A68" s="86"/>
      <c r="B68" s="86"/>
      <c r="C68" s="86"/>
      <c r="D68" s="86"/>
      <c r="E68" s="86"/>
      <c r="F68" s="109"/>
    </row>
    <row r="69" spans="1:7" ht="16.5" thickBot="1" x14ac:dyDescent="0.25">
      <c r="A69" s="180" t="s">
        <v>173</v>
      </c>
      <c r="B69" s="181"/>
      <c r="C69" s="182"/>
      <c r="D69" s="182"/>
      <c r="E69" s="182"/>
      <c r="F69" s="183"/>
    </row>
    <row r="70" spans="1:7" ht="15.75" x14ac:dyDescent="0.2">
      <c r="A70" s="184" t="str">
        <f>CONCATENATE("",E1," State Distribution for Kansas Gas Tax")</f>
        <v>2013 State Distribution for Kansas Gas Tax</v>
      </c>
      <c r="B70" s="185"/>
      <c r="C70" s="185"/>
      <c r="D70" s="186"/>
      <c r="E70" s="187">
        <v>65740</v>
      </c>
      <c r="F70" s="109"/>
    </row>
    <row r="71" spans="1:7" ht="15.75" x14ac:dyDescent="0.2">
      <c r="A71" s="188" t="str">
        <f>CONCATENATE("",E1," County Transfers for Gas**")</f>
        <v>2013 County Transfers for Gas**</v>
      </c>
      <c r="B71" s="189"/>
      <c r="C71" s="189"/>
      <c r="D71" s="190"/>
      <c r="E71" s="117"/>
      <c r="F71" s="109"/>
    </row>
    <row r="72" spans="1:7" ht="15.75" x14ac:dyDescent="0.2">
      <c r="A72" s="188" t="str">
        <f>CONCATENATE("Adjusted ",E1-1," State Distribution for Kansas Gas Tax")</f>
        <v>Adjusted 2012 State Distribution for Kansas Gas Tax</v>
      </c>
      <c r="B72" s="189"/>
      <c r="C72" s="189"/>
      <c r="D72" s="190"/>
      <c r="E72" s="117">
        <v>65240</v>
      </c>
      <c r="F72" s="109"/>
    </row>
    <row r="73" spans="1:7" ht="15.75" x14ac:dyDescent="0.2">
      <c r="A73" s="188" t="str">
        <f>CONCATENATE("Adjusted ",E1-1," County Transfers for Gas**")</f>
        <v>Adjusted 2012 County Transfers for Gas**</v>
      </c>
      <c r="B73" s="189"/>
      <c r="C73" s="189"/>
      <c r="D73" s="190"/>
      <c r="E73" s="117"/>
      <c r="F73" s="109"/>
    </row>
    <row r="74" spans="1:7" x14ac:dyDescent="0.2">
      <c r="A74" s="859" t="s">
        <v>154</v>
      </c>
      <c r="B74" s="845"/>
      <c r="C74" s="845"/>
      <c r="D74" s="845"/>
      <c r="E74" s="845"/>
      <c r="F74" s="860"/>
    </row>
    <row r="75" spans="1:7" x14ac:dyDescent="0.2">
      <c r="A75" s="179" t="s">
        <v>155</v>
      </c>
      <c r="B75" s="179"/>
      <c r="C75" s="179"/>
      <c r="D75" s="179"/>
      <c r="E75" s="179"/>
      <c r="F75" s="109"/>
    </row>
    <row r="76" spans="1:7" x14ac:dyDescent="0.2">
      <c r="A76" s="109"/>
      <c r="B76" s="109"/>
      <c r="C76" s="109"/>
      <c r="D76" s="109"/>
      <c r="E76" s="109"/>
    </row>
    <row r="77" spans="1:7" ht="15.75" x14ac:dyDescent="0.2">
      <c r="A77" s="846" t="str">
        <f>CONCATENATE("From the ",E1-2," Budget Certificate Page")</f>
        <v>From the 2011 Budget Certificate Page</v>
      </c>
      <c r="B77" s="847"/>
      <c r="C77" s="109"/>
      <c r="D77" s="109"/>
      <c r="E77" s="109"/>
    </row>
    <row r="78" spans="1:7" ht="15.75" x14ac:dyDescent="0.2">
      <c r="A78" s="191"/>
      <c r="B78" s="856" t="str">
        <f>CONCATENATE("",E1-2,"        Expenditure Amt Budget Authority")</f>
        <v>2011        Expenditure Amt Budget Authority</v>
      </c>
      <c r="C78" s="854" t="str">
        <f>CONCATENATE("Note: If the ",E1-2," budget was amended, then")</f>
        <v>Note: If the 2011 budget was amended, then</v>
      </c>
      <c r="D78" s="855"/>
      <c r="E78" s="855"/>
    </row>
    <row r="79" spans="1:7" ht="15.75" x14ac:dyDescent="0.2">
      <c r="A79" s="192" t="s">
        <v>193</v>
      </c>
      <c r="B79" s="857"/>
      <c r="C79" s="193" t="s">
        <v>194</v>
      </c>
      <c r="D79" s="194"/>
      <c r="E79" s="194"/>
    </row>
    <row r="80" spans="1:7" ht="15.75" x14ac:dyDescent="0.2">
      <c r="A80" s="195"/>
      <c r="B80" s="853"/>
      <c r="C80" s="193" t="s">
        <v>195</v>
      </c>
      <c r="D80" s="194"/>
      <c r="E80" s="194"/>
      <c r="G80" s="196"/>
    </row>
    <row r="81" spans="1:5" ht="15.75" x14ac:dyDescent="0.2">
      <c r="A81" s="197" t="str">
        <f>inputPrYr!B22</f>
        <v>General</v>
      </c>
      <c r="B81" s="187">
        <v>1616533</v>
      </c>
      <c r="C81" s="193"/>
      <c r="D81" s="194"/>
      <c r="E81" s="194"/>
    </row>
    <row r="82" spans="1:5" ht="15.75" x14ac:dyDescent="0.2">
      <c r="A82" s="197" t="str">
        <f>inputPrYr!B23</f>
        <v>Debt Service</v>
      </c>
      <c r="B82" s="117">
        <v>206399</v>
      </c>
      <c r="C82" s="193"/>
      <c r="D82" s="194"/>
      <c r="E82" s="194"/>
    </row>
    <row r="83" spans="1:5" ht="15.75" x14ac:dyDescent="0.2">
      <c r="A83" s="198" t="str">
        <f>inputPrYr!B24</f>
        <v>Library</v>
      </c>
      <c r="B83" s="117">
        <v>84580</v>
      </c>
      <c r="C83" s="109"/>
      <c r="D83" s="109"/>
      <c r="E83" s="109"/>
    </row>
    <row r="84" spans="1:5" ht="15.75" x14ac:dyDescent="0.2">
      <c r="A84" s="198" t="str">
        <f>inputPrYr!B26</f>
        <v>Employee Benefit</v>
      </c>
      <c r="B84" s="117">
        <v>320900</v>
      </c>
      <c r="C84" s="109"/>
      <c r="D84" s="109"/>
      <c r="E84" s="109"/>
    </row>
    <row r="85" spans="1:5" ht="15.75" x14ac:dyDescent="0.2">
      <c r="A85" s="198" t="str">
        <f>inputPrYr!B27</f>
        <v>Hospital</v>
      </c>
      <c r="B85" s="117">
        <v>6040</v>
      </c>
      <c r="C85" s="109"/>
      <c r="D85" s="109"/>
      <c r="E85" s="109"/>
    </row>
    <row r="86" spans="1:5" ht="15.75" x14ac:dyDescent="0.2">
      <c r="A86" s="198">
        <f>inputPrYr!B28</f>
        <v>0</v>
      </c>
      <c r="B86" s="117"/>
      <c r="C86" s="109"/>
      <c r="D86" s="109"/>
      <c r="E86" s="109"/>
    </row>
    <row r="87" spans="1:5" ht="15.75" x14ac:dyDescent="0.2">
      <c r="A87" s="198">
        <f>inputPrYr!B29</f>
        <v>0</v>
      </c>
      <c r="B87" s="117"/>
      <c r="C87" s="109"/>
      <c r="D87" s="109"/>
      <c r="E87" s="109"/>
    </row>
    <row r="88" spans="1:5" ht="15.75" x14ac:dyDescent="0.2">
      <c r="A88" s="198">
        <f>inputPrYr!B30</f>
        <v>0</v>
      </c>
      <c r="B88" s="117"/>
      <c r="C88" s="109"/>
      <c r="D88" s="109"/>
      <c r="E88" s="109"/>
    </row>
    <row r="89" spans="1:5" ht="15.75" x14ac:dyDescent="0.2">
      <c r="A89" s="198">
        <f>inputPrYr!B31</f>
        <v>0</v>
      </c>
      <c r="B89" s="117"/>
      <c r="C89" s="109"/>
      <c r="D89" s="109"/>
      <c r="E89" s="109"/>
    </row>
    <row r="90" spans="1:5" ht="15.75" x14ac:dyDescent="0.2">
      <c r="A90" s="198">
        <f>inputPrYr!B32</f>
        <v>0</v>
      </c>
      <c r="B90" s="117"/>
      <c r="C90" s="109"/>
      <c r="D90" s="109"/>
      <c r="E90" s="109"/>
    </row>
    <row r="91" spans="1:5" ht="15.75" x14ac:dyDescent="0.2">
      <c r="A91" s="198">
        <f>inputPrYr!B33</f>
        <v>0</v>
      </c>
      <c r="B91" s="117"/>
      <c r="C91" s="109"/>
      <c r="D91" s="109"/>
      <c r="E91" s="109"/>
    </row>
    <row r="92" spans="1:5" ht="15.75" x14ac:dyDescent="0.2">
      <c r="A92" s="198">
        <f>inputPrYr!B34</f>
        <v>0</v>
      </c>
      <c r="B92" s="117"/>
      <c r="C92" s="109"/>
      <c r="D92" s="109"/>
      <c r="E92" s="109"/>
    </row>
    <row r="93" spans="1:5" ht="15.75" x14ac:dyDescent="0.2">
      <c r="A93" s="198">
        <f>inputPrYr!B35</f>
        <v>0</v>
      </c>
      <c r="B93" s="117"/>
      <c r="C93" s="109"/>
      <c r="D93" s="109"/>
      <c r="E93" s="109"/>
    </row>
    <row r="94" spans="1:5" ht="15.75" x14ac:dyDescent="0.2">
      <c r="A94" s="198" t="str">
        <f>inputPrYr!B39</f>
        <v>Special Highway</v>
      </c>
      <c r="B94" s="117">
        <v>76000</v>
      </c>
      <c r="C94" s="109"/>
      <c r="D94" s="109"/>
      <c r="E94" s="109"/>
    </row>
    <row r="95" spans="1:5" ht="15.75" x14ac:dyDescent="0.2">
      <c r="A95" s="198" t="str">
        <f>inputPrYr!B40</f>
        <v>Convention &amp; Tourism</v>
      </c>
      <c r="B95" s="117">
        <v>12000</v>
      </c>
      <c r="C95" s="109"/>
      <c r="D95" s="109"/>
      <c r="E95" s="109"/>
    </row>
    <row r="96" spans="1:5" ht="15.75" x14ac:dyDescent="0.2">
      <c r="A96" s="198" t="str">
        <f>inputPrYr!B41</f>
        <v>Special Park</v>
      </c>
      <c r="B96" s="117">
        <v>20000</v>
      </c>
      <c r="C96" s="109"/>
      <c r="D96" s="109"/>
      <c r="E96" s="109"/>
    </row>
    <row r="97" spans="1:5" ht="15.75" x14ac:dyDescent="0.2">
      <c r="A97" s="198" t="str">
        <f>inputPrYr!B42</f>
        <v>Solid Waste</v>
      </c>
      <c r="B97" s="117">
        <v>220000</v>
      </c>
      <c r="C97" s="109"/>
      <c r="D97" s="109"/>
      <c r="E97" s="109"/>
    </row>
    <row r="98" spans="1:5" ht="15.75" x14ac:dyDescent="0.2">
      <c r="A98" s="198" t="str">
        <f>inputPrYr!B43</f>
        <v>Airport</v>
      </c>
      <c r="B98" s="117">
        <v>140000</v>
      </c>
      <c r="C98" s="109"/>
      <c r="D98" s="109"/>
      <c r="E98" s="109"/>
    </row>
    <row r="99" spans="1:5" ht="15.75" x14ac:dyDescent="0.2">
      <c r="A99" s="198" t="str">
        <f>inputPrYr!B44</f>
        <v>2006 Sales Tax</v>
      </c>
      <c r="B99" s="117">
        <v>111278</v>
      </c>
      <c r="C99" s="109"/>
      <c r="D99" s="109"/>
      <c r="E99" s="109"/>
    </row>
    <row r="100" spans="1:5" ht="15.75" x14ac:dyDescent="0.2">
      <c r="A100" s="198" t="str">
        <f>inputPrYr!B45</f>
        <v>2010 Sales Tax</v>
      </c>
      <c r="B100" s="117">
        <v>110500</v>
      </c>
      <c r="C100" s="109"/>
      <c r="D100" s="109"/>
      <c r="E100" s="109"/>
    </row>
    <row r="101" spans="1:5" ht="15.75" x14ac:dyDescent="0.2">
      <c r="A101" s="198" t="str">
        <f>inputPrYr!B46</f>
        <v>Storm Water</v>
      </c>
      <c r="B101" s="117">
        <v>75000</v>
      </c>
      <c r="C101" s="109"/>
      <c r="D101" s="109"/>
      <c r="E101" s="109"/>
    </row>
    <row r="102" spans="1:5" ht="15.75" x14ac:dyDescent="0.2">
      <c r="A102" s="198">
        <f>inputPrYr!B47</f>
        <v>0</v>
      </c>
      <c r="B102" s="117"/>
      <c r="C102" s="109"/>
      <c r="D102" s="109"/>
      <c r="E102" s="109"/>
    </row>
    <row r="103" spans="1:5" ht="15.75" x14ac:dyDescent="0.2">
      <c r="A103" s="198">
        <f>inputPrYr!B48</f>
        <v>0</v>
      </c>
      <c r="B103" s="117"/>
      <c r="C103" s="109"/>
      <c r="D103" s="109"/>
      <c r="E103" s="109"/>
    </row>
    <row r="104" spans="1:5" ht="15.75" x14ac:dyDescent="0.2">
      <c r="A104" s="198">
        <f>inputPrYr!B49</f>
        <v>0</v>
      </c>
      <c r="B104" s="117"/>
      <c r="C104" s="109"/>
      <c r="D104" s="109"/>
      <c r="E104" s="109"/>
    </row>
    <row r="105" spans="1:5" ht="15.75" x14ac:dyDescent="0.2">
      <c r="A105" s="198">
        <f>inputPrYr!B50</f>
        <v>0</v>
      </c>
      <c r="B105" s="117"/>
      <c r="C105" s="109"/>
      <c r="D105" s="109"/>
      <c r="E105" s="109"/>
    </row>
    <row r="106" spans="1:5" ht="15.75" x14ac:dyDescent="0.2">
      <c r="A106" s="198">
        <f>inputPrYr!B51</f>
        <v>0</v>
      </c>
      <c r="B106" s="117"/>
      <c r="C106" s="109"/>
      <c r="D106" s="109"/>
      <c r="E106" s="109"/>
    </row>
    <row r="107" spans="1:5" ht="15.75" x14ac:dyDescent="0.2">
      <c r="A107" s="198">
        <f>inputPrYr!B52</f>
        <v>0</v>
      </c>
      <c r="B107" s="117"/>
      <c r="C107" s="109"/>
      <c r="D107" s="109"/>
      <c r="E107" s="109"/>
    </row>
    <row r="108" spans="1:5" ht="15.75" x14ac:dyDescent="0.2">
      <c r="A108" s="198">
        <f>inputPrYr!B53</f>
        <v>0</v>
      </c>
      <c r="B108" s="117"/>
      <c r="C108" s="109"/>
      <c r="D108" s="109"/>
      <c r="E108" s="109"/>
    </row>
    <row r="109" spans="1:5" ht="15.75" x14ac:dyDescent="0.2">
      <c r="A109" s="198">
        <f>inputPrYr!B54</f>
        <v>0</v>
      </c>
      <c r="B109" s="117"/>
      <c r="C109" s="109"/>
      <c r="D109" s="109"/>
      <c r="E109" s="109"/>
    </row>
    <row r="110" spans="1:5" ht="15.75" x14ac:dyDescent="0.2">
      <c r="A110" s="198" t="str">
        <f>inputPrYr!B56</f>
        <v>Light</v>
      </c>
      <c r="B110" s="117">
        <v>3112340</v>
      </c>
      <c r="C110" s="109"/>
      <c r="D110" s="109"/>
      <c r="E110" s="109"/>
    </row>
    <row r="111" spans="1:5" ht="15.75" x14ac:dyDescent="0.2">
      <c r="A111" s="198" t="str">
        <f>inputPrYr!B57</f>
        <v>Water</v>
      </c>
      <c r="B111" s="117">
        <v>487647</v>
      </c>
      <c r="C111" s="109"/>
      <c r="D111" s="109"/>
      <c r="E111" s="109"/>
    </row>
    <row r="112" spans="1:5" ht="15.75" x14ac:dyDescent="0.2">
      <c r="A112" s="198" t="str">
        <f>inputPrYr!B58</f>
        <v>Sewer</v>
      </c>
      <c r="B112" s="117">
        <v>253894</v>
      </c>
      <c r="C112" s="109"/>
      <c r="D112" s="109"/>
      <c r="E112" s="109"/>
    </row>
    <row r="113" spans="1:5" ht="15.75" x14ac:dyDescent="0.2">
      <c r="A113" s="198">
        <f>inputPrYr!B59</f>
        <v>0</v>
      </c>
      <c r="B113" s="117"/>
      <c r="C113" s="109"/>
      <c r="D113" s="109"/>
      <c r="E113" s="109"/>
    </row>
  </sheetData>
  <sheetProtection sheet="1"/>
  <mergeCells count="19">
    <mergeCell ref="F7:F9"/>
    <mergeCell ref="A6:F6"/>
    <mergeCell ref="A28:B28"/>
    <mergeCell ref="A16:D16"/>
    <mergeCell ref="A3:E3"/>
    <mergeCell ref="B7:B9"/>
    <mergeCell ref="C7:C9"/>
    <mergeCell ref="D7:D9"/>
    <mergeCell ref="E7:E9"/>
    <mergeCell ref="A77:B77"/>
    <mergeCell ref="A44:D44"/>
    <mergeCell ref="A27:D27"/>
    <mergeCell ref="C53:C54"/>
    <mergeCell ref="C78:E78"/>
    <mergeCell ref="B78:B80"/>
    <mergeCell ref="D53:D54"/>
    <mergeCell ref="A74:F74"/>
    <mergeCell ref="E53:E54"/>
    <mergeCell ref="A54:B54"/>
  </mergeCells>
  <phoneticPr fontId="9" type="noConversion"/>
  <pageMargins left="0.75" right="0.75" top="1" bottom="1" header="0.5" footer="0.5"/>
  <pageSetup scale="3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opLeftCell="A28" workbookViewId="0">
      <selection activeCell="D30" sqref="D30"/>
    </sheetView>
  </sheetViews>
  <sheetFormatPr defaultRowHeight="15" x14ac:dyDescent="0.2"/>
  <cols>
    <col min="1" max="1" width="23.109375" style="835" bestFit="1" customWidth="1"/>
    <col min="2" max="2" width="12.5546875" style="835" bestFit="1" customWidth="1"/>
    <col min="3" max="3" width="15.77734375" style="835" bestFit="1" customWidth="1"/>
    <col min="4" max="4" width="15.88671875" style="835" bestFit="1" customWidth="1"/>
    <col min="5" max="16384" width="8.88671875" style="835"/>
  </cols>
  <sheetData>
    <row r="1" spans="1:4" ht="15.75" x14ac:dyDescent="0.2">
      <c r="A1" s="838" t="s">
        <v>1162</v>
      </c>
      <c r="B1" s="837"/>
      <c r="C1" s="836"/>
      <c r="D1" s="837">
        <v>2013</v>
      </c>
    </row>
    <row r="2" spans="1:4" ht="15.75" x14ac:dyDescent="0.2">
      <c r="A2" s="837"/>
      <c r="B2" s="837"/>
      <c r="C2" s="837"/>
      <c r="D2" s="836"/>
    </row>
    <row r="3" spans="1:4" ht="15.75" x14ac:dyDescent="0.2">
      <c r="A3" s="834"/>
      <c r="B3" s="833"/>
      <c r="C3" s="833"/>
      <c r="D3" s="833"/>
    </row>
    <row r="4" spans="1:4" ht="15.75" x14ac:dyDescent="0.2">
      <c r="A4" s="836" t="s">
        <v>301</v>
      </c>
      <c r="B4" s="832" t="s">
        <v>323</v>
      </c>
      <c r="C4" s="831" t="s">
        <v>83</v>
      </c>
      <c r="D4" s="831" t="s">
        <v>84</v>
      </c>
    </row>
    <row r="5" spans="1:4" ht="15.75" x14ac:dyDescent="0.2">
      <c r="A5" s="830" t="s">
        <v>1163</v>
      </c>
      <c r="B5" s="829">
        <v>2011</v>
      </c>
      <c r="C5" s="829">
        <v>2012</v>
      </c>
      <c r="D5" s="829">
        <v>2013</v>
      </c>
    </row>
    <row r="6" spans="1:4" ht="15.75" x14ac:dyDescent="0.2">
      <c r="A6" s="828" t="s">
        <v>312</v>
      </c>
      <c r="B6" s="827"/>
      <c r="C6" s="827"/>
      <c r="D6" s="827"/>
    </row>
    <row r="7" spans="1:4" ht="15.75" x14ac:dyDescent="0.2">
      <c r="A7" s="826" t="s">
        <v>1059</v>
      </c>
      <c r="B7" s="827"/>
      <c r="C7" s="827"/>
      <c r="D7" s="827"/>
    </row>
    <row r="8" spans="1:4" ht="15.75" x14ac:dyDescent="0.2">
      <c r="A8" s="825" t="s">
        <v>1164</v>
      </c>
      <c r="B8" s="824">
        <v>325795</v>
      </c>
      <c r="C8" s="824">
        <v>337911</v>
      </c>
      <c r="D8" s="824">
        <v>350836</v>
      </c>
    </row>
    <row r="9" spans="1:4" ht="15.75" x14ac:dyDescent="0.2">
      <c r="A9" s="825" t="s">
        <v>1165</v>
      </c>
      <c r="B9" s="824">
        <v>46108</v>
      </c>
      <c r="C9" s="824">
        <v>56000</v>
      </c>
      <c r="D9" s="824">
        <v>55000</v>
      </c>
    </row>
    <row r="10" spans="1:4" ht="15.75" x14ac:dyDescent="0.2">
      <c r="A10" s="825" t="s">
        <v>1093</v>
      </c>
      <c r="B10" s="824">
        <v>23375</v>
      </c>
      <c r="C10" s="824">
        <v>13000</v>
      </c>
      <c r="D10" s="824">
        <v>17394</v>
      </c>
    </row>
    <row r="11" spans="1:4" ht="15.75" x14ac:dyDescent="0.2">
      <c r="A11" s="825" t="s">
        <v>1166</v>
      </c>
      <c r="B11" s="824">
        <v>9943</v>
      </c>
      <c r="C11" s="824">
        <v>20000</v>
      </c>
      <c r="D11" s="824">
        <v>10000</v>
      </c>
    </row>
    <row r="12" spans="1:4" ht="15.75" x14ac:dyDescent="0.2">
      <c r="A12" s="825" t="s">
        <v>1167</v>
      </c>
      <c r="B12" s="824">
        <v>5000</v>
      </c>
      <c r="C12" s="824">
        <v>5500</v>
      </c>
      <c r="D12" s="824">
        <v>5500</v>
      </c>
    </row>
    <row r="13" spans="1:4" ht="15.75" x14ac:dyDescent="0.2">
      <c r="A13" s="823" t="s">
        <v>1182</v>
      </c>
      <c r="B13" s="824">
        <v>6000</v>
      </c>
      <c r="C13" s="824">
        <v>6000</v>
      </c>
      <c r="D13" s="824">
        <v>8500</v>
      </c>
    </row>
    <row r="14" spans="1:4" ht="15.75" x14ac:dyDescent="0.2">
      <c r="A14" s="823"/>
      <c r="B14" s="824"/>
      <c r="C14" s="824"/>
      <c r="D14" s="824"/>
    </row>
    <row r="15" spans="1:4" ht="15.75" x14ac:dyDescent="0.2">
      <c r="A15" s="828" t="s">
        <v>277</v>
      </c>
      <c r="B15" s="822">
        <f>SUM(B7:B14)</f>
        <v>416221</v>
      </c>
      <c r="C15" s="822">
        <f t="shared" ref="C15:D15" si="0">SUM(C7:C14)</f>
        <v>438411</v>
      </c>
      <c r="D15" s="822">
        <f t="shared" si="0"/>
        <v>447230</v>
      </c>
    </row>
    <row r="16" spans="1:4" ht="15.75" x14ac:dyDescent="0.2">
      <c r="A16" s="825" t="s">
        <v>1168</v>
      </c>
      <c r="B16" s="838"/>
      <c r="C16" s="838"/>
      <c r="D16" s="838"/>
    </row>
    <row r="17" spans="1:4" ht="15.75" x14ac:dyDescent="0.2">
      <c r="A17" s="825" t="s">
        <v>1164</v>
      </c>
      <c r="B17" s="824">
        <v>184173</v>
      </c>
      <c r="C17" s="824">
        <v>79500</v>
      </c>
      <c r="D17" s="824">
        <v>0</v>
      </c>
    </row>
    <row r="18" spans="1:4" ht="15.75" x14ac:dyDescent="0.2">
      <c r="A18" s="825" t="s">
        <v>1165</v>
      </c>
      <c r="B18" s="824">
        <v>1384110</v>
      </c>
      <c r="C18" s="824">
        <v>1610150</v>
      </c>
      <c r="D18" s="824">
        <v>1814000</v>
      </c>
    </row>
    <row r="19" spans="1:4" ht="15.75" x14ac:dyDescent="0.2">
      <c r="A19" s="825" t="s">
        <v>1093</v>
      </c>
      <c r="B19" s="824">
        <v>34641</v>
      </c>
      <c r="C19" s="824">
        <v>28900</v>
      </c>
      <c r="D19" s="824">
        <v>9950</v>
      </c>
    </row>
    <row r="20" spans="1:4" ht="15.75" x14ac:dyDescent="0.2">
      <c r="A20" s="825" t="s">
        <v>1166</v>
      </c>
      <c r="B20" s="824">
        <v>0</v>
      </c>
      <c r="C20" s="824">
        <v>5000</v>
      </c>
      <c r="D20" s="824">
        <v>0</v>
      </c>
    </row>
    <row r="21" spans="1:4" ht="15.75" x14ac:dyDescent="0.2">
      <c r="A21" s="825" t="s">
        <v>1169</v>
      </c>
      <c r="B21" s="824">
        <v>10000</v>
      </c>
      <c r="C21" s="824">
        <v>10000</v>
      </c>
      <c r="D21" s="824">
        <v>0</v>
      </c>
    </row>
    <row r="22" spans="1:4" ht="15.75" x14ac:dyDescent="0.2">
      <c r="A22" s="828" t="s">
        <v>277</v>
      </c>
      <c r="B22" s="822">
        <f>SUM(B16:B21)</f>
        <v>1612924</v>
      </c>
      <c r="C22" s="822">
        <f t="shared" ref="C22:D22" si="1">SUM(C16:C21)</f>
        <v>1733550</v>
      </c>
      <c r="D22" s="822">
        <f t="shared" si="1"/>
        <v>1823950</v>
      </c>
    </row>
    <row r="23" spans="1:4" ht="15.75" x14ac:dyDescent="0.2">
      <c r="A23" s="825" t="s">
        <v>1170</v>
      </c>
      <c r="B23" s="838"/>
      <c r="C23" s="838"/>
      <c r="D23" s="838"/>
    </row>
    <row r="24" spans="1:4" ht="15.75" x14ac:dyDescent="0.2">
      <c r="A24" s="825" t="s">
        <v>1164</v>
      </c>
      <c r="B24" s="824">
        <v>336589</v>
      </c>
      <c r="C24" s="824">
        <v>335000</v>
      </c>
      <c r="D24" s="824">
        <v>299000</v>
      </c>
    </row>
    <row r="25" spans="1:4" ht="15.75" x14ac:dyDescent="0.2">
      <c r="A25" s="825" t="s">
        <v>1165</v>
      </c>
      <c r="B25" s="824">
        <f>24771+3556</f>
        <v>28327</v>
      </c>
      <c r="C25" s="824">
        <v>26050</v>
      </c>
      <c r="D25" s="824">
        <v>25075</v>
      </c>
    </row>
    <row r="26" spans="1:4" ht="15.75" x14ac:dyDescent="0.2">
      <c r="A26" s="825" t="s">
        <v>1093</v>
      </c>
      <c r="B26" s="824">
        <v>143022</v>
      </c>
      <c r="C26" s="824">
        <v>145100</v>
      </c>
      <c r="D26" s="824">
        <v>128300</v>
      </c>
    </row>
    <row r="27" spans="1:4" ht="15.75" x14ac:dyDescent="0.2">
      <c r="A27" s="825" t="s">
        <v>1166</v>
      </c>
      <c r="B27" s="824">
        <v>27728</v>
      </c>
      <c r="C27" s="824">
        <v>23800</v>
      </c>
      <c r="D27" s="824">
        <v>500</v>
      </c>
    </row>
    <row r="28" spans="1:4" ht="15.75" x14ac:dyDescent="0.2">
      <c r="A28" s="825" t="s">
        <v>1169</v>
      </c>
      <c r="B28" s="824">
        <v>70000</v>
      </c>
      <c r="C28" s="824">
        <v>60000</v>
      </c>
      <c r="D28" s="824">
        <v>60000</v>
      </c>
    </row>
    <row r="29" spans="1:4" ht="15.75" x14ac:dyDescent="0.2">
      <c r="A29" s="826"/>
      <c r="B29" s="824"/>
      <c r="C29" s="824"/>
      <c r="D29" s="824"/>
    </row>
    <row r="30" spans="1:4" ht="15.75" x14ac:dyDescent="0.2">
      <c r="A30" s="826"/>
      <c r="B30" s="824"/>
      <c r="C30" s="824"/>
      <c r="D30" s="824"/>
    </row>
    <row r="31" spans="1:4" ht="15.75" x14ac:dyDescent="0.2">
      <c r="A31" s="826"/>
      <c r="B31" s="824"/>
      <c r="C31" s="824"/>
      <c r="D31" s="824"/>
    </row>
    <row r="32" spans="1:4" ht="15.75" x14ac:dyDescent="0.2">
      <c r="A32" s="828"/>
      <c r="B32" s="822">
        <f>SUM(B24:B31)</f>
        <v>605666</v>
      </c>
      <c r="C32" s="822">
        <f t="shared" ref="C32:D32" si="2">SUM(C24:C31)</f>
        <v>589950</v>
      </c>
      <c r="D32" s="822">
        <f t="shared" si="2"/>
        <v>512875</v>
      </c>
    </row>
    <row r="33" spans="1:4" ht="15.75" x14ac:dyDescent="0.2">
      <c r="A33" s="821" t="s">
        <v>1171</v>
      </c>
      <c r="B33" s="838"/>
      <c r="C33" s="838"/>
      <c r="D33" s="838"/>
    </row>
    <row r="34" spans="1:4" ht="15.75" x14ac:dyDescent="0.2">
      <c r="A34" s="820" t="s">
        <v>1172</v>
      </c>
      <c r="B34" s="824">
        <v>20198</v>
      </c>
      <c r="C34" s="824">
        <v>25300</v>
      </c>
      <c r="D34" s="824">
        <v>24900</v>
      </c>
    </row>
    <row r="35" spans="1:4" ht="15.75" x14ac:dyDescent="0.2">
      <c r="A35" s="820" t="s">
        <v>1032</v>
      </c>
      <c r="B35" s="824">
        <v>77231</v>
      </c>
      <c r="C35" s="824">
        <v>74300</v>
      </c>
      <c r="D35" s="824">
        <v>76200</v>
      </c>
    </row>
    <row r="36" spans="1:4" ht="15.75" x14ac:dyDescent="0.2">
      <c r="A36" s="820" t="s">
        <v>354</v>
      </c>
      <c r="B36" s="824">
        <v>325000</v>
      </c>
      <c r="C36" s="824">
        <v>10000</v>
      </c>
      <c r="D36" s="824">
        <v>10000</v>
      </c>
    </row>
    <row r="37" spans="1:4" ht="15.75" x14ac:dyDescent="0.2">
      <c r="A37" s="820" t="s">
        <v>1113</v>
      </c>
      <c r="B37" s="824">
        <v>175000</v>
      </c>
      <c r="C37" s="824">
        <v>75000</v>
      </c>
      <c r="D37" s="824">
        <v>75000</v>
      </c>
    </row>
    <row r="38" spans="1:4" ht="15.75" x14ac:dyDescent="0.2">
      <c r="A38" s="820" t="s">
        <v>1101</v>
      </c>
      <c r="B38" s="824">
        <v>25000</v>
      </c>
      <c r="C38" s="818">
        <v>99150</v>
      </c>
      <c r="D38" s="818">
        <v>102925</v>
      </c>
    </row>
    <row r="39" spans="1:4" ht="15.75" x14ac:dyDescent="0.2">
      <c r="A39" s="820" t="s">
        <v>1173</v>
      </c>
      <c r="B39" s="824">
        <v>0</v>
      </c>
      <c r="C39" s="824"/>
      <c r="D39" s="824"/>
    </row>
    <row r="40" spans="1:4" ht="15.75" x14ac:dyDescent="0.2">
      <c r="A40" s="826"/>
      <c r="B40" s="824"/>
      <c r="C40" s="824"/>
      <c r="D40" s="824"/>
    </row>
    <row r="41" spans="1:4" ht="15.75" x14ac:dyDescent="0.2">
      <c r="A41" s="828"/>
      <c r="B41" s="822">
        <f>SUM(B33:B40)</f>
        <v>622429</v>
      </c>
      <c r="C41" s="822">
        <f t="shared" ref="C41:D41" si="3">SUM(C33:C40)</f>
        <v>283750</v>
      </c>
      <c r="D41" s="822">
        <f t="shared" si="3"/>
        <v>289025</v>
      </c>
    </row>
    <row r="42" spans="1:4" ht="15.75" x14ac:dyDescent="0.2">
      <c r="A42" s="821"/>
      <c r="B42" s="838"/>
      <c r="C42" s="824"/>
      <c r="D42" s="824"/>
    </row>
    <row r="43" spans="1:4" ht="15.75" x14ac:dyDescent="0.2">
      <c r="A43" s="826"/>
      <c r="B43" s="824"/>
      <c r="C43" s="824"/>
      <c r="D43" s="824"/>
    </row>
    <row r="44" spans="1:4" ht="15.75" x14ac:dyDescent="0.2">
      <c r="A44" s="826"/>
      <c r="B44" s="824"/>
      <c r="C44" s="824"/>
      <c r="D44" s="824"/>
    </row>
    <row r="45" spans="1:4" ht="15.75" x14ac:dyDescent="0.2">
      <c r="A45" s="828" t="s">
        <v>277</v>
      </c>
      <c r="B45" s="824"/>
      <c r="C45" s="824"/>
      <c r="D45" s="824"/>
    </row>
    <row r="46" spans="1:4" ht="15.75" x14ac:dyDescent="0.2">
      <c r="A46" s="837"/>
      <c r="B46" s="824"/>
      <c r="C46" s="824"/>
      <c r="D46" s="824"/>
    </row>
    <row r="47" spans="1:4" ht="15.75" x14ac:dyDescent="0.2">
      <c r="A47" s="828" t="s">
        <v>321</v>
      </c>
      <c r="B47" s="822">
        <f>+B41+B32+B22+B15</f>
        <v>3257240</v>
      </c>
      <c r="C47" s="822">
        <f t="shared" ref="C47:D47" si="4">+C41+C32+C22+C15</f>
        <v>3045661</v>
      </c>
      <c r="D47" s="822">
        <f t="shared" si="4"/>
        <v>3073080</v>
      </c>
    </row>
    <row r="48" spans="1:4" ht="15.75" x14ac:dyDescent="0.2">
      <c r="A48" s="819"/>
      <c r="B48" s="822"/>
      <c r="C48" s="822"/>
      <c r="D48" s="838"/>
    </row>
    <row r="49" spans="1:3" ht="15.75" x14ac:dyDescent="0.2">
      <c r="A49" s="817" t="s">
        <v>319</v>
      </c>
      <c r="B49" s="838">
        <v>16</v>
      </c>
      <c r="C49" s="838"/>
    </row>
    <row r="50" spans="1:3" ht="15.75" x14ac:dyDescent="0.2">
      <c r="B50" s="838"/>
    </row>
  </sheetData>
  <pageMargins left="0.7" right="0.7" top="0.75" bottom="0.75" header="0.3" footer="0.3"/>
  <pageSetup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topLeftCell="A31" workbookViewId="0">
      <selection activeCell="E26" sqref="E26"/>
    </sheetView>
  </sheetViews>
  <sheetFormatPr defaultRowHeight="15" x14ac:dyDescent="0.2"/>
  <cols>
    <col min="1" max="1" width="2.44140625" style="146" customWidth="1"/>
    <col min="2" max="2" width="31.109375" style="146" customWidth="1"/>
    <col min="3" max="4" width="15.77734375" style="146" customWidth="1"/>
    <col min="5" max="5" width="16.109375" style="146" customWidth="1"/>
    <col min="6" max="16384" width="8.88671875" style="146"/>
  </cols>
  <sheetData>
    <row r="1" spans="2:5" ht="15.75" x14ac:dyDescent="0.2">
      <c r="B1" s="256" t="str">
        <f>(inputPrYr!D3)</f>
        <v>City of Herington</v>
      </c>
      <c r="C1" s="86"/>
      <c r="D1" s="86"/>
      <c r="E1" s="346">
        <f>inputPrYr!$C$10</f>
        <v>2013</v>
      </c>
    </row>
    <row r="2" spans="2:5" ht="15.75" x14ac:dyDescent="0.2">
      <c r="B2" s="86"/>
      <c r="C2" s="86"/>
      <c r="D2" s="86"/>
      <c r="E2" s="230"/>
    </row>
    <row r="3" spans="2:5" ht="15.75" x14ac:dyDescent="0.2">
      <c r="B3" s="347" t="s">
        <v>7</v>
      </c>
      <c r="C3" s="348"/>
      <c r="D3" s="348"/>
      <c r="E3" s="349"/>
    </row>
    <row r="4" spans="2:5" ht="15.75" x14ac:dyDescent="0.2">
      <c r="B4" s="93" t="s">
        <v>301</v>
      </c>
      <c r="C4" s="633" t="s">
        <v>833</v>
      </c>
      <c r="D4" s="634" t="s">
        <v>834</v>
      </c>
      <c r="E4" s="206" t="s">
        <v>835</v>
      </c>
    </row>
    <row r="5" spans="2:5" ht="15.75" x14ac:dyDescent="0.2">
      <c r="B5" s="579" t="str">
        <f>(inputPrYr!B57)</f>
        <v>Water</v>
      </c>
      <c r="C5" s="454" t="str">
        <f>CONCATENATE("Actual for ",E1-2,"")</f>
        <v>Actual for 2011</v>
      </c>
      <c r="D5" s="454" t="str">
        <f>CONCATENATE("Estimate for ",E1-1,"")</f>
        <v>Estimate for 2012</v>
      </c>
      <c r="E5" s="272" t="str">
        <f>CONCATENATE("Year for ",E1,"")</f>
        <v>Year for 2013</v>
      </c>
    </row>
    <row r="6" spans="2:5" ht="15.75" x14ac:dyDescent="0.2">
      <c r="B6" s="169" t="s">
        <v>60</v>
      </c>
      <c r="C6" s="108">
        <v>86251</v>
      </c>
      <c r="D6" s="351">
        <f>C48</f>
        <v>107417</v>
      </c>
      <c r="E6" s="351">
        <f>D48</f>
        <v>48976</v>
      </c>
    </row>
    <row r="7" spans="2:5" ht="15.75" x14ac:dyDescent="0.2">
      <c r="B7" s="352" t="s">
        <v>62</v>
      </c>
      <c r="C7" s="126"/>
      <c r="D7" s="126"/>
      <c r="E7" s="126"/>
    </row>
    <row r="8" spans="2:5" ht="15.75" x14ac:dyDescent="0.2">
      <c r="B8" s="353" t="s">
        <v>1106</v>
      </c>
      <c r="C8" s="108">
        <v>403175</v>
      </c>
      <c r="D8" s="108">
        <v>402000</v>
      </c>
      <c r="E8" s="108">
        <v>580000</v>
      </c>
    </row>
    <row r="9" spans="2:5" ht="15.75" x14ac:dyDescent="0.2">
      <c r="B9" s="353" t="s">
        <v>1107</v>
      </c>
      <c r="C9" s="108">
        <v>5076</v>
      </c>
      <c r="D9" s="108">
        <v>2915</v>
      </c>
      <c r="E9" s="108">
        <v>6690</v>
      </c>
    </row>
    <row r="10" spans="2:5" ht="15.75" x14ac:dyDescent="0.2">
      <c r="B10" s="353" t="s">
        <v>1108</v>
      </c>
      <c r="C10" s="108">
        <v>8229</v>
      </c>
      <c r="D10" s="108">
        <v>7200</v>
      </c>
      <c r="E10" s="108">
        <v>10041</v>
      </c>
    </row>
    <row r="11" spans="2:5" ht="15.75" x14ac:dyDescent="0.2">
      <c r="B11" s="353" t="s">
        <v>1109</v>
      </c>
      <c r="C11" s="108">
        <v>2699</v>
      </c>
      <c r="D11" s="108">
        <v>4100</v>
      </c>
      <c r="E11" s="108">
        <v>6120</v>
      </c>
    </row>
    <row r="12" spans="2:5" ht="15.75" x14ac:dyDescent="0.2">
      <c r="B12" s="353" t="s">
        <v>1032</v>
      </c>
      <c r="C12" s="108">
        <v>13997</v>
      </c>
      <c r="D12" s="108">
        <v>12800</v>
      </c>
      <c r="E12" s="108">
        <v>15582</v>
      </c>
    </row>
    <row r="13" spans="2:5" ht="15.75" x14ac:dyDescent="0.2">
      <c r="B13" s="353" t="s">
        <v>1052</v>
      </c>
      <c r="C13" s="108">
        <v>3549</v>
      </c>
      <c r="D13" s="108">
        <v>2000</v>
      </c>
      <c r="E13" s="108">
        <v>3810</v>
      </c>
    </row>
    <row r="14" spans="2:5" ht="15.75" x14ac:dyDescent="0.2">
      <c r="B14" s="355" t="s">
        <v>1051</v>
      </c>
      <c r="C14" s="117">
        <v>9540</v>
      </c>
      <c r="D14" s="117">
        <v>9500</v>
      </c>
      <c r="E14" s="117">
        <v>11580</v>
      </c>
    </row>
    <row r="15" spans="2:5" ht="15.75" x14ac:dyDescent="0.2">
      <c r="B15" s="353"/>
      <c r="C15" s="108"/>
      <c r="D15" s="108"/>
      <c r="E15" s="108"/>
    </row>
    <row r="16" spans="2:5" ht="15.75" x14ac:dyDescent="0.2">
      <c r="B16" s="356" t="s">
        <v>308</v>
      </c>
      <c r="C16" s="108"/>
      <c r="D16" s="108"/>
      <c r="E16" s="108"/>
    </row>
    <row r="17" spans="2:5" ht="15.75" x14ac:dyDescent="0.2">
      <c r="B17" s="357" t="s">
        <v>198</v>
      </c>
      <c r="C17" s="108">
        <v>1723</v>
      </c>
      <c r="D17" s="350">
        <v>4000</v>
      </c>
      <c r="E17" s="350">
        <v>9560</v>
      </c>
    </row>
    <row r="18" spans="2:5" ht="15.75" x14ac:dyDescent="0.2">
      <c r="B18" s="357" t="s">
        <v>693</v>
      </c>
      <c r="C18" s="566" t="str">
        <f>IF(C19*0.1&lt;C17,"Exceed 10% Rule","")</f>
        <v/>
      </c>
      <c r="D18" s="358" t="str">
        <f>IF(D19*0.1&lt;D17,"Exceed 10% Rule","")</f>
        <v/>
      </c>
      <c r="E18" s="358" t="str">
        <f>IF(E19*0.1&lt;E17,"Exceed 10% Rule","")</f>
        <v/>
      </c>
    </row>
    <row r="19" spans="2:5" ht="15.75" x14ac:dyDescent="0.2">
      <c r="B19" s="359" t="s">
        <v>309</v>
      </c>
      <c r="C19" s="361">
        <f>SUM(C8:C17)</f>
        <v>447988</v>
      </c>
      <c r="D19" s="361">
        <f>SUM(D8:D17)</f>
        <v>444515</v>
      </c>
      <c r="E19" s="361">
        <f>SUM(E8:E17)</f>
        <v>643383</v>
      </c>
    </row>
    <row r="20" spans="2:5" ht="15.75" x14ac:dyDescent="0.2">
      <c r="B20" s="359" t="s">
        <v>310</v>
      </c>
      <c r="C20" s="361">
        <f>C6+C19</f>
        <v>534239</v>
      </c>
      <c r="D20" s="361">
        <f>D6+D19</f>
        <v>551932</v>
      </c>
      <c r="E20" s="361">
        <f>E6+E19</f>
        <v>692359</v>
      </c>
    </row>
    <row r="21" spans="2:5" ht="15.75" x14ac:dyDescent="0.2">
      <c r="B21" s="169" t="s">
        <v>312</v>
      </c>
      <c r="C21" s="126"/>
      <c r="D21" s="126"/>
      <c r="E21" s="126"/>
    </row>
    <row r="22" spans="2:5" ht="15.75" x14ac:dyDescent="0.2">
      <c r="B22" s="353" t="s">
        <v>1059</v>
      </c>
      <c r="C22" s="108">
        <v>36108</v>
      </c>
      <c r="D22" s="108">
        <v>43130</v>
      </c>
      <c r="E22" s="108">
        <v>44298</v>
      </c>
    </row>
    <row r="23" spans="2:5" ht="15.75" x14ac:dyDescent="0.2">
      <c r="B23" s="353" t="s">
        <v>1114</v>
      </c>
      <c r="C23" s="108">
        <v>124127</v>
      </c>
      <c r="D23" s="108">
        <v>149880</v>
      </c>
      <c r="E23" s="108">
        <v>270400</v>
      </c>
    </row>
    <row r="24" spans="2:5" ht="15.75" x14ac:dyDescent="0.2">
      <c r="B24" s="353" t="s">
        <v>1115</v>
      </c>
      <c r="C24" s="117">
        <v>147760</v>
      </c>
      <c r="D24" s="117">
        <v>192250</v>
      </c>
      <c r="E24" s="117">
        <v>240720</v>
      </c>
    </row>
    <row r="25" spans="2:5" ht="15.75" x14ac:dyDescent="0.2">
      <c r="B25" s="353" t="s">
        <v>1116</v>
      </c>
      <c r="C25" s="117">
        <v>22081</v>
      </c>
      <c r="D25" s="117">
        <v>20950</v>
      </c>
      <c r="E25" s="117">
        <v>21600</v>
      </c>
    </row>
    <row r="26" spans="2:5" ht="15.75" x14ac:dyDescent="0.2">
      <c r="B26" s="353" t="s">
        <v>1117</v>
      </c>
      <c r="C26" s="117">
        <v>10000</v>
      </c>
      <c r="D26" s="117">
        <v>10000</v>
      </c>
      <c r="E26" s="117">
        <v>20000</v>
      </c>
    </row>
    <row r="27" spans="2:5" ht="15.75" x14ac:dyDescent="0.2">
      <c r="B27" s="353" t="s">
        <v>1120</v>
      </c>
      <c r="C27" s="117">
        <v>86746</v>
      </c>
      <c r="D27" s="117">
        <v>86746</v>
      </c>
      <c r="E27" s="117">
        <v>86746</v>
      </c>
    </row>
    <row r="28" spans="2:5" ht="15.75" x14ac:dyDescent="0.2">
      <c r="B28" s="353"/>
      <c r="C28" s="117"/>
      <c r="D28" s="117"/>
      <c r="E28" s="117"/>
    </row>
    <row r="29" spans="2:5" ht="15.75" x14ac:dyDescent="0.2">
      <c r="B29" s="353"/>
      <c r="C29" s="117"/>
      <c r="D29" s="117"/>
      <c r="E29" s="117"/>
    </row>
    <row r="30" spans="2:5" ht="15.75" x14ac:dyDescent="0.2">
      <c r="B30" s="353"/>
      <c r="C30" s="117"/>
      <c r="D30" s="117"/>
      <c r="E30" s="117"/>
    </row>
    <row r="31" spans="2:5" ht="15.75" x14ac:dyDescent="0.2">
      <c r="B31" s="353"/>
      <c r="C31" s="117"/>
      <c r="D31" s="117"/>
      <c r="E31" s="117"/>
    </row>
    <row r="32" spans="2:5" ht="15.75" x14ac:dyDescent="0.2">
      <c r="B32" s="353"/>
      <c r="C32" s="117"/>
      <c r="D32" s="117"/>
      <c r="E32" s="117"/>
    </row>
    <row r="33" spans="2:5" ht="15.75" x14ac:dyDescent="0.2">
      <c r="B33" s="353"/>
      <c r="C33" s="117"/>
      <c r="D33" s="117"/>
      <c r="E33" s="117"/>
    </row>
    <row r="34" spans="2:5" ht="15.75" x14ac:dyDescent="0.2">
      <c r="B34" s="353"/>
      <c r="C34" s="117"/>
      <c r="D34" s="117"/>
      <c r="E34" s="117"/>
    </row>
    <row r="35" spans="2:5" ht="15.75" x14ac:dyDescent="0.2">
      <c r="B35" s="353"/>
      <c r="C35" s="108"/>
      <c r="D35" s="108"/>
      <c r="E35" s="108"/>
    </row>
    <row r="36" spans="2:5" ht="15.75" x14ac:dyDescent="0.2">
      <c r="B36" s="353"/>
      <c r="C36" s="108"/>
      <c r="D36" s="108"/>
      <c r="E36" s="108"/>
    </row>
    <row r="37" spans="2:5" ht="15.75" x14ac:dyDescent="0.2">
      <c r="B37" s="353"/>
      <c r="C37" s="108"/>
      <c r="D37" s="108"/>
      <c r="E37" s="108"/>
    </row>
    <row r="38" spans="2:5" ht="15.75" x14ac:dyDescent="0.2">
      <c r="B38" s="353"/>
      <c r="C38" s="108"/>
      <c r="D38" s="108"/>
      <c r="E38" s="108"/>
    </row>
    <row r="39" spans="2:5" ht="15.75" x14ac:dyDescent="0.2">
      <c r="B39" s="353"/>
      <c r="C39" s="108"/>
      <c r="D39" s="108"/>
      <c r="E39" s="108"/>
    </row>
    <row r="40" spans="2:5" ht="15.75" x14ac:dyDescent="0.2">
      <c r="B40" s="353"/>
      <c r="C40" s="108"/>
      <c r="D40" s="108"/>
      <c r="E40" s="108"/>
    </row>
    <row r="41" spans="2:5" ht="15.75" x14ac:dyDescent="0.2">
      <c r="B41" s="353"/>
      <c r="C41" s="108"/>
      <c r="D41" s="108"/>
      <c r="E41" s="108"/>
    </row>
    <row r="42" spans="2:5" ht="15.75" x14ac:dyDescent="0.2">
      <c r="B42" s="353"/>
      <c r="C42" s="108"/>
      <c r="D42" s="108"/>
      <c r="E42" s="108"/>
    </row>
    <row r="43" spans="2:5" ht="15.75" x14ac:dyDescent="0.2">
      <c r="B43" s="353"/>
      <c r="C43" s="108"/>
      <c r="D43" s="108"/>
      <c r="E43" s="108"/>
    </row>
    <row r="44" spans="2:5" ht="15.75" x14ac:dyDescent="0.2">
      <c r="B44" s="353"/>
      <c r="C44" s="108"/>
      <c r="D44" s="108"/>
      <c r="E44" s="108"/>
    </row>
    <row r="45" spans="2:5" ht="15.75" x14ac:dyDescent="0.2">
      <c r="B45" s="357" t="s">
        <v>198</v>
      </c>
      <c r="C45" s="108"/>
      <c r="D45" s="350"/>
      <c r="E45" s="350"/>
    </row>
    <row r="46" spans="2:5" ht="15.75" x14ac:dyDescent="0.2">
      <c r="B46" s="357" t="s">
        <v>692</v>
      </c>
      <c r="C46" s="566" t="str">
        <f>IF(C47*0.1&lt;C45,"Exceed 10% Rule","")</f>
        <v/>
      </c>
      <c r="D46" s="358" t="str">
        <f>IF(D47*0.1&lt;D45,"Exceed 10% Rule","")</f>
        <v/>
      </c>
      <c r="E46" s="358" t="str">
        <f>IF(E47*0.1&lt;E45,"Exceed 10% Rule","")</f>
        <v/>
      </c>
    </row>
    <row r="47" spans="2:5" ht="15.75" x14ac:dyDescent="0.2">
      <c r="B47" s="359" t="s">
        <v>316</v>
      </c>
      <c r="C47" s="361">
        <f>SUM(C22:C45)</f>
        <v>426822</v>
      </c>
      <c r="D47" s="361">
        <f>SUM(D22:D45)</f>
        <v>502956</v>
      </c>
      <c r="E47" s="361">
        <f>SUM(E22:E45)</f>
        <v>683764</v>
      </c>
    </row>
    <row r="48" spans="2:5" ht="15.75" x14ac:dyDescent="0.2">
      <c r="B48" s="169" t="s">
        <v>61</v>
      </c>
      <c r="C48" s="121">
        <f>C20-C47</f>
        <v>107417</v>
      </c>
      <c r="D48" s="121">
        <f>D20-D47</f>
        <v>48976</v>
      </c>
      <c r="E48" s="121">
        <f>E20-E47</f>
        <v>8595</v>
      </c>
    </row>
    <row r="49" spans="2:5" ht="15.75" x14ac:dyDescent="0.2">
      <c r="B49" s="199" t="str">
        <f>CONCATENATE("",E1-2,"/",E1-1," Budget Authority Amount:")</f>
        <v>2011/2012 Budget Authority Amount:</v>
      </c>
      <c r="C49" s="307">
        <f>inputOth!B111</f>
        <v>487647</v>
      </c>
      <c r="D49" s="307">
        <f>inputPrYr!D57</f>
        <v>502956</v>
      </c>
      <c r="E49" s="564" t="str">
        <f>IF(E48&lt;0,"See Tab E","")</f>
        <v/>
      </c>
    </row>
    <row r="50" spans="2:5" ht="15.75" x14ac:dyDescent="0.2">
      <c r="B50" s="199"/>
      <c r="C50" s="363" t="str">
        <f>IF(C47&gt;C49,"See Tab A","")</f>
        <v/>
      </c>
      <c r="D50" s="363" t="str">
        <f>IF(D47&gt;D49,"See Tab C","")</f>
        <v/>
      </c>
      <c r="E50" s="109"/>
    </row>
    <row r="51" spans="2:5" ht="15.75" x14ac:dyDescent="0.2">
      <c r="B51" s="199"/>
      <c r="C51" s="363" t="str">
        <f>IF(C48&lt;0,"See Tab B","")</f>
        <v/>
      </c>
      <c r="D51" s="363" t="str">
        <f>IF(D48&lt;0,"See Tab D","")</f>
        <v/>
      </c>
      <c r="E51" s="109"/>
    </row>
    <row r="52" spans="2:5" x14ac:dyDescent="0.2">
      <c r="B52" s="109"/>
      <c r="C52" s="109"/>
      <c r="D52" s="109"/>
      <c r="E52" s="109"/>
    </row>
    <row r="53" spans="2:5" ht="15.75" x14ac:dyDescent="0.2">
      <c r="B53" s="199" t="s">
        <v>319</v>
      </c>
      <c r="C53" s="301">
        <v>17</v>
      </c>
      <c r="D53" s="109"/>
      <c r="E53" s="109"/>
    </row>
  </sheetData>
  <sheetProtection sheet="1"/>
  <phoneticPr fontId="9"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E48 C48">
    <cfRule type="cellIs" dxfId="23" priority="8" stopIfTrue="1" operator="lessThan">
      <formula>0</formula>
    </cfRule>
  </conditionalFormatting>
  <conditionalFormatting sqref="C47">
    <cfRule type="cellIs" dxfId="22" priority="9" stopIfTrue="1" operator="greaterThan">
      <formula>$C$49</formula>
    </cfRule>
  </conditionalFormatting>
  <conditionalFormatting sqref="D47">
    <cfRule type="cellIs" dxfId="21" priority="10" stopIfTrue="1" operator="greaterThan">
      <formula>$D$49</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opLeftCell="A23" workbookViewId="0">
      <selection activeCell="F44" sqref="F44"/>
    </sheetView>
  </sheetViews>
  <sheetFormatPr defaultRowHeight="15" x14ac:dyDescent="0.2"/>
  <cols>
    <col min="1" max="1" width="23.109375" style="835" bestFit="1" customWidth="1"/>
    <col min="2" max="2" width="12.5546875" style="809" bestFit="1" customWidth="1"/>
    <col min="3" max="3" width="15.77734375" style="809" bestFit="1" customWidth="1"/>
    <col min="4" max="4" width="15.88671875" style="809" bestFit="1" customWidth="1"/>
    <col min="5" max="16384" width="8.88671875" style="835"/>
  </cols>
  <sheetData>
    <row r="1" spans="1:4" ht="15.75" x14ac:dyDescent="0.2">
      <c r="A1" s="836" t="s">
        <v>301</v>
      </c>
      <c r="B1" s="813"/>
      <c r="C1" s="813"/>
      <c r="D1" s="813"/>
    </row>
    <row r="2" spans="1:4" ht="15.75" x14ac:dyDescent="0.2">
      <c r="A2" s="830" t="s">
        <v>1174</v>
      </c>
      <c r="B2" s="812" t="s">
        <v>323</v>
      </c>
      <c r="C2" s="811" t="s">
        <v>83</v>
      </c>
      <c r="D2" s="811" t="s">
        <v>84</v>
      </c>
    </row>
    <row r="3" spans="1:4" ht="15.75" x14ac:dyDescent="0.2">
      <c r="A3" s="816" t="s">
        <v>312</v>
      </c>
      <c r="B3" s="810">
        <v>2011</v>
      </c>
      <c r="C3" s="810">
        <v>2012</v>
      </c>
      <c r="D3" s="810">
        <v>2013</v>
      </c>
    </row>
    <row r="4" spans="1:4" ht="15.75" x14ac:dyDescent="0.2">
      <c r="A4" s="815" t="s">
        <v>1059</v>
      </c>
      <c r="B4" s="827"/>
      <c r="C4" s="827"/>
      <c r="D4" s="827"/>
    </row>
    <row r="5" spans="1:4" ht="15.75" x14ac:dyDescent="0.2">
      <c r="A5" s="825" t="s">
        <v>1164</v>
      </c>
      <c r="B5" s="827">
        <v>14153</v>
      </c>
      <c r="C5" s="827">
        <v>14930</v>
      </c>
      <c r="D5" s="827">
        <v>15208</v>
      </c>
    </row>
    <row r="6" spans="1:4" ht="15.75" x14ac:dyDescent="0.2">
      <c r="A6" s="825" t="s">
        <v>1165</v>
      </c>
      <c r="B6" s="824">
        <v>16891</v>
      </c>
      <c r="C6" s="824">
        <v>17800</v>
      </c>
      <c r="D6" s="824">
        <v>19890</v>
      </c>
    </row>
    <row r="7" spans="1:4" ht="15.75" x14ac:dyDescent="0.2">
      <c r="A7" s="825" t="s">
        <v>1093</v>
      </c>
      <c r="B7" s="824">
        <v>1064</v>
      </c>
      <c r="C7" s="824">
        <v>5400</v>
      </c>
      <c r="D7" s="824">
        <v>3200</v>
      </c>
    </row>
    <row r="8" spans="1:4" ht="15.75" x14ac:dyDescent="0.2">
      <c r="A8" s="825" t="s">
        <v>1166</v>
      </c>
      <c r="B8" s="824">
        <v>4000</v>
      </c>
      <c r="C8" s="824">
        <v>5000</v>
      </c>
      <c r="D8" s="824">
        <v>6000</v>
      </c>
    </row>
    <row r="9" spans="1:4" ht="15.75" x14ac:dyDescent="0.2">
      <c r="A9" s="825"/>
      <c r="B9" s="824"/>
      <c r="C9" s="824"/>
      <c r="D9" s="824"/>
    </row>
    <row r="10" spans="1:4" ht="15.75" x14ac:dyDescent="0.2">
      <c r="A10" s="814"/>
      <c r="B10" s="824"/>
      <c r="C10" s="824"/>
      <c r="D10" s="824"/>
    </row>
    <row r="11" spans="1:4" ht="15.75" x14ac:dyDescent="0.2">
      <c r="A11" s="814"/>
      <c r="B11" s="824"/>
      <c r="C11" s="824"/>
      <c r="D11" s="824"/>
    </row>
    <row r="12" spans="1:4" ht="15.75" x14ac:dyDescent="0.2">
      <c r="A12" s="816" t="s">
        <v>277</v>
      </c>
      <c r="B12" s="824">
        <v>36108</v>
      </c>
      <c r="C12" s="824">
        <v>43130</v>
      </c>
      <c r="D12" s="824">
        <v>44298</v>
      </c>
    </row>
    <row r="13" spans="1:4" ht="15.75" x14ac:dyDescent="0.2">
      <c r="A13" s="825" t="s">
        <v>1168</v>
      </c>
      <c r="B13" s="822"/>
      <c r="C13" s="822"/>
      <c r="D13" s="822"/>
    </row>
    <row r="14" spans="1:4" ht="15.75" x14ac:dyDescent="0.2">
      <c r="A14" s="825" t="s">
        <v>1164</v>
      </c>
      <c r="B14" s="827">
        <v>40530</v>
      </c>
      <c r="C14" s="827">
        <v>38230</v>
      </c>
      <c r="D14" s="827">
        <v>123400</v>
      </c>
    </row>
    <row r="15" spans="1:4" ht="15.75" x14ac:dyDescent="0.2">
      <c r="A15" s="825" t="s">
        <v>1165</v>
      </c>
      <c r="B15" s="824">
        <v>4156</v>
      </c>
      <c r="C15" s="824">
        <v>8500</v>
      </c>
      <c r="D15" s="824">
        <v>9450</v>
      </c>
    </row>
    <row r="16" spans="1:4" ht="15.75" x14ac:dyDescent="0.2">
      <c r="A16" s="825" t="s">
        <v>1093</v>
      </c>
      <c r="B16" s="824">
        <v>72704</v>
      </c>
      <c r="C16" s="824">
        <v>69950</v>
      </c>
      <c r="D16" s="824">
        <v>75450</v>
      </c>
    </row>
    <row r="17" spans="1:4" ht="15.75" x14ac:dyDescent="0.2">
      <c r="A17" s="825" t="s">
        <v>1166</v>
      </c>
      <c r="B17" s="824">
        <v>6737</v>
      </c>
      <c r="C17" s="824">
        <v>33200</v>
      </c>
      <c r="D17" s="824">
        <v>62100</v>
      </c>
    </row>
    <row r="18" spans="1:4" ht="15.75" x14ac:dyDescent="0.2">
      <c r="A18" s="825" t="s">
        <v>1169</v>
      </c>
      <c r="B18" s="824"/>
      <c r="C18" s="824"/>
      <c r="D18" s="824"/>
    </row>
    <row r="19" spans="1:4" ht="15.75" x14ac:dyDescent="0.2">
      <c r="A19" s="816" t="s">
        <v>277</v>
      </c>
      <c r="B19" s="824">
        <v>124127</v>
      </c>
      <c r="C19" s="824">
        <v>149880</v>
      </c>
      <c r="D19" s="824">
        <v>270400</v>
      </c>
    </row>
    <row r="20" spans="1:4" ht="15.75" x14ac:dyDescent="0.2">
      <c r="A20" s="825" t="s">
        <v>1175</v>
      </c>
      <c r="B20" s="822"/>
      <c r="C20" s="822"/>
      <c r="D20" s="822"/>
    </row>
    <row r="21" spans="1:4" ht="15.75" x14ac:dyDescent="0.2">
      <c r="A21" s="825" t="s">
        <v>1164</v>
      </c>
      <c r="B21" s="827">
        <v>65636</v>
      </c>
      <c r="C21" s="827">
        <v>62600</v>
      </c>
      <c r="D21" s="827">
        <v>124520</v>
      </c>
    </row>
    <row r="22" spans="1:4" ht="15.75" x14ac:dyDescent="0.2">
      <c r="A22" s="825" t="s">
        <v>1165</v>
      </c>
      <c r="B22" s="824">
        <v>8381</v>
      </c>
      <c r="C22" s="824">
        <v>21350</v>
      </c>
      <c r="D22" s="824">
        <v>14400</v>
      </c>
    </row>
    <row r="23" spans="1:4" ht="15.75" x14ac:dyDescent="0.2">
      <c r="A23" s="825" t="s">
        <v>1093</v>
      </c>
      <c r="B23" s="824">
        <v>71818</v>
      </c>
      <c r="C23" s="824">
        <v>76600</v>
      </c>
      <c r="D23" s="824">
        <v>76800</v>
      </c>
    </row>
    <row r="24" spans="1:4" ht="15.75" x14ac:dyDescent="0.2">
      <c r="A24" s="825" t="s">
        <v>1166</v>
      </c>
      <c r="B24" s="824">
        <v>11925</v>
      </c>
      <c r="C24" s="824">
        <v>31700</v>
      </c>
      <c r="D24" s="824">
        <v>25000</v>
      </c>
    </row>
    <row r="25" spans="1:4" ht="15.75" x14ac:dyDescent="0.2">
      <c r="A25" s="825" t="s">
        <v>1071</v>
      </c>
      <c r="B25" s="824"/>
      <c r="C25" s="824">
        <v>10000</v>
      </c>
      <c r="D25" s="824">
        <v>20000</v>
      </c>
    </row>
    <row r="26" spans="1:4" ht="15.75" x14ac:dyDescent="0.2">
      <c r="A26" s="815" t="s">
        <v>277</v>
      </c>
      <c r="B26" s="824">
        <v>157760</v>
      </c>
      <c r="C26" s="824">
        <v>202250</v>
      </c>
      <c r="D26" s="824">
        <v>260720</v>
      </c>
    </row>
    <row r="27" spans="1:4" ht="15.75" x14ac:dyDescent="0.2">
      <c r="A27" s="815"/>
      <c r="B27" s="824"/>
      <c r="C27" s="824"/>
      <c r="D27" s="824"/>
    </row>
    <row r="28" spans="1:4" ht="15.75" x14ac:dyDescent="0.2">
      <c r="A28" s="815"/>
      <c r="B28" s="824"/>
      <c r="C28" s="824"/>
      <c r="D28" s="824"/>
    </row>
    <row r="29" spans="1:4" ht="15.75" x14ac:dyDescent="0.2">
      <c r="A29" s="816"/>
      <c r="B29" s="824"/>
      <c r="C29" s="824"/>
      <c r="D29" s="824"/>
    </row>
    <row r="30" spans="1:4" ht="15.75" x14ac:dyDescent="0.2">
      <c r="A30" s="821" t="s">
        <v>1176</v>
      </c>
      <c r="B30" s="822"/>
      <c r="C30" s="822"/>
      <c r="D30" s="822"/>
    </row>
    <row r="31" spans="1:4" ht="15.75" x14ac:dyDescent="0.2">
      <c r="A31" s="820" t="s">
        <v>1172</v>
      </c>
      <c r="B31" s="827">
        <v>4121</v>
      </c>
      <c r="C31" s="827">
        <v>4800</v>
      </c>
      <c r="D31" s="827">
        <v>4800</v>
      </c>
    </row>
    <row r="32" spans="1:4" ht="15.75" x14ac:dyDescent="0.2">
      <c r="A32" s="820" t="s">
        <v>1032</v>
      </c>
      <c r="B32" s="824">
        <v>13980</v>
      </c>
      <c r="C32" s="824">
        <v>10450</v>
      </c>
      <c r="D32" s="824">
        <v>11000</v>
      </c>
    </row>
    <row r="33" spans="1:4" ht="15.75" x14ac:dyDescent="0.2">
      <c r="A33" s="820" t="s">
        <v>354</v>
      </c>
      <c r="B33" s="824">
        <v>0</v>
      </c>
      <c r="C33" s="824">
        <v>1000</v>
      </c>
      <c r="D33" s="824">
        <v>1000</v>
      </c>
    </row>
    <row r="34" spans="1:4" ht="15.75" x14ac:dyDescent="0.2">
      <c r="A34" s="820" t="s">
        <v>1177</v>
      </c>
      <c r="B34" s="824">
        <v>3980</v>
      </c>
      <c r="C34" s="824">
        <v>4700</v>
      </c>
      <c r="D34" s="824">
        <v>4800</v>
      </c>
    </row>
    <row r="35" spans="1:4" ht="15.75" x14ac:dyDescent="0.2">
      <c r="A35" s="820" t="s">
        <v>1178</v>
      </c>
      <c r="B35" s="824">
        <v>86746</v>
      </c>
      <c r="C35" s="824">
        <v>86746</v>
      </c>
      <c r="D35" s="824">
        <v>86746</v>
      </c>
    </row>
    <row r="36" spans="1:4" ht="15.75" x14ac:dyDescent="0.2">
      <c r="A36" s="820"/>
      <c r="B36" s="824"/>
      <c r="C36" s="824"/>
      <c r="D36" s="824"/>
    </row>
    <row r="37" spans="1:4" ht="15.75" x14ac:dyDescent="0.2">
      <c r="A37" s="815"/>
      <c r="B37" s="824"/>
      <c r="C37" s="824"/>
      <c r="D37" s="824"/>
    </row>
    <row r="38" spans="1:4" ht="15.75" x14ac:dyDescent="0.2">
      <c r="A38" s="816"/>
      <c r="B38" s="824"/>
      <c r="C38" s="824"/>
      <c r="D38" s="824"/>
    </row>
    <row r="39" spans="1:4" ht="15.75" x14ac:dyDescent="0.2">
      <c r="A39" s="821" t="s">
        <v>277</v>
      </c>
      <c r="B39" s="822">
        <v>108827</v>
      </c>
      <c r="C39" s="822">
        <v>107696</v>
      </c>
      <c r="D39" s="822">
        <v>108346</v>
      </c>
    </row>
    <row r="40" spans="1:4" ht="15.75" x14ac:dyDescent="0.2">
      <c r="A40" s="816"/>
      <c r="B40" s="827"/>
      <c r="C40" s="827"/>
      <c r="D40" s="827"/>
    </row>
    <row r="41" spans="1:4" ht="15.75" x14ac:dyDescent="0.2">
      <c r="A41" s="837"/>
      <c r="B41" s="824">
        <v>426822</v>
      </c>
      <c r="C41" s="824">
        <v>502956</v>
      </c>
      <c r="D41" s="824">
        <v>683764</v>
      </c>
    </row>
    <row r="42" spans="1:4" ht="15.75" x14ac:dyDescent="0.2">
      <c r="A42" s="816"/>
      <c r="B42" s="824"/>
      <c r="C42" s="824"/>
      <c r="D42" s="824"/>
    </row>
    <row r="43" spans="1:4" ht="15.75" x14ac:dyDescent="0.2">
      <c r="A43" s="819" t="s">
        <v>321</v>
      </c>
      <c r="B43" s="824">
        <f>+B41</f>
        <v>426822</v>
      </c>
      <c r="C43" s="824">
        <f t="shared" ref="C43" si="0">+C41</f>
        <v>502956</v>
      </c>
      <c r="D43" s="824">
        <v>683764</v>
      </c>
    </row>
    <row r="45" spans="1:4" x14ac:dyDescent="0.2">
      <c r="C45" s="809" t="s">
        <v>1179</v>
      </c>
    </row>
  </sheetData>
  <pageMargins left="0.7" right="0.7" top="0.75" bottom="0.75" header="0.3" footer="0.3"/>
  <pageSetup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E28" sqref="E28"/>
    </sheetView>
  </sheetViews>
  <sheetFormatPr defaultRowHeight="15" x14ac:dyDescent="0.2"/>
  <cols>
    <col min="1" max="1" width="2.44140625" style="146" customWidth="1"/>
    <col min="2" max="2" width="31.109375" style="146" customWidth="1"/>
    <col min="3" max="4" width="15.77734375" style="146" customWidth="1"/>
    <col min="5" max="5" width="16.109375" style="146" customWidth="1"/>
    <col min="6" max="16384" width="8.88671875" style="146"/>
  </cols>
  <sheetData>
    <row r="1" spans="2:5" ht="15.75" x14ac:dyDescent="0.2">
      <c r="B1" s="256" t="str">
        <f>(inputPrYr!D3)</f>
        <v>City of Herington</v>
      </c>
      <c r="C1" s="86"/>
      <c r="D1" s="86"/>
      <c r="E1" s="346">
        <f>inputPrYr!$C$10</f>
        <v>2013</v>
      </c>
    </row>
    <row r="2" spans="2:5" ht="15.75" x14ac:dyDescent="0.2">
      <c r="B2" s="86"/>
      <c r="C2" s="86"/>
      <c r="D2" s="86"/>
      <c r="E2" s="230"/>
    </row>
    <row r="3" spans="2:5" ht="15.75" x14ac:dyDescent="0.2">
      <c r="B3" s="347" t="s">
        <v>7</v>
      </c>
      <c r="C3" s="348"/>
      <c r="D3" s="348"/>
      <c r="E3" s="349"/>
    </row>
    <row r="4" spans="2:5" ht="15.75" x14ac:dyDescent="0.2">
      <c r="B4" s="93" t="s">
        <v>301</v>
      </c>
      <c r="C4" s="633" t="s">
        <v>833</v>
      </c>
      <c r="D4" s="634" t="s">
        <v>834</v>
      </c>
      <c r="E4" s="206" t="s">
        <v>835</v>
      </c>
    </row>
    <row r="5" spans="2:5" ht="15.75" x14ac:dyDescent="0.2">
      <c r="B5" s="579" t="str">
        <f>(inputPrYr!B58)</f>
        <v>Sewer</v>
      </c>
      <c r="C5" s="454" t="str">
        <f>CONCATENATE("Actual for ",E1-2,"")</f>
        <v>Actual for 2011</v>
      </c>
      <c r="D5" s="454" t="str">
        <f>CONCATENATE("Estimate for ",E1-1,"")</f>
        <v>Estimate for 2012</v>
      </c>
      <c r="E5" s="272" t="str">
        <f>CONCATENATE("Year for ",E1,"")</f>
        <v>Year for 2013</v>
      </c>
    </row>
    <row r="6" spans="2:5" ht="15.75" x14ac:dyDescent="0.2">
      <c r="B6" s="169" t="s">
        <v>60</v>
      </c>
      <c r="C6" s="108">
        <v>77367</v>
      </c>
      <c r="D6" s="351">
        <f>C48</f>
        <v>76390</v>
      </c>
      <c r="E6" s="351">
        <f>D48</f>
        <v>46021</v>
      </c>
    </row>
    <row r="7" spans="2:5" ht="15.75" x14ac:dyDescent="0.2">
      <c r="B7" s="352" t="s">
        <v>62</v>
      </c>
      <c r="C7" s="126"/>
      <c r="D7" s="126"/>
      <c r="E7" s="126"/>
    </row>
    <row r="8" spans="2:5" ht="15.75" x14ac:dyDescent="0.2">
      <c r="B8" s="353" t="s">
        <v>1097</v>
      </c>
      <c r="C8" s="108">
        <v>210535</v>
      </c>
      <c r="D8" s="108">
        <v>212000</v>
      </c>
      <c r="E8" s="108">
        <v>227000</v>
      </c>
    </row>
    <row r="9" spans="2:5" ht="15.75" x14ac:dyDescent="0.2">
      <c r="B9" s="353" t="s">
        <v>1052</v>
      </c>
      <c r="C9" s="108">
        <v>469</v>
      </c>
      <c r="D9" s="108">
        <v>800</v>
      </c>
      <c r="E9" s="108">
        <v>500</v>
      </c>
    </row>
    <row r="10" spans="2:5" ht="15.75" x14ac:dyDescent="0.2">
      <c r="B10" s="353" t="s">
        <v>1118</v>
      </c>
      <c r="C10" s="108">
        <v>1642</v>
      </c>
      <c r="D10" s="108">
        <v>900</v>
      </c>
      <c r="E10" s="108">
        <v>612</v>
      </c>
    </row>
    <row r="11" spans="2:5" ht="15.75" x14ac:dyDescent="0.2">
      <c r="B11" s="353"/>
      <c r="C11" s="108"/>
      <c r="D11" s="108"/>
      <c r="E11" s="108"/>
    </row>
    <row r="12" spans="2:5" ht="15.75" x14ac:dyDescent="0.2">
      <c r="B12" s="353"/>
      <c r="C12" s="108"/>
      <c r="D12" s="108"/>
      <c r="E12" s="108"/>
    </row>
    <row r="13" spans="2:5" ht="15.75" x14ac:dyDescent="0.2">
      <c r="B13" s="353"/>
      <c r="C13" s="108"/>
      <c r="D13" s="108"/>
      <c r="E13" s="108"/>
    </row>
    <row r="14" spans="2:5" ht="15.75" x14ac:dyDescent="0.2">
      <c r="B14" s="355"/>
      <c r="C14" s="117"/>
      <c r="D14" s="117"/>
      <c r="E14" s="117"/>
    </row>
    <row r="15" spans="2:5" ht="15.75" x14ac:dyDescent="0.2">
      <c r="B15" s="353"/>
      <c r="C15" s="108"/>
      <c r="D15" s="108"/>
      <c r="E15" s="108"/>
    </row>
    <row r="16" spans="2:5" ht="15.75" x14ac:dyDescent="0.2">
      <c r="B16" s="356" t="s">
        <v>308</v>
      </c>
      <c r="C16" s="108"/>
      <c r="D16" s="108"/>
      <c r="E16" s="108"/>
    </row>
    <row r="17" spans="2:5" ht="15.75" x14ac:dyDescent="0.2">
      <c r="B17" s="357" t="s">
        <v>198</v>
      </c>
      <c r="C17" s="108">
        <v>938</v>
      </c>
      <c r="D17" s="350">
        <v>1500</v>
      </c>
      <c r="E17" s="350">
        <v>1600</v>
      </c>
    </row>
    <row r="18" spans="2:5" ht="15.75" x14ac:dyDescent="0.2">
      <c r="B18" s="357" t="s">
        <v>693</v>
      </c>
      <c r="C18" s="566" t="str">
        <f>IF(C19*0.1&lt;C17,"Exceed 10% Rule","")</f>
        <v/>
      </c>
      <c r="D18" s="358" t="str">
        <f>IF(D19*0.1&lt;D17,"Exceed 10% Rule","")</f>
        <v/>
      </c>
      <c r="E18" s="358" t="str">
        <f>IF(E19*0.1&lt;E17,"Exceed 10% Rule","")</f>
        <v/>
      </c>
    </row>
    <row r="19" spans="2:5" ht="15.75" x14ac:dyDescent="0.2">
      <c r="B19" s="359" t="s">
        <v>309</v>
      </c>
      <c r="C19" s="361">
        <f>SUM(C8:C17)</f>
        <v>213584</v>
      </c>
      <c r="D19" s="361">
        <f>SUM(D8:D17)</f>
        <v>215200</v>
      </c>
      <c r="E19" s="361">
        <f>SUM(E8:E17)</f>
        <v>229712</v>
      </c>
    </row>
    <row r="20" spans="2:5" ht="15.75" x14ac:dyDescent="0.2">
      <c r="B20" s="359" t="s">
        <v>310</v>
      </c>
      <c r="C20" s="361">
        <f>C6+C19</f>
        <v>290951</v>
      </c>
      <c r="D20" s="361">
        <f>D6+D19</f>
        <v>291590</v>
      </c>
      <c r="E20" s="361">
        <f>E6+E19</f>
        <v>275733</v>
      </c>
    </row>
    <row r="21" spans="2:5" ht="15.75" x14ac:dyDescent="0.2">
      <c r="B21" s="169" t="s">
        <v>312</v>
      </c>
      <c r="C21" s="126"/>
      <c r="D21" s="126"/>
      <c r="E21" s="126"/>
    </row>
    <row r="22" spans="2:5" ht="15.75" x14ac:dyDescent="0.2">
      <c r="B22" s="353" t="s">
        <v>1091</v>
      </c>
      <c r="C22" s="108">
        <v>52056</v>
      </c>
      <c r="D22" s="108">
        <v>55800</v>
      </c>
      <c r="E22" s="108">
        <v>56000</v>
      </c>
    </row>
    <row r="23" spans="2:5" ht="15.75" x14ac:dyDescent="0.2">
      <c r="B23" s="353" t="s">
        <v>1092</v>
      </c>
      <c r="C23" s="108">
        <v>22729</v>
      </c>
      <c r="D23" s="108">
        <v>32900</v>
      </c>
      <c r="E23" s="108">
        <v>32950</v>
      </c>
    </row>
    <row r="24" spans="2:5" ht="15.75" x14ac:dyDescent="0.2">
      <c r="B24" s="353" t="s">
        <v>1093</v>
      </c>
      <c r="C24" s="117">
        <v>16423</v>
      </c>
      <c r="D24" s="117">
        <v>21850</v>
      </c>
      <c r="E24" s="117">
        <v>20100</v>
      </c>
    </row>
    <row r="25" spans="2:5" ht="15.75" x14ac:dyDescent="0.2">
      <c r="B25" s="353" t="s">
        <v>1096</v>
      </c>
      <c r="C25" s="117">
        <v>26638</v>
      </c>
      <c r="D25" s="117">
        <v>54000</v>
      </c>
      <c r="E25" s="117">
        <v>54000</v>
      </c>
    </row>
    <row r="26" spans="2:5" ht="15.75" x14ac:dyDescent="0.2">
      <c r="B26" s="353" t="s">
        <v>1101</v>
      </c>
      <c r="C26" s="117">
        <v>30000</v>
      </c>
      <c r="D26" s="117">
        <v>30000</v>
      </c>
      <c r="E26" s="117">
        <v>20000</v>
      </c>
    </row>
    <row r="27" spans="2:5" ht="15.75" x14ac:dyDescent="0.2">
      <c r="B27" s="353" t="s">
        <v>1119</v>
      </c>
      <c r="C27" s="117">
        <v>17000</v>
      </c>
      <c r="D27" s="117">
        <v>0</v>
      </c>
      <c r="E27" s="117">
        <v>0</v>
      </c>
    </row>
    <row r="28" spans="2:5" ht="15.75" x14ac:dyDescent="0.2">
      <c r="B28" s="353" t="s">
        <v>1120</v>
      </c>
      <c r="C28" s="117">
        <v>39715</v>
      </c>
      <c r="D28" s="117">
        <v>41019</v>
      </c>
      <c r="E28" s="117">
        <v>39715</v>
      </c>
    </row>
    <row r="29" spans="2:5" ht="15.75" x14ac:dyDescent="0.2">
      <c r="B29" s="353" t="s">
        <v>1117</v>
      </c>
      <c r="C29" s="117">
        <v>10000</v>
      </c>
      <c r="D29" s="117">
        <v>10000</v>
      </c>
      <c r="E29" s="117">
        <v>10000</v>
      </c>
    </row>
    <row r="30" spans="2:5" ht="15.75" x14ac:dyDescent="0.2">
      <c r="B30" s="353"/>
      <c r="C30" s="117"/>
      <c r="D30" s="117"/>
      <c r="E30" s="117"/>
    </row>
    <row r="31" spans="2:5" ht="15.75" x14ac:dyDescent="0.2">
      <c r="B31" s="353"/>
      <c r="C31" s="117"/>
      <c r="D31" s="117"/>
      <c r="E31" s="117"/>
    </row>
    <row r="32" spans="2:5" ht="15.75" x14ac:dyDescent="0.2">
      <c r="B32" s="353"/>
      <c r="C32" s="117"/>
      <c r="D32" s="117"/>
      <c r="E32" s="117"/>
    </row>
    <row r="33" spans="2:5" ht="15.75" x14ac:dyDescent="0.2">
      <c r="B33" s="353"/>
      <c r="C33" s="117"/>
      <c r="D33" s="117"/>
      <c r="E33" s="117"/>
    </row>
    <row r="34" spans="2:5" ht="15.75" x14ac:dyDescent="0.2">
      <c r="B34" s="353"/>
      <c r="C34" s="117"/>
      <c r="D34" s="117"/>
      <c r="E34" s="117"/>
    </row>
    <row r="35" spans="2:5" ht="15.75" x14ac:dyDescent="0.2">
      <c r="B35" s="353"/>
      <c r="C35" s="108"/>
      <c r="D35" s="108"/>
      <c r="E35" s="108"/>
    </row>
    <row r="36" spans="2:5" ht="15.75" x14ac:dyDescent="0.2">
      <c r="B36" s="353"/>
      <c r="C36" s="108"/>
      <c r="D36" s="108"/>
      <c r="E36" s="108"/>
    </row>
    <row r="37" spans="2:5" ht="15.75" x14ac:dyDescent="0.2">
      <c r="B37" s="353"/>
      <c r="C37" s="108"/>
      <c r="D37" s="108"/>
      <c r="E37" s="108"/>
    </row>
    <row r="38" spans="2:5" ht="15.75" x14ac:dyDescent="0.2">
      <c r="B38" s="353"/>
      <c r="C38" s="108"/>
      <c r="D38" s="108"/>
      <c r="E38" s="108"/>
    </row>
    <row r="39" spans="2:5" ht="15.75" x14ac:dyDescent="0.2">
      <c r="B39" s="353"/>
      <c r="C39" s="108"/>
      <c r="D39" s="108"/>
      <c r="E39" s="108"/>
    </row>
    <row r="40" spans="2:5" ht="15.75" x14ac:dyDescent="0.2">
      <c r="B40" s="353"/>
      <c r="C40" s="108"/>
      <c r="D40" s="108"/>
      <c r="E40" s="108"/>
    </row>
    <row r="41" spans="2:5" ht="15.75" x14ac:dyDescent="0.2">
      <c r="B41" s="353"/>
      <c r="C41" s="108"/>
      <c r="D41" s="108"/>
      <c r="E41" s="108"/>
    </row>
    <row r="42" spans="2:5" ht="15.75" x14ac:dyDescent="0.2">
      <c r="B42" s="353"/>
      <c r="C42" s="108"/>
      <c r="D42" s="108"/>
      <c r="E42" s="108"/>
    </row>
    <row r="43" spans="2:5" ht="15.75" x14ac:dyDescent="0.2">
      <c r="B43" s="353"/>
      <c r="C43" s="108"/>
      <c r="D43" s="108"/>
      <c r="E43" s="108"/>
    </row>
    <row r="44" spans="2:5" ht="15.75" x14ac:dyDescent="0.2">
      <c r="B44" s="353"/>
      <c r="C44" s="108"/>
      <c r="D44" s="108"/>
      <c r="E44" s="108"/>
    </row>
    <row r="45" spans="2:5" ht="15.75" x14ac:dyDescent="0.2">
      <c r="B45" s="357" t="s">
        <v>198</v>
      </c>
      <c r="C45" s="108"/>
      <c r="D45" s="350"/>
      <c r="E45" s="350"/>
    </row>
    <row r="46" spans="2:5" ht="15.75" x14ac:dyDescent="0.2">
      <c r="B46" s="357" t="s">
        <v>692</v>
      </c>
      <c r="C46" s="566" t="str">
        <f>IF(C47*0.1&lt;C45,"Exceed 10% Rule","")</f>
        <v/>
      </c>
      <c r="D46" s="358" t="str">
        <f>IF(D47*0.1&lt;D45,"Exceed 10% Rule","")</f>
        <v/>
      </c>
      <c r="E46" s="358" t="str">
        <f>IF(E47*0.1&lt;E45,"Exceed 10% Rule","")</f>
        <v/>
      </c>
    </row>
    <row r="47" spans="2:5" ht="15.75" x14ac:dyDescent="0.2">
      <c r="B47" s="359" t="s">
        <v>316</v>
      </c>
      <c r="C47" s="361">
        <f>SUM(C22:C45)</f>
        <v>214561</v>
      </c>
      <c r="D47" s="361">
        <f>SUM(D22:D45)</f>
        <v>245569</v>
      </c>
      <c r="E47" s="361">
        <f>SUM(E22:E45)</f>
        <v>232765</v>
      </c>
    </row>
    <row r="48" spans="2:5" ht="15.75" x14ac:dyDescent="0.2">
      <c r="B48" s="169" t="s">
        <v>61</v>
      </c>
      <c r="C48" s="121">
        <f>C20-C47</f>
        <v>76390</v>
      </c>
      <c r="D48" s="121">
        <f>D20-D47</f>
        <v>46021</v>
      </c>
      <c r="E48" s="121">
        <f>E20-E47</f>
        <v>42968</v>
      </c>
    </row>
    <row r="49" spans="2:5" ht="15.75" x14ac:dyDescent="0.2">
      <c r="B49" s="199" t="str">
        <f>CONCATENATE("",E1-2,"/",E1-1," Budget Authority Amount:")</f>
        <v>2011/2012 Budget Authority Amount:</v>
      </c>
      <c r="C49" s="307">
        <f>inputOth!B112</f>
        <v>253894</v>
      </c>
      <c r="D49" s="307">
        <f>inputPrYr!D58</f>
        <v>245569</v>
      </c>
      <c r="E49" s="564" t="str">
        <f>IF(E48&lt;0,"See Tab E","")</f>
        <v/>
      </c>
    </row>
    <row r="50" spans="2:5" ht="15.75" x14ac:dyDescent="0.2">
      <c r="B50" s="199"/>
      <c r="C50" s="363" t="str">
        <f>IF(C47&gt;C49,"See Tab A","")</f>
        <v/>
      </c>
      <c r="D50" s="363" t="str">
        <f>IF(D47&gt;D49,"See Tab C","")</f>
        <v/>
      </c>
      <c r="E50" s="109"/>
    </row>
    <row r="51" spans="2:5" ht="15.75" x14ac:dyDescent="0.2">
      <c r="B51" s="199"/>
      <c r="C51" s="363" t="str">
        <f>IF(C48&lt;0,"See Tab B","")</f>
        <v/>
      </c>
      <c r="D51" s="363" t="str">
        <f>IF(D48&lt;0,"See Tab D","")</f>
        <v/>
      </c>
      <c r="E51" s="109"/>
    </row>
    <row r="52" spans="2:5" ht="15.75" x14ac:dyDescent="0.2">
      <c r="B52" s="199"/>
      <c r="C52" s="363"/>
      <c r="D52" s="363"/>
      <c r="E52" s="109"/>
    </row>
    <row r="53" spans="2:5" ht="15.75" x14ac:dyDescent="0.2">
      <c r="B53" s="199" t="s">
        <v>319</v>
      </c>
      <c r="C53" s="301">
        <v>19</v>
      </c>
      <c r="D53" s="109"/>
      <c r="E53" s="109"/>
    </row>
  </sheetData>
  <sheetProtection sheet="1"/>
  <phoneticPr fontId="9"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C47">
    <cfRule type="cellIs" dxfId="12" priority="9" stopIfTrue="1" operator="greaterThan">
      <formula>$C$49</formula>
    </cfRule>
  </conditionalFormatting>
  <conditionalFormatting sqref="D47">
    <cfRule type="cellIs" dxfId="11" priority="10" stopIfTrue="1" operator="greaterThan">
      <formula>$D$49</formula>
    </cfRule>
  </conditionalFormatting>
  <conditionalFormatting sqref="D48">
    <cfRule type="cellIs" dxfId="10" priority="1" stopIfTrue="1" operator="lessThan">
      <formula>0</formula>
    </cfRule>
  </conditionalFormatting>
  <pageMargins left="0.75" right="0.75" top="1" bottom="1" header="0.5" footer="0.5"/>
  <pageSetup scale="78" orientation="portrait" blackAndWhite="1" r:id="rId1"/>
  <headerFooter alignWithMargins="0">
    <oddHeader>&amp;RState of KansasCity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G4" sqref="G4"/>
    </sheetView>
  </sheetViews>
  <sheetFormatPr defaultRowHeight="15" x14ac:dyDescent="0.2"/>
  <cols>
    <col min="1" max="1" width="2.44140625" customWidth="1"/>
    <col min="2" max="2" width="31.109375" customWidth="1"/>
    <col min="3" max="4" width="15.77734375" customWidth="1"/>
    <col min="5" max="5" width="16.21875" customWidth="1"/>
  </cols>
  <sheetData>
    <row r="1" spans="2:5" ht="15.75" x14ac:dyDescent="0.25">
      <c r="B1" s="14" t="str">
        <f>(inputPrYr!D3)</f>
        <v>City of Herington</v>
      </c>
      <c r="C1" s="6"/>
      <c r="D1" s="6"/>
      <c r="E1" s="29">
        <f>inputPrYr!$C$10</f>
        <v>2013</v>
      </c>
    </row>
    <row r="2" spans="2:5" ht="15.75" x14ac:dyDescent="0.25">
      <c r="B2" s="6"/>
      <c r="C2" s="6"/>
      <c r="D2" s="6"/>
      <c r="E2" s="8"/>
    </row>
    <row r="3" spans="2:5" ht="15.75" x14ac:dyDescent="0.25">
      <c r="B3" s="27" t="s">
        <v>7</v>
      </c>
      <c r="C3" s="32"/>
      <c r="D3" s="32"/>
      <c r="E3" s="33"/>
    </row>
    <row r="4" spans="2:5" ht="15.75" x14ac:dyDescent="0.25">
      <c r="B4" s="9" t="s">
        <v>301</v>
      </c>
      <c r="C4" s="633" t="s">
        <v>833</v>
      </c>
      <c r="D4" s="634" t="s">
        <v>834</v>
      </c>
      <c r="E4" s="206" t="s">
        <v>835</v>
      </c>
    </row>
    <row r="5" spans="2:5" ht="15.75" x14ac:dyDescent="0.25">
      <c r="B5" s="595">
        <f>(inputPrYr!B59)</f>
        <v>0</v>
      </c>
      <c r="C5" s="454" t="str">
        <f>CONCATENATE("Actual for ",E1-2,"")</f>
        <v>Actual for 2011</v>
      </c>
      <c r="D5" s="454" t="str">
        <f>CONCATENATE("Estimate for ",E1-1,"")</f>
        <v>Estimate for 2012</v>
      </c>
      <c r="E5" s="272" t="str">
        <f>CONCATENATE("Year for ",E1,"")</f>
        <v>Year for 2013</v>
      </c>
    </row>
    <row r="6" spans="2:5" ht="15.75" x14ac:dyDescent="0.25">
      <c r="B6" s="11" t="s">
        <v>60</v>
      </c>
      <c r="C6" s="553"/>
      <c r="D6" s="24">
        <f>C48</f>
        <v>0</v>
      </c>
      <c r="E6" s="24">
        <f>D48</f>
        <v>0</v>
      </c>
    </row>
    <row r="7" spans="2:5" ht="15.75" x14ac:dyDescent="0.25">
      <c r="B7" s="61" t="s">
        <v>62</v>
      </c>
      <c r="C7" s="12"/>
      <c r="D7" s="12"/>
      <c r="E7" s="12"/>
    </row>
    <row r="8" spans="2:5" ht="15.75" x14ac:dyDescent="0.25">
      <c r="B8" s="58"/>
      <c r="C8" s="553"/>
      <c r="D8" s="553"/>
      <c r="E8" s="553"/>
    </row>
    <row r="9" spans="2:5" ht="15.75" x14ac:dyDescent="0.25">
      <c r="B9" s="58"/>
      <c r="C9" s="553"/>
      <c r="D9" s="553"/>
      <c r="E9" s="553"/>
    </row>
    <row r="10" spans="2:5" ht="15.75" x14ac:dyDescent="0.25">
      <c r="B10" s="58"/>
      <c r="C10" s="553"/>
      <c r="D10" s="553"/>
      <c r="E10" s="553"/>
    </row>
    <row r="11" spans="2:5" ht="15.75" x14ac:dyDescent="0.25">
      <c r="B11" s="58"/>
      <c r="C11" s="553"/>
      <c r="D11" s="553"/>
      <c r="E11" s="553"/>
    </row>
    <row r="12" spans="2:5" ht="15.75" x14ac:dyDescent="0.25">
      <c r="B12" s="58"/>
      <c r="C12" s="553"/>
      <c r="D12" s="553"/>
      <c r="E12" s="553"/>
    </row>
    <row r="13" spans="2:5" ht="15.75" x14ac:dyDescent="0.25">
      <c r="B13" s="58"/>
      <c r="C13" s="553"/>
      <c r="D13" s="553"/>
      <c r="E13" s="553"/>
    </row>
    <row r="14" spans="2:5" ht="15.75" x14ac:dyDescent="0.25">
      <c r="B14" s="59"/>
      <c r="C14" s="554"/>
      <c r="D14" s="554"/>
      <c r="E14" s="554"/>
    </row>
    <row r="15" spans="2:5" ht="15.75" x14ac:dyDescent="0.25">
      <c r="B15" s="58"/>
      <c r="C15" s="553"/>
      <c r="D15" s="553"/>
      <c r="E15" s="553"/>
    </row>
    <row r="16" spans="2:5" ht="15.75" x14ac:dyDescent="0.25">
      <c r="B16" s="60" t="s">
        <v>308</v>
      </c>
      <c r="C16" s="553"/>
      <c r="D16" s="553"/>
      <c r="E16" s="553"/>
    </row>
    <row r="17" spans="2:5" ht="15.75" x14ac:dyDescent="0.25">
      <c r="B17" s="63" t="s">
        <v>198</v>
      </c>
      <c r="C17" s="553"/>
      <c r="D17" s="62"/>
      <c r="E17" s="62"/>
    </row>
    <row r="18" spans="2:5" ht="15.75" x14ac:dyDescent="0.25">
      <c r="B18" s="63" t="s">
        <v>693</v>
      </c>
      <c r="C18" s="567" t="str">
        <f>IF(C19*0.1&lt;C17,"Exceed 10% Rule","")</f>
        <v/>
      </c>
      <c r="D18" s="64" t="str">
        <f>IF(D19*0.1&lt;D17,"Exceed 10% Rule","")</f>
        <v/>
      </c>
      <c r="E18" s="64" t="str">
        <f>IF(E19*0.1&lt;E17,"Exceed 10% Rule","")</f>
        <v/>
      </c>
    </row>
    <row r="19" spans="2:5" ht="15.75" x14ac:dyDescent="0.25">
      <c r="B19" s="30" t="s">
        <v>309</v>
      </c>
      <c r="C19" s="55">
        <f>SUM(C8:C17)</f>
        <v>0</v>
      </c>
      <c r="D19" s="55">
        <f>SUM(D8:D17)</f>
        <v>0</v>
      </c>
      <c r="E19" s="55">
        <f>SUM(E8:E17)</f>
        <v>0</v>
      </c>
    </row>
    <row r="20" spans="2:5" ht="15.75" x14ac:dyDescent="0.25">
      <c r="B20" s="30" t="s">
        <v>310</v>
      </c>
      <c r="C20" s="55">
        <f>C6+C19</f>
        <v>0</v>
      </c>
      <c r="D20" s="55">
        <f>D6+D19</f>
        <v>0</v>
      </c>
      <c r="E20" s="55">
        <f>E6+E19</f>
        <v>0</v>
      </c>
    </row>
    <row r="21" spans="2:5" ht="15.75" x14ac:dyDescent="0.25">
      <c r="B21" s="11" t="s">
        <v>312</v>
      </c>
      <c r="C21" s="12"/>
      <c r="D21" s="12"/>
      <c r="E21" s="12"/>
    </row>
    <row r="22" spans="2:5" ht="15.75" x14ac:dyDescent="0.25">
      <c r="B22" s="58" t="s">
        <v>105</v>
      </c>
      <c r="C22" s="553"/>
      <c r="D22" s="553"/>
      <c r="E22" s="553"/>
    </row>
    <row r="23" spans="2:5" ht="15.75" x14ac:dyDescent="0.25">
      <c r="B23" s="58" t="s">
        <v>209</v>
      </c>
      <c r="C23" s="553"/>
      <c r="D23" s="553"/>
      <c r="E23" s="553"/>
    </row>
    <row r="24" spans="2:5" ht="15.75" x14ac:dyDescent="0.25">
      <c r="B24" s="58"/>
      <c r="C24" s="554"/>
      <c r="D24" s="554"/>
      <c r="E24" s="554"/>
    </row>
    <row r="25" spans="2:5" ht="15.75" x14ac:dyDescent="0.25">
      <c r="B25" s="58"/>
      <c r="C25" s="554"/>
      <c r="D25" s="554"/>
      <c r="E25" s="554"/>
    </row>
    <row r="26" spans="2:5" ht="15.75" x14ac:dyDescent="0.25">
      <c r="B26" s="58"/>
      <c r="C26" s="554"/>
      <c r="D26" s="554"/>
      <c r="E26" s="554"/>
    </row>
    <row r="27" spans="2:5" ht="15.75" x14ac:dyDescent="0.25">
      <c r="B27" s="58"/>
      <c r="C27" s="554"/>
      <c r="D27" s="554"/>
      <c r="E27" s="554"/>
    </row>
    <row r="28" spans="2:5" ht="15.75" x14ac:dyDescent="0.25">
      <c r="B28" s="58"/>
      <c r="C28" s="554"/>
      <c r="D28" s="554"/>
      <c r="E28" s="554"/>
    </row>
    <row r="29" spans="2:5" ht="15.75" x14ac:dyDescent="0.25">
      <c r="B29" s="58"/>
      <c r="C29" s="554"/>
      <c r="D29" s="554"/>
      <c r="E29" s="554"/>
    </row>
    <row r="30" spans="2:5" ht="15.75" x14ac:dyDescent="0.25">
      <c r="B30" s="58"/>
      <c r="C30" s="554"/>
      <c r="D30" s="554"/>
      <c r="E30" s="554"/>
    </row>
    <row r="31" spans="2:5" ht="15.75" x14ac:dyDescent="0.25">
      <c r="B31" s="58"/>
      <c r="C31" s="554"/>
      <c r="D31" s="554"/>
      <c r="E31" s="554"/>
    </row>
    <row r="32" spans="2:5" ht="15.75" x14ac:dyDescent="0.25">
      <c r="B32" s="58"/>
      <c r="C32" s="554"/>
      <c r="D32" s="554"/>
      <c r="E32" s="554"/>
    </row>
    <row r="33" spans="2:5" ht="15.75" x14ac:dyDescent="0.25">
      <c r="B33" s="58"/>
      <c r="C33" s="554"/>
      <c r="D33" s="554"/>
      <c r="E33" s="554"/>
    </row>
    <row r="34" spans="2:5" ht="15.75" x14ac:dyDescent="0.25">
      <c r="B34" s="58"/>
      <c r="C34" s="554"/>
      <c r="D34" s="554"/>
      <c r="E34" s="554"/>
    </row>
    <row r="35" spans="2:5" ht="15.75" x14ac:dyDescent="0.25">
      <c r="B35" s="58"/>
      <c r="C35" s="553"/>
      <c r="D35" s="553"/>
      <c r="E35" s="553"/>
    </row>
    <row r="36" spans="2:5" ht="15.75" x14ac:dyDescent="0.25">
      <c r="B36" s="58"/>
      <c r="C36" s="553"/>
      <c r="D36" s="553"/>
      <c r="E36" s="553"/>
    </row>
    <row r="37" spans="2:5" ht="15.75" x14ac:dyDescent="0.25">
      <c r="B37" s="58"/>
      <c r="C37" s="553"/>
      <c r="D37" s="553"/>
      <c r="E37" s="553"/>
    </row>
    <row r="38" spans="2:5" ht="15.75" x14ac:dyDescent="0.25">
      <c r="B38" s="58"/>
      <c r="C38" s="553"/>
      <c r="D38" s="553"/>
      <c r="E38" s="553"/>
    </row>
    <row r="39" spans="2:5" ht="15.75" x14ac:dyDescent="0.25">
      <c r="B39" s="58"/>
      <c r="C39" s="553"/>
      <c r="D39" s="553"/>
      <c r="E39" s="553"/>
    </row>
    <row r="40" spans="2:5" ht="15.75" x14ac:dyDescent="0.25">
      <c r="B40" s="58"/>
      <c r="C40" s="553"/>
      <c r="D40" s="553"/>
      <c r="E40" s="553"/>
    </row>
    <row r="41" spans="2:5" ht="15.75" x14ac:dyDescent="0.25">
      <c r="B41" s="58"/>
      <c r="C41" s="553"/>
      <c r="D41" s="553"/>
      <c r="E41" s="553"/>
    </row>
    <row r="42" spans="2:5" ht="15.75" x14ac:dyDescent="0.25">
      <c r="B42" s="58"/>
      <c r="C42" s="553"/>
      <c r="D42" s="553"/>
      <c r="E42" s="553"/>
    </row>
    <row r="43" spans="2:5" ht="15.75" x14ac:dyDescent="0.25">
      <c r="B43" s="58"/>
      <c r="C43" s="553"/>
      <c r="D43" s="553"/>
      <c r="E43" s="553"/>
    </row>
    <row r="44" spans="2:5" ht="15.75" x14ac:dyDescent="0.25">
      <c r="B44" s="58"/>
      <c r="C44" s="553"/>
      <c r="D44" s="553"/>
      <c r="E44" s="553"/>
    </row>
    <row r="45" spans="2:5" ht="15.75" x14ac:dyDescent="0.25">
      <c r="B45" s="63" t="s">
        <v>198</v>
      </c>
      <c r="C45" s="553"/>
      <c r="D45" s="62"/>
      <c r="E45" s="62"/>
    </row>
    <row r="46" spans="2:5" ht="15.75" x14ac:dyDescent="0.25">
      <c r="B46" s="63" t="s">
        <v>692</v>
      </c>
      <c r="C46" s="567" t="str">
        <f>IF(C47*0.1&lt;C45,"Exceed 10% Rule","")</f>
        <v/>
      </c>
      <c r="D46" s="64" t="str">
        <f>IF(D47*0.1&lt;D45,"Exceed 10% Rule","")</f>
        <v/>
      </c>
      <c r="E46" s="64" t="str">
        <f>IF(E47*0.1&lt;E45,"Exceed 10% Rule","")</f>
        <v/>
      </c>
    </row>
    <row r="47" spans="2:5" ht="15.75" x14ac:dyDescent="0.25">
      <c r="B47" s="30" t="s">
        <v>316</v>
      </c>
      <c r="C47" s="55">
        <f>SUM(C22:C45)</f>
        <v>0</v>
      </c>
      <c r="D47" s="55">
        <f>SUM(D22:D45)</f>
        <v>0</v>
      </c>
      <c r="E47" s="55">
        <f>SUM(E22:E45)</f>
        <v>0</v>
      </c>
    </row>
    <row r="48" spans="2:5" ht="15.75" x14ac:dyDescent="0.25">
      <c r="B48" s="11" t="s">
        <v>61</v>
      </c>
      <c r="C48" s="54">
        <f>C20-C47</f>
        <v>0</v>
      </c>
      <c r="D48" s="54">
        <f>D20-D47</f>
        <v>0</v>
      </c>
      <c r="E48" s="54">
        <f>E20-E47</f>
        <v>0</v>
      </c>
    </row>
    <row r="49" spans="2:5" ht="15.75" x14ac:dyDescent="0.25">
      <c r="B49" s="7" t="str">
        <f>CONCATENATE("",E1-2,"/",E1-1," Budget Authority Amount:")</f>
        <v>2011/2012 Budget Authority Amount:</v>
      </c>
      <c r="C49" s="37">
        <f>inputOth!B113</f>
        <v>0</v>
      </c>
      <c r="D49" s="37">
        <f>inputPrYr!D59</f>
        <v>0</v>
      </c>
      <c r="E49" s="564" t="str">
        <f>IF(E48&lt;0,"See Tab E","")</f>
        <v/>
      </c>
    </row>
    <row r="50" spans="2:5" ht="15.75" x14ac:dyDescent="0.25">
      <c r="B50" s="7"/>
      <c r="C50" s="363" t="str">
        <f>IF(C47&gt;C49,"See Tab A","")</f>
        <v/>
      </c>
      <c r="D50" s="363" t="str">
        <f>IF(D47&gt;D49,"See Tab C","")</f>
        <v/>
      </c>
      <c r="E50" s="31"/>
    </row>
    <row r="51" spans="2:5" ht="15.75" x14ac:dyDescent="0.25">
      <c r="B51" s="7"/>
      <c r="C51" s="363" t="str">
        <f>IF(C48&lt;0,"See Tab B","")</f>
        <v/>
      </c>
      <c r="D51" s="363" t="str">
        <f>IF(D48&lt;0,"See Tab D","")</f>
        <v/>
      </c>
      <c r="E51" s="31"/>
    </row>
    <row r="52" spans="2:5" x14ac:dyDescent="0.2">
      <c r="B52" s="31"/>
      <c r="C52" s="31"/>
      <c r="D52" s="31"/>
      <c r="E52" s="31"/>
    </row>
    <row r="53" spans="2:5" ht="15.75" x14ac:dyDescent="0.25">
      <c r="B53" s="199" t="s">
        <v>319</v>
      </c>
      <c r="C53" s="28"/>
      <c r="D53" s="31"/>
      <c r="E53" s="31"/>
    </row>
  </sheetData>
  <sheetProtection sheet="1"/>
  <phoneticPr fontId="9"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E48 C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78" orientation="portrait" blackAndWhite="1" r:id="rId1"/>
  <headerFooter alignWithMargins="0">
    <oddHeader>&amp;RState of KansasCity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J9" sqref="J9"/>
    </sheetView>
  </sheetViews>
  <sheetFormatPr defaultRowHeight="15.75" x14ac:dyDescent="0.2"/>
  <cols>
    <col min="1" max="1" width="11.5546875" style="69" customWidth="1"/>
    <col min="2" max="2" width="7.44140625" style="69" customWidth="1"/>
    <col min="3" max="3" width="11.5546875" style="69" customWidth="1"/>
    <col min="4" max="4" width="7.44140625" style="69" customWidth="1"/>
    <col min="5" max="5" width="11.5546875" style="69" customWidth="1"/>
    <col min="6" max="6" width="7.44140625" style="69" customWidth="1"/>
    <col min="7" max="7" width="11.5546875" style="69" customWidth="1"/>
    <col min="8" max="8" width="7.44140625" style="69" customWidth="1"/>
    <col min="9" max="9" width="11.5546875" style="69" customWidth="1"/>
    <col min="10" max="16384" width="8.88671875" style="69"/>
  </cols>
  <sheetData>
    <row r="1" spans="1:11" x14ac:dyDescent="0.2">
      <c r="A1" s="147" t="str">
        <f>inputPrYr!$D$3</f>
        <v>City of Herington</v>
      </c>
      <c r="B1" s="176"/>
      <c r="C1" s="148"/>
      <c r="D1" s="148"/>
      <c r="E1" s="148"/>
      <c r="F1" s="235" t="s">
        <v>85</v>
      </c>
      <c r="G1" s="148"/>
      <c r="H1" s="148"/>
      <c r="I1" s="148"/>
      <c r="J1" s="148"/>
      <c r="K1" s="148">
        <f>inputPrYr!$C$10</f>
        <v>2013</v>
      </c>
    </row>
    <row r="2" spans="1:11" x14ac:dyDescent="0.2">
      <c r="A2" s="148"/>
      <c r="B2" s="148"/>
      <c r="C2" s="148"/>
      <c r="D2" s="148"/>
      <c r="E2" s="148"/>
      <c r="F2" s="320" t="str">
        <f>CONCATENATE("(Only the actual budget year for ",K1-2," is to be shown)")</f>
        <v>(Only the actual budget year for 2011 is to be shown)</v>
      </c>
      <c r="G2" s="148"/>
      <c r="H2" s="148"/>
      <c r="I2" s="148"/>
      <c r="J2" s="148"/>
      <c r="K2" s="148"/>
    </row>
    <row r="3" spans="1:11" x14ac:dyDescent="0.2">
      <c r="A3" s="148" t="s">
        <v>127</v>
      </c>
      <c r="B3" s="148"/>
      <c r="C3" s="148"/>
      <c r="D3" s="148"/>
      <c r="E3" s="148"/>
      <c r="F3" s="176"/>
      <c r="G3" s="148"/>
      <c r="H3" s="148"/>
      <c r="I3" s="148"/>
      <c r="J3" s="148"/>
      <c r="K3" s="148"/>
    </row>
    <row r="4" spans="1:11" x14ac:dyDescent="0.2">
      <c r="A4" s="148" t="s">
        <v>86</v>
      </c>
      <c r="B4" s="148"/>
      <c r="C4" s="148" t="s">
        <v>87</v>
      </c>
      <c r="D4" s="148"/>
      <c r="E4" s="148" t="s">
        <v>88</v>
      </c>
      <c r="F4" s="176"/>
      <c r="G4" s="148" t="s">
        <v>89</v>
      </c>
      <c r="H4" s="148"/>
      <c r="I4" s="148" t="s">
        <v>90</v>
      </c>
      <c r="J4" s="148"/>
      <c r="K4" s="148"/>
    </row>
    <row r="5" spans="1:11" x14ac:dyDescent="0.2">
      <c r="A5" s="931" t="str">
        <f>IF(inputPrYr!B62&gt;" ",(inputPrYr!B62)," ")</f>
        <v>Sewer Bond &amp; Interest</v>
      </c>
      <c r="B5" s="932"/>
      <c r="C5" s="931" t="str">
        <f>IF(inputPrYr!B63&gt;" ",(inputPrYr!B63)," ")</f>
        <v>Revolving Loan Fund</v>
      </c>
      <c r="D5" s="932"/>
      <c r="E5" s="931" t="str">
        <f>IF(inputPrYr!B64&gt;" ",(inputPrYr!B64)," ")</f>
        <v>Cemetery Perpetual</v>
      </c>
      <c r="F5" s="932"/>
      <c r="G5" s="931" t="str">
        <f>IF(inputPrYr!B65&gt;" ",(inputPrYr!B65)," ")</f>
        <v>Light Bond Prin &amp; Int</v>
      </c>
      <c r="H5" s="932"/>
      <c r="I5" s="931" t="str">
        <f>IF(inputPrYr!B66&gt;" ",(inputPrYr!B66)," ")</f>
        <v>Light Bond Reserves</v>
      </c>
      <c r="J5" s="932"/>
      <c r="K5" s="184"/>
    </row>
    <row r="6" spans="1:11" x14ac:dyDescent="0.2">
      <c r="A6" s="322" t="s">
        <v>91</v>
      </c>
      <c r="B6" s="323"/>
      <c r="C6" s="324" t="s">
        <v>91</v>
      </c>
      <c r="D6" s="325"/>
      <c r="E6" s="324" t="s">
        <v>91</v>
      </c>
      <c r="F6" s="321"/>
      <c r="G6" s="324" t="s">
        <v>91</v>
      </c>
      <c r="H6" s="326"/>
      <c r="I6" s="324" t="s">
        <v>91</v>
      </c>
      <c r="J6" s="148"/>
      <c r="K6" s="327" t="s">
        <v>277</v>
      </c>
    </row>
    <row r="7" spans="1:11" x14ac:dyDescent="0.2">
      <c r="A7" s="328" t="s">
        <v>206</v>
      </c>
      <c r="B7" s="329">
        <v>14669</v>
      </c>
      <c r="C7" s="330" t="s">
        <v>206</v>
      </c>
      <c r="D7" s="329">
        <v>108496</v>
      </c>
      <c r="E7" s="330" t="s">
        <v>206</v>
      </c>
      <c r="F7" s="329">
        <v>120535</v>
      </c>
      <c r="G7" s="330" t="s">
        <v>206</v>
      </c>
      <c r="H7" s="329">
        <v>68520</v>
      </c>
      <c r="I7" s="330" t="s">
        <v>206</v>
      </c>
      <c r="J7" s="329">
        <v>50000</v>
      </c>
      <c r="K7" s="331">
        <f>SUM(B7+D7+F7+H7+J7)</f>
        <v>362220</v>
      </c>
    </row>
    <row r="8" spans="1:11" x14ac:dyDescent="0.2">
      <c r="A8" s="332" t="s">
        <v>62</v>
      </c>
      <c r="B8" s="333"/>
      <c r="C8" s="332" t="s">
        <v>62</v>
      </c>
      <c r="D8" s="334"/>
      <c r="E8" s="332" t="s">
        <v>62</v>
      </c>
      <c r="F8" s="176"/>
      <c r="G8" s="332" t="s">
        <v>62</v>
      </c>
      <c r="H8" s="148"/>
      <c r="I8" s="332" t="s">
        <v>62</v>
      </c>
      <c r="J8" s="148"/>
      <c r="K8" s="176"/>
    </row>
    <row r="9" spans="1:11" x14ac:dyDescent="0.2">
      <c r="A9" s="335" t="s">
        <v>1149</v>
      </c>
      <c r="B9" s="329">
        <v>17000</v>
      </c>
      <c r="C9" s="335" t="s">
        <v>1152</v>
      </c>
      <c r="D9" s="329">
        <v>475</v>
      </c>
      <c r="E9" s="335" t="s">
        <v>1153</v>
      </c>
      <c r="F9" s="329">
        <v>1250</v>
      </c>
      <c r="G9" s="335" t="s">
        <v>1155</v>
      </c>
      <c r="H9" s="329">
        <v>25000</v>
      </c>
      <c r="I9" s="335"/>
      <c r="J9" s="329"/>
      <c r="K9" s="176"/>
    </row>
    <row r="10" spans="1:11" x14ac:dyDescent="0.2">
      <c r="A10" s="335" t="s">
        <v>353</v>
      </c>
      <c r="B10" s="329">
        <v>85</v>
      </c>
      <c r="C10" s="335" t="s">
        <v>353</v>
      </c>
      <c r="D10" s="329">
        <v>95</v>
      </c>
      <c r="E10" s="335" t="s">
        <v>1154</v>
      </c>
      <c r="F10" s="329">
        <v>1613</v>
      </c>
      <c r="G10" s="335" t="s">
        <v>353</v>
      </c>
      <c r="H10" s="329">
        <v>292</v>
      </c>
      <c r="I10" s="335"/>
      <c r="J10" s="329"/>
      <c r="K10" s="176"/>
    </row>
    <row r="11" spans="1:11" x14ac:dyDescent="0.2">
      <c r="A11" s="335"/>
      <c r="B11" s="329"/>
      <c r="C11" s="336"/>
      <c r="D11" s="329"/>
      <c r="E11" s="337" t="s">
        <v>353</v>
      </c>
      <c r="F11" s="329">
        <v>90</v>
      </c>
      <c r="G11" s="337"/>
      <c r="H11" s="329"/>
      <c r="I11" s="338"/>
      <c r="J11" s="329"/>
      <c r="K11" s="176"/>
    </row>
    <row r="12" spans="1:11" x14ac:dyDescent="0.2">
      <c r="A12" s="335"/>
      <c r="B12" s="329"/>
      <c r="C12" s="335"/>
      <c r="D12" s="329"/>
      <c r="E12" s="339"/>
      <c r="F12" s="329"/>
      <c r="G12" s="339"/>
      <c r="H12" s="329"/>
      <c r="I12" s="339"/>
      <c r="J12" s="329"/>
      <c r="K12" s="176"/>
    </row>
    <row r="13" spans="1:11" x14ac:dyDescent="0.2">
      <c r="A13" s="340"/>
      <c r="B13" s="329"/>
      <c r="C13" s="341"/>
      <c r="D13" s="329"/>
      <c r="E13" s="341"/>
      <c r="F13" s="329"/>
      <c r="G13" s="341"/>
      <c r="H13" s="329"/>
      <c r="I13" s="338"/>
      <c r="J13" s="329"/>
      <c r="K13" s="176"/>
    </row>
    <row r="14" spans="1:11" x14ac:dyDescent="0.2">
      <c r="A14" s="335"/>
      <c r="B14" s="329"/>
      <c r="C14" s="339"/>
      <c r="D14" s="329"/>
      <c r="E14" s="339"/>
      <c r="F14" s="329"/>
      <c r="G14" s="339"/>
      <c r="H14" s="329"/>
      <c r="I14" s="339"/>
      <c r="J14" s="329"/>
      <c r="K14" s="176"/>
    </row>
    <row r="15" spans="1:11" x14ac:dyDescent="0.2">
      <c r="A15" s="335"/>
      <c r="B15" s="329"/>
      <c r="C15" s="339"/>
      <c r="D15" s="329"/>
      <c r="E15" s="339"/>
      <c r="F15" s="329"/>
      <c r="G15" s="339"/>
      <c r="H15" s="329"/>
      <c r="I15" s="339"/>
      <c r="J15" s="329"/>
      <c r="K15" s="176"/>
    </row>
    <row r="16" spans="1:11" x14ac:dyDescent="0.2">
      <c r="A16" s="335"/>
      <c r="B16" s="329"/>
      <c r="C16" s="335"/>
      <c r="D16" s="329"/>
      <c r="E16" s="335"/>
      <c r="F16" s="329"/>
      <c r="G16" s="339"/>
      <c r="H16" s="329"/>
      <c r="I16" s="335"/>
      <c r="J16" s="329"/>
      <c r="K16" s="176"/>
    </row>
    <row r="17" spans="1:12" x14ac:dyDescent="0.2">
      <c r="A17" s="332" t="s">
        <v>309</v>
      </c>
      <c r="B17" s="331">
        <f>SUM(B9:B16)</f>
        <v>17085</v>
      </c>
      <c r="C17" s="332" t="s">
        <v>309</v>
      </c>
      <c r="D17" s="331">
        <f>SUM(D9:D16)</f>
        <v>570</v>
      </c>
      <c r="E17" s="332" t="s">
        <v>309</v>
      </c>
      <c r="F17" s="444">
        <f>SUM(F9:F16)</f>
        <v>2953</v>
      </c>
      <c r="G17" s="332" t="s">
        <v>309</v>
      </c>
      <c r="H17" s="331">
        <f>SUM(H9:H16)</f>
        <v>25292</v>
      </c>
      <c r="I17" s="332" t="s">
        <v>309</v>
      </c>
      <c r="J17" s="331">
        <f>SUM(J9:J16)</f>
        <v>0</v>
      </c>
      <c r="K17" s="331">
        <f>SUM(B17+D17+F17+H17+J17)</f>
        <v>45900</v>
      </c>
    </row>
    <row r="18" spans="1:12" x14ac:dyDescent="0.2">
      <c r="A18" s="332" t="s">
        <v>310</v>
      </c>
      <c r="B18" s="331">
        <f>SUM(B7+B17)</f>
        <v>31754</v>
      </c>
      <c r="C18" s="332" t="s">
        <v>310</v>
      </c>
      <c r="D18" s="331">
        <f>SUM(D7+D17)</f>
        <v>109066</v>
      </c>
      <c r="E18" s="332" t="s">
        <v>310</v>
      </c>
      <c r="F18" s="331">
        <f>SUM(F7+F17)</f>
        <v>123488</v>
      </c>
      <c r="G18" s="332" t="s">
        <v>310</v>
      </c>
      <c r="H18" s="331">
        <f>SUM(H7+H17)</f>
        <v>93812</v>
      </c>
      <c r="I18" s="332" t="s">
        <v>310</v>
      </c>
      <c r="J18" s="331">
        <f>SUM(J7+J17)</f>
        <v>50000</v>
      </c>
      <c r="K18" s="331">
        <f>SUM(B18+D18+F18+H18+J18)</f>
        <v>408120</v>
      </c>
    </row>
    <row r="19" spans="1:12" x14ac:dyDescent="0.2">
      <c r="A19" s="332" t="s">
        <v>312</v>
      </c>
      <c r="B19" s="333"/>
      <c r="C19" s="332" t="s">
        <v>312</v>
      </c>
      <c r="D19" s="334"/>
      <c r="E19" s="332" t="s">
        <v>312</v>
      </c>
      <c r="F19" s="176"/>
      <c r="G19" s="332" t="s">
        <v>312</v>
      </c>
      <c r="H19" s="148"/>
      <c r="I19" s="332" t="s">
        <v>312</v>
      </c>
      <c r="J19" s="148"/>
      <c r="K19" s="176"/>
    </row>
    <row r="20" spans="1:12" x14ac:dyDescent="0.2">
      <c r="A20" s="335" t="s">
        <v>1150</v>
      </c>
      <c r="B20" s="329">
        <v>30000</v>
      </c>
      <c r="C20" s="339"/>
      <c r="D20" s="329"/>
      <c r="E20" s="339"/>
      <c r="F20" s="329"/>
      <c r="G20" s="339" t="s">
        <v>1156</v>
      </c>
      <c r="H20" s="329">
        <v>35000</v>
      </c>
      <c r="I20" s="339"/>
      <c r="J20" s="329"/>
      <c r="K20" s="176"/>
    </row>
    <row r="21" spans="1:12" x14ac:dyDescent="0.2">
      <c r="A21" s="335" t="s">
        <v>353</v>
      </c>
      <c r="B21" s="329">
        <v>1380</v>
      </c>
      <c r="C21" s="339"/>
      <c r="D21" s="329"/>
      <c r="E21" s="339"/>
      <c r="F21" s="329"/>
      <c r="G21" s="339" t="s">
        <v>1157</v>
      </c>
      <c r="H21" s="329">
        <v>45006</v>
      </c>
      <c r="I21" s="339"/>
      <c r="J21" s="329"/>
      <c r="K21" s="176"/>
    </row>
    <row r="22" spans="1:12" x14ac:dyDescent="0.2">
      <c r="A22" s="335" t="s">
        <v>1151</v>
      </c>
      <c r="B22" s="329">
        <v>374</v>
      </c>
      <c r="C22" s="341"/>
      <c r="D22" s="329"/>
      <c r="E22" s="341"/>
      <c r="F22" s="329"/>
      <c r="G22" s="341"/>
      <c r="H22" s="329"/>
      <c r="I22" s="338"/>
      <c r="J22" s="329"/>
      <c r="K22" s="176"/>
    </row>
    <row r="23" spans="1:12" x14ac:dyDescent="0.2">
      <c r="A23" s="335"/>
      <c r="B23" s="329"/>
      <c r="C23" s="339"/>
      <c r="D23" s="329"/>
      <c r="E23" s="339"/>
      <c r="F23" s="329"/>
      <c r="G23" s="339"/>
      <c r="H23" s="329"/>
      <c r="I23" s="339"/>
      <c r="J23" s="329"/>
      <c r="K23" s="176"/>
    </row>
    <row r="24" spans="1:12" x14ac:dyDescent="0.2">
      <c r="A24" s="335"/>
      <c r="B24" s="329"/>
      <c r="C24" s="341"/>
      <c r="D24" s="329"/>
      <c r="E24" s="341"/>
      <c r="F24" s="329"/>
      <c r="G24" s="341"/>
      <c r="H24" s="329"/>
      <c r="I24" s="338"/>
      <c r="J24" s="329"/>
      <c r="K24" s="176"/>
    </row>
    <row r="25" spans="1:12" x14ac:dyDescent="0.2">
      <c r="A25" s="335"/>
      <c r="B25" s="329"/>
      <c r="C25" s="339"/>
      <c r="D25" s="329"/>
      <c r="E25" s="339"/>
      <c r="F25" s="329"/>
      <c r="G25" s="339"/>
      <c r="H25" s="329"/>
      <c r="I25" s="339"/>
      <c r="J25" s="329"/>
      <c r="K25" s="176"/>
    </row>
    <row r="26" spans="1:12" x14ac:dyDescent="0.2">
      <c r="A26" s="335"/>
      <c r="B26" s="329"/>
      <c r="C26" s="339"/>
      <c r="D26" s="329"/>
      <c r="E26" s="339"/>
      <c r="F26" s="329"/>
      <c r="G26" s="339"/>
      <c r="H26" s="329"/>
      <c r="I26" s="339"/>
      <c r="J26" s="329"/>
      <c r="K26" s="176"/>
    </row>
    <row r="27" spans="1:12" x14ac:dyDescent="0.2">
      <c r="A27" s="335"/>
      <c r="B27" s="329"/>
      <c r="C27" s="335"/>
      <c r="D27" s="329"/>
      <c r="E27" s="335"/>
      <c r="F27" s="329"/>
      <c r="G27" s="339"/>
      <c r="H27" s="329"/>
      <c r="I27" s="339"/>
      <c r="J27" s="329"/>
      <c r="K27" s="176"/>
    </row>
    <row r="28" spans="1:12" x14ac:dyDescent="0.2">
      <c r="A28" s="332" t="s">
        <v>316</v>
      </c>
      <c r="B28" s="331">
        <f>SUM(B20:B27)</f>
        <v>31754</v>
      </c>
      <c r="C28" s="332" t="s">
        <v>316</v>
      </c>
      <c r="D28" s="331">
        <f>SUM(D20:D27)</f>
        <v>0</v>
      </c>
      <c r="E28" s="332" t="s">
        <v>316</v>
      </c>
      <c r="F28" s="444">
        <f>SUM(F20:F27)</f>
        <v>0</v>
      </c>
      <c r="G28" s="332" t="s">
        <v>316</v>
      </c>
      <c r="H28" s="444">
        <f>SUM(H20:H27)</f>
        <v>80006</v>
      </c>
      <c r="I28" s="332" t="s">
        <v>316</v>
      </c>
      <c r="J28" s="331">
        <f>SUM(J20:J27)</f>
        <v>0</v>
      </c>
      <c r="K28" s="331">
        <f>SUM(B28+D28+F28+H28+J28)</f>
        <v>111760</v>
      </c>
    </row>
    <row r="29" spans="1:12" x14ac:dyDescent="0.2">
      <c r="A29" s="332" t="s">
        <v>92</v>
      </c>
      <c r="B29" s="331">
        <f>SUM(B18-B28)</f>
        <v>0</v>
      </c>
      <c r="C29" s="332" t="s">
        <v>92</v>
      </c>
      <c r="D29" s="331">
        <f>SUM(D18-D28)</f>
        <v>109066</v>
      </c>
      <c r="E29" s="332" t="s">
        <v>92</v>
      </c>
      <c r="F29" s="331">
        <f>SUM(F18-F28)</f>
        <v>123488</v>
      </c>
      <c r="G29" s="332" t="s">
        <v>92</v>
      </c>
      <c r="H29" s="331">
        <f>SUM(H18-H28)</f>
        <v>13806</v>
      </c>
      <c r="I29" s="332" t="s">
        <v>92</v>
      </c>
      <c r="J29" s="331">
        <f>SUM(J18-J28)</f>
        <v>50000</v>
      </c>
      <c r="K29" s="342">
        <f>SUM(B29+D29+F29+H29+J29)</f>
        <v>296360</v>
      </c>
      <c r="L29" s="69" t="s">
        <v>163</v>
      </c>
    </row>
    <row r="30" spans="1:12" x14ac:dyDescent="0.2">
      <c r="A30" s="332"/>
      <c r="B30" s="343" t="str">
        <f>IF(B29&lt;0,"See Tab B","")</f>
        <v/>
      </c>
      <c r="C30" s="332"/>
      <c r="D30" s="343" t="str">
        <f>IF(D29&lt;0,"See Tab B","")</f>
        <v/>
      </c>
      <c r="E30" s="332"/>
      <c r="F30" s="343" t="str">
        <f>IF(F29&lt;0,"See Tab B","")</f>
        <v/>
      </c>
      <c r="G30" s="148"/>
      <c r="H30" s="343" t="str">
        <f>IF(H29&lt;0,"See Tab B","")</f>
        <v/>
      </c>
      <c r="I30" s="148"/>
      <c r="J30" s="343" t="str">
        <f>IF(J29&lt;0,"See Tab B","")</f>
        <v/>
      </c>
      <c r="K30" s="342">
        <f>SUM(K7+K17-K28)</f>
        <v>296360</v>
      </c>
      <c r="L30" s="69" t="s">
        <v>163</v>
      </c>
    </row>
    <row r="31" spans="1:12" x14ac:dyDescent="0.2">
      <c r="A31" s="148"/>
      <c r="B31" s="238"/>
      <c r="C31" s="148"/>
      <c r="D31" s="176"/>
      <c r="E31" s="148"/>
      <c r="F31" s="148"/>
      <c r="G31" s="80" t="s">
        <v>165</v>
      </c>
      <c r="H31" s="80"/>
      <c r="I31" s="80"/>
      <c r="J31" s="80"/>
      <c r="K31" s="148"/>
    </row>
    <row r="32" spans="1:12" x14ac:dyDescent="0.2">
      <c r="A32" s="148"/>
      <c r="B32" s="238"/>
      <c r="C32" s="148"/>
      <c r="D32" s="148"/>
      <c r="E32" s="148"/>
      <c r="F32" s="148"/>
      <c r="G32" s="148"/>
      <c r="H32" s="148"/>
      <c r="I32" s="148"/>
      <c r="J32" s="148"/>
      <c r="K32" s="148"/>
    </row>
    <row r="33" spans="1:11" x14ac:dyDescent="0.2">
      <c r="A33" s="148"/>
      <c r="B33" s="238"/>
      <c r="C33" s="148"/>
      <c r="D33" s="148"/>
      <c r="E33" s="246" t="s">
        <v>319</v>
      </c>
      <c r="F33" s="301">
        <v>20</v>
      </c>
      <c r="G33" s="148"/>
      <c r="H33" s="148"/>
      <c r="I33" s="148"/>
      <c r="J33" s="148"/>
      <c r="K33" s="148"/>
    </row>
    <row r="34" spans="1:11" x14ac:dyDescent="0.2">
      <c r="B34" s="344"/>
    </row>
    <row r="35" spans="1:11" x14ac:dyDescent="0.2">
      <c r="B35" s="344"/>
    </row>
    <row r="36" spans="1:11" x14ac:dyDescent="0.2">
      <c r="B36" s="344"/>
    </row>
    <row r="37" spans="1:11" x14ac:dyDescent="0.2">
      <c r="B37" s="344"/>
    </row>
    <row r="38" spans="1:11" x14ac:dyDescent="0.2">
      <c r="B38" s="344"/>
    </row>
    <row r="39" spans="1:11" x14ac:dyDescent="0.2">
      <c r="B39" s="344"/>
    </row>
    <row r="40" spans="1:11" x14ac:dyDescent="0.2">
      <c r="B40" s="344"/>
    </row>
    <row r="41" spans="1:11" x14ac:dyDescent="0.2">
      <c r="B41" s="34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B10" workbookViewId="0">
      <selection activeCell="F22" sqref="F22"/>
    </sheetView>
  </sheetViews>
  <sheetFormatPr defaultRowHeight="15.75" x14ac:dyDescent="0.2"/>
  <cols>
    <col min="1" max="1" width="11.5546875" style="69" customWidth="1"/>
    <col min="2" max="2" width="7.44140625" style="69" customWidth="1"/>
    <col min="3" max="3" width="11.5546875" style="69" customWidth="1"/>
    <col min="4" max="4" width="7.44140625" style="69" customWidth="1"/>
    <col min="5" max="5" width="11.5546875" style="69" customWidth="1"/>
    <col min="6" max="6" width="7.44140625" style="69" customWidth="1"/>
    <col min="7" max="7" width="11.5546875" style="69" customWidth="1"/>
    <col min="8" max="8" width="7.44140625" style="69" customWidth="1"/>
    <col min="9" max="9" width="11.5546875" style="69" customWidth="1"/>
    <col min="10" max="16384" width="8.88671875" style="69"/>
  </cols>
  <sheetData>
    <row r="1" spans="1:11" x14ac:dyDescent="0.2">
      <c r="A1" s="147" t="str">
        <f>inputPrYr!$D$3</f>
        <v>City of Herington</v>
      </c>
      <c r="B1" s="176"/>
      <c r="C1" s="148"/>
      <c r="D1" s="148"/>
      <c r="E1" s="148"/>
      <c r="F1" s="235" t="s">
        <v>93</v>
      </c>
      <c r="G1" s="148"/>
      <c r="H1" s="148"/>
      <c r="I1" s="148"/>
      <c r="J1" s="148"/>
      <c r="K1" s="148">
        <f>inputPrYr!$C$10</f>
        <v>2013</v>
      </c>
    </row>
    <row r="2" spans="1:11" x14ac:dyDescent="0.2">
      <c r="A2" s="148"/>
      <c r="B2" s="148"/>
      <c r="C2" s="148"/>
      <c r="D2" s="148"/>
      <c r="E2" s="148"/>
      <c r="F2" s="320" t="str">
        <f>CONCATENATE("(Only the actual budget year for ",K1-2," is to be shown)")</f>
        <v>(Only the actual budget year for 2011 is to be shown)</v>
      </c>
      <c r="G2" s="148"/>
      <c r="H2" s="148"/>
      <c r="I2" s="148"/>
      <c r="J2" s="148"/>
      <c r="K2" s="148"/>
    </row>
    <row r="3" spans="1:11" x14ac:dyDescent="0.2">
      <c r="A3" s="148" t="s">
        <v>126</v>
      </c>
      <c r="B3" s="148"/>
      <c r="C3" s="148"/>
      <c r="D3" s="148"/>
      <c r="E3" s="148"/>
      <c r="F3" s="176"/>
      <c r="G3" s="148"/>
      <c r="H3" s="148"/>
      <c r="I3" s="148"/>
      <c r="J3" s="148"/>
      <c r="K3" s="148"/>
    </row>
    <row r="4" spans="1:11" x14ac:dyDescent="0.2">
      <c r="A4" s="148" t="s">
        <v>86</v>
      </c>
      <c r="B4" s="148"/>
      <c r="C4" s="148" t="s">
        <v>87</v>
      </c>
      <c r="D4" s="148"/>
      <c r="E4" s="148" t="s">
        <v>88</v>
      </c>
      <c r="F4" s="176"/>
      <c r="G4" s="148" t="s">
        <v>89</v>
      </c>
      <c r="H4" s="148"/>
      <c r="I4" s="148" t="s">
        <v>90</v>
      </c>
      <c r="J4" s="148"/>
      <c r="K4" s="148"/>
    </row>
    <row r="5" spans="1:11" x14ac:dyDescent="0.2">
      <c r="A5" s="931" t="str">
        <f>IF(inputPrYr!B68&gt;" ",(inputPrYr!B68)," ")</f>
        <v>Light Bond Construction</v>
      </c>
      <c r="B5" s="932"/>
      <c r="C5" s="931" t="str">
        <f>IF(inputPrYr!B69&gt;" ",(inputPrYr!B69)," ")</f>
        <v>Equipment Reserves</v>
      </c>
      <c r="D5" s="932"/>
      <c r="E5" s="931" t="str">
        <f>IF(inputPrYr!B70&gt;" ",(inputPrYr!B70)," ")</f>
        <v>Hilltop/Homestead Deposits</v>
      </c>
      <c r="F5" s="932"/>
      <c r="G5" s="931" t="str">
        <f>IF(inputPrYr!B71&gt;" ",(inputPrYr!B71)," ")</f>
        <v xml:space="preserve"> </v>
      </c>
      <c r="H5" s="932"/>
      <c r="I5" s="931" t="str">
        <f>IF(inputPrYr!B72&gt;" ",(inputPrYr!B72)," ")</f>
        <v xml:space="preserve"> </v>
      </c>
      <c r="J5" s="932"/>
      <c r="K5" s="184"/>
    </row>
    <row r="6" spans="1:11" x14ac:dyDescent="0.2">
      <c r="A6" s="322" t="s">
        <v>91</v>
      </c>
      <c r="B6" s="323"/>
      <c r="C6" s="324" t="s">
        <v>91</v>
      </c>
      <c r="D6" s="325"/>
      <c r="E6" s="324" t="s">
        <v>91</v>
      </c>
      <c r="F6" s="321"/>
      <c r="G6" s="324" t="s">
        <v>91</v>
      </c>
      <c r="H6" s="326"/>
      <c r="I6" s="324" t="s">
        <v>91</v>
      </c>
      <c r="J6" s="148"/>
      <c r="K6" s="327" t="s">
        <v>277</v>
      </c>
    </row>
    <row r="7" spans="1:11" x14ac:dyDescent="0.2">
      <c r="A7" s="328" t="s">
        <v>206</v>
      </c>
      <c r="B7" s="329">
        <v>308650</v>
      </c>
      <c r="C7" s="330" t="s">
        <v>206</v>
      </c>
      <c r="D7" s="329">
        <v>174080</v>
      </c>
      <c r="E7" s="330" t="s">
        <v>206</v>
      </c>
      <c r="F7" s="329">
        <v>6006</v>
      </c>
      <c r="G7" s="330" t="s">
        <v>206</v>
      </c>
      <c r="H7" s="329"/>
      <c r="I7" s="330" t="s">
        <v>206</v>
      </c>
      <c r="J7" s="329"/>
      <c r="K7" s="331">
        <f>SUM(B7+D7+F7+H7+J7)</f>
        <v>488736</v>
      </c>
    </row>
    <row r="8" spans="1:11" x14ac:dyDescent="0.2">
      <c r="A8" s="332" t="s">
        <v>62</v>
      </c>
      <c r="B8" s="333"/>
      <c r="C8" s="332" t="s">
        <v>62</v>
      </c>
      <c r="D8" s="334"/>
      <c r="E8" s="332" t="s">
        <v>62</v>
      </c>
      <c r="F8" s="176"/>
      <c r="G8" s="332" t="s">
        <v>62</v>
      </c>
      <c r="H8" s="148"/>
      <c r="I8" s="332" t="s">
        <v>62</v>
      </c>
      <c r="J8" s="148"/>
      <c r="K8" s="176"/>
    </row>
    <row r="9" spans="1:11" x14ac:dyDescent="0.2">
      <c r="A9" s="335" t="s">
        <v>353</v>
      </c>
      <c r="B9" s="329">
        <v>1726</v>
      </c>
      <c r="C9" s="335" t="s">
        <v>114</v>
      </c>
      <c r="D9" s="329">
        <v>115000</v>
      </c>
      <c r="E9" s="335" t="s">
        <v>1159</v>
      </c>
      <c r="F9" s="329">
        <v>2940</v>
      </c>
      <c r="G9" s="335"/>
      <c r="H9" s="329"/>
      <c r="I9" s="335"/>
      <c r="J9" s="329"/>
      <c r="K9" s="176"/>
    </row>
    <row r="10" spans="1:11" x14ac:dyDescent="0.2">
      <c r="A10" s="335"/>
      <c r="B10" s="329"/>
      <c r="C10" s="335" t="s">
        <v>353</v>
      </c>
      <c r="D10" s="329">
        <v>1608</v>
      </c>
      <c r="E10" s="335" t="s">
        <v>353</v>
      </c>
      <c r="F10" s="329">
        <v>6</v>
      </c>
      <c r="G10" s="335"/>
      <c r="H10" s="329"/>
      <c r="I10" s="335"/>
      <c r="J10" s="329"/>
      <c r="K10" s="176"/>
    </row>
    <row r="11" spans="1:11" x14ac:dyDescent="0.2">
      <c r="A11" s="335"/>
      <c r="B11" s="329"/>
      <c r="C11" s="337"/>
      <c r="D11" s="329"/>
      <c r="E11" s="337"/>
      <c r="F11" s="329"/>
      <c r="G11" s="337"/>
      <c r="H11" s="329"/>
      <c r="I11" s="338"/>
      <c r="J11" s="329"/>
      <c r="K11" s="176"/>
    </row>
    <row r="12" spans="1:11" x14ac:dyDescent="0.2">
      <c r="A12" s="335"/>
      <c r="B12" s="329"/>
      <c r="C12" s="335"/>
      <c r="D12" s="329"/>
      <c r="E12" s="339"/>
      <c r="F12" s="329"/>
      <c r="G12" s="339"/>
      <c r="H12" s="329"/>
      <c r="I12" s="339"/>
      <c r="J12" s="329"/>
      <c r="K12" s="176"/>
    </row>
    <row r="13" spans="1:11" x14ac:dyDescent="0.2">
      <c r="A13" s="340"/>
      <c r="B13" s="329"/>
      <c r="C13" s="341"/>
      <c r="D13" s="329"/>
      <c r="E13" s="341"/>
      <c r="F13" s="329"/>
      <c r="G13" s="341"/>
      <c r="H13" s="329"/>
      <c r="I13" s="338"/>
      <c r="J13" s="329"/>
      <c r="K13" s="176"/>
    </row>
    <row r="14" spans="1:11" x14ac:dyDescent="0.2">
      <c r="A14" s="335"/>
      <c r="B14" s="329"/>
      <c r="C14" s="339"/>
      <c r="D14" s="329"/>
      <c r="E14" s="339"/>
      <c r="F14" s="329"/>
      <c r="G14" s="339"/>
      <c r="H14" s="329"/>
      <c r="I14" s="339"/>
      <c r="J14" s="329"/>
      <c r="K14" s="176"/>
    </row>
    <row r="15" spans="1:11" x14ac:dyDescent="0.2">
      <c r="A15" s="335"/>
      <c r="B15" s="329"/>
      <c r="C15" s="339"/>
      <c r="D15" s="329"/>
      <c r="E15" s="339"/>
      <c r="F15" s="329"/>
      <c r="G15" s="339"/>
      <c r="H15" s="329"/>
      <c r="I15" s="339"/>
      <c r="J15" s="329"/>
      <c r="K15" s="176"/>
    </row>
    <row r="16" spans="1:11" x14ac:dyDescent="0.2">
      <c r="A16" s="335"/>
      <c r="B16" s="329"/>
      <c r="C16" s="335"/>
      <c r="D16" s="329"/>
      <c r="E16" s="335"/>
      <c r="F16" s="329"/>
      <c r="G16" s="339"/>
      <c r="H16" s="329"/>
      <c r="I16" s="335"/>
      <c r="J16" s="329"/>
      <c r="K16" s="176"/>
    </row>
    <row r="17" spans="1:12" x14ac:dyDescent="0.2">
      <c r="A17" s="332" t="s">
        <v>309</v>
      </c>
      <c r="B17" s="331">
        <f>SUM(B9:B16)</f>
        <v>1726</v>
      </c>
      <c r="C17" s="332" t="s">
        <v>309</v>
      </c>
      <c r="D17" s="331">
        <f>SUM(D9:D16)</f>
        <v>116608</v>
      </c>
      <c r="E17" s="332" t="s">
        <v>309</v>
      </c>
      <c r="F17" s="444">
        <f>SUM(F9:F16)</f>
        <v>2946</v>
      </c>
      <c r="G17" s="332" t="s">
        <v>309</v>
      </c>
      <c r="H17" s="331">
        <f>SUM(H9:H16)</f>
        <v>0</v>
      </c>
      <c r="I17" s="332" t="s">
        <v>309</v>
      </c>
      <c r="J17" s="331">
        <f>SUM(J9:J16)</f>
        <v>0</v>
      </c>
      <c r="K17" s="331">
        <f>SUM(B17+D17+F17+H17+J17)</f>
        <v>121280</v>
      </c>
    </row>
    <row r="18" spans="1:12" x14ac:dyDescent="0.2">
      <c r="A18" s="332" t="s">
        <v>310</v>
      </c>
      <c r="B18" s="331">
        <f>SUM(B7+B17)</f>
        <v>310376</v>
      </c>
      <c r="C18" s="332" t="s">
        <v>310</v>
      </c>
      <c r="D18" s="331">
        <f>SUM(D7+D17)</f>
        <v>290688</v>
      </c>
      <c r="E18" s="332" t="s">
        <v>310</v>
      </c>
      <c r="F18" s="331">
        <f>SUM(F7+F17)</f>
        <v>8952</v>
      </c>
      <c r="G18" s="332" t="s">
        <v>310</v>
      </c>
      <c r="H18" s="331">
        <f>SUM(H7+H17)</f>
        <v>0</v>
      </c>
      <c r="I18" s="332" t="s">
        <v>310</v>
      </c>
      <c r="J18" s="331">
        <f>SUM(J7+J17)</f>
        <v>0</v>
      </c>
      <c r="K18" s="331">
        <f>SUM(B18+D18+F18+H18+J18)</f>
        <v>610016</v>
      </c>
    </row>
    <row r="19" spans="1:12" x14ac:dyDescent="0.2">
      <c r="A19" s="332" t="s">
        <v>312</v>
      </c>
      <c r="B19" s="333"/>
      <c r="C19" s="332" t="s">
        <v>312</v>
      </c>
      <c r="D19" s="334"/>
      <c r="E19" s="332" t="s">
        <v>312</v>
      </c>
      <c r="F19" s="176"/>
      <c r="G19" s="332" t="s">
        <v>312</v>
      </c>
      <c r="H19" s="148"/>
      <c r="I19" s="332" t="s">
        <v>312</v>
      </c>
      <c r="J19" s="148"/>
      <c r="K19" s="176"/>
    </row>
    <row r="20" spans="1:12" x14ac:dyDescent="0.2">
      <c r="A20" s="335" t="s">
        <v>1158</v>
      </c>
      <c r="B20" s="329">
        <v>33514</v>
      </c>
      <c r="C20" s="339"/>
      <c r="D20" s="329"/>
      <c r="E20" s="339" t="s">
        <v>1160</v>
      </c>
      <c r="F20" s="329">
        <v>500</v>
      </c>
      <c r="G20" s="339"/>
      <c r="H20" s="329"/>
      <c r="I20" s="339"/>
      <c r="J20" s="329"/>
      <c r="K20" s="176"/>
    </row>
    <row r="21" spans="1:12" x14ac:dyDescent="0.2">
      <c r="A21" s="335"/>
      <c r="B21" s="329"/>
      <c r="C21" s="339"/>
      <c r="D21" s="329"/>
      <c r="E21" s="339"/>
      <c r="F21" s="329"/>
      <c r="G21" s="339"/>
      <c r="H21" s="329"/>
      <c r="I21" s="339"/>
      <c r="J21" s="329"/>
      <c r="K21" s="176"/>
    </row>
    <row r="22" spans="1:12" x14ac:dyDescent="0.2">
      <c r="A22" s="335"/>
      <c r="B22" s="329"/>
      <c r="C22" s="341"/>
      <c r="D22" s="329"/>
      <c r="E22" s="341"/>
      <c r="F22" s="329"/>
      <c r="G22" s="341"/>
      <c r="H22" s="329"/>
      <c r="I22" s="338"/>
      <c r="J22" s="329"/>
      <c r="K22" s="176"/>
    </row>
    <row r="23" spans="1:12" x14ac:dyDescent="0.2">
      <c r="A23" s="335"/>
      <c r="B23" s="329"/>
      <c r="C23" s="339"/>
      <c r="D23" s="329"/>
      <c r="E23" s="339"/>
      <c r="F23" s="329"/>
      <c r="G23" s="339"/>
      <c r="H23" s="329"/>
      <c r="I23" s="339"/>
      <c r="J23" s="329"/>
      <c r="K23" s="176"/>
    </row>
    <row r="24" spans="1:12" x14ac:dyDescent="0.2">
      <c r="A24" s="335"/>
      <c r="B24" s="329"/>
      <c r="C24" s="341"/>
      <c r="D24" s="329"/>
      <c r="E24" s="341"/>
      <c r="F24" s="329"/>
      <c r="G24" s="341"/>
      <c r="H24" s="329"/>
      <c r="I24" s="338"/>
      <c r="J24" s="329"/>
      <c r="K24" s="176"/>
    </row>
    <row r="25" spans="1:12" x14ac:dyDescent="0.2">
      <c r="A25" s="335"/>
      <c r="B25" s="329"/>
      <c r="C25" s="339"/>
      <c r="D25" s="329"/>
      <c r="E25" s="339"/>
      <c r="F25" s="329"/>
      <c r="G25" s="339"/>
      <c r="H25" s="329"/>
      <c r="I25" s="339"/>
      <c r="J25" s="329"/>
      <c r="K25" s="176"/>
    </row>
    <row r="26" spans="1:12" x14ac:dyDescent="0.2">
      <c r="A26" s="335"/>
      <c r="B26" s="329"/>
      <c r="C26" s="339"/>
      <c r="D26" s="329"/>
      <c r="E26" s="339"/>
      <c r="F26" s="329"/>
      <c r="G26" s="339"/>
      <c r="H26" s="329"/>
      <c r="I26" s="339"/>
      <c r="J26" s="329"/>
      <c r="K26" s="176"/>
    </row>
    <row r="27" spans="1:12" x14ac:dyDescent="0.2">
      <c r="A27" s="335"/>
      <c r="B27" s="329"/>
      <c r="C27" s="335"/>
      <c r="D27" s="329"/>
      <c r="E27" s="335"/>
      <c r="F27" s="329"/>
      <c r="G27" s="339"/>
      <c r="H27" s="329"/>
      <c r="I27" s="339"/>
      <c r="J27" s="329"/>
      <c r="K27" s="176"/>
    </row>
    <row r="28" spans="1:12" x14ac:dyDescent="0.2">
      <c r="A28" s="332" t="s">
        <v>316</v>
      </c>
      <c r="B28" s="331">
        <f>SUM(B20:B27)</f>
        <v>33514</v>
      </c>
      <c r="C28" s="332" t="s">
        <v>316</v>
      </c>
      <c r="D28" s="331">
        <f>SUM(D20:D27)</f>
        <v>0</v>
      </c>
      <c r="E28" s="332" t="s">
        <v>316</v>
      </c>
      <c r="F28" s="444">
        <f>SUM(F20:F27)</f>
        <v>500</v>
      </c>
      <c r="G28" s="332" t="s">
        <v>316</v>
      </c>
      <c r="H28" s="444">
        <f>SUM(H20:H27)</f>
        <v>0</v>
      </c>
      <c r="I28" s="332" t="s">
        <v>316</v>
      </c>
      <c r="J28" s="331">
        <f>SUM(J20:J27)</f>
        <v>0</v>
      </c>
      <c r="K28" s="331">
        <f>SUM(B28+D28+F28+H28+J28)</f>
        <v>34014</v>
      </c>
    </row>
    <row r="29" spans="1:12" x14ac:dyDescent="0.2">
      <c r="A29" s="332" t="s">
        <v>92</v>
      </c>
      <c r="B29" s="331">
        <f>SUM(B18-B28)</f>
        <v>276862</v>
      </c>
      <c r="C29" s="332" t="s">
        <v>92</v>
      </c>
      <c r="D29" s="331">
        <f>SUM(D18-D28)</f>
        <v>290688</v>
      </c>
      <c r="E29" s="332" t="s">
        <v>92</v>
      </c>
      <c r="F29" s="331">
        <f>SUM(F18-F28)</f>
        <v>8452</v>
      </c>
      <c r="G29" s="332" t="s">
        <v>92</v>
      </c>
      <c r="H29" s="331">
        <f>SUM(H18-H28)</f>
        <v>0</v>
      </c>
      <c r="I29" s="332" t="s">
        <v>92</v>
      </c>
      <c r="J29" s="331">
        <f>SUM(J18-J28)</f>
        <v>0</v>
      </c>
      <c r="K29" s="342">
        <f>SUM(B29+D29+F29+H29+J29)</f>
        <v>576002</v>
      </c>
      <c r="L29" s="69" t="s">
        <v>163</v>
      </c>
    </row>
    <row r="30" spans="1:12" x14ac:dyDescent="0.2">
      <c r="A30" s="332"/>
      <c r="B30" s="343" t="str">
        <f>IF(B29&lt;0,"See Tab B","")</f>
        <v/>
      </c>
      <c r="C30" s="332"/>
      <c r="D30" s="343" t="str">
        <f>IF(D29&lt;0,"See Tab B","")</f>
        <v/>
      </c>
      <c r="E30" s="332"/>
      <c r="F30" s="343" t="str">
        <f>IF(F29&lt;0,"See Tab B","")</f>
        <v/>
      </c>
      <c r="G30" s="148"/>
      <c r="H30" s="343" t="str">
        <f>IF(H29&lt;0,"See Tab B","")</f>
        <v/>
      </c>
      <c r="I30" s="148"/>
      <c r="J30" s="343" t="str">
        <f>IF(J29&lt;0,"See Tab B","")</f>
        <v/>
      </c>
      <c r="K30" s="342">
        <f>SUM(K7+K17-K28)</f>
        <v>576002</v>
      </c>
      <c r="L30" s="69" t="s">
        <v>163</v>
      </c>
    </row>
    <row r="31" spans="1:12" x14ac:dyDescent="0.2">
      <c r="A31" s="148"/>
      <c r="B31" s="238"/>
      <c r="C31" s="148"/>
      <c r="D31" s="176"/>
      <c r="E31" s="148"/>
      <c r="F31" s="148"/>
      <c r="G31" s="80" t="s">
        <v>165</v>
      </c>
      <c r="H31" s="80"/>
      <c r="I31" s="80"/>
      <c r="J31" s="80"/>
      <c r="K31" s="148"/>
    </row>
    <row r="32" spans="1:12" x14ac:dyDescent="0.2">
      <c r="A32" s="148"/>
      <c r="B32" s="238"/>
      <c r="C32" s="148"/>
      <c r="D32" s="148"/>
      <c r="E32" s="148"/>
      <c r="F32" s="148"/>
      <c r="G32" s="148"/>
      <c r="H32" s="148"/>
      <c r="I32" s="148"/>
      <c r="J32" s="148"/>
      <c r="K32" s="148"/>
    </row>
    <row r="33" spans="1:11" x14ac:dyDescent="0.2">
      <c r="A33" s="148"/>
      <c r="B33" s="238"/>
      <c r="C33" s="148"/>
      <c r="D33" s="148"/>
      <c r="E33" s="246" t="s">
        <v>319</v>
      </c>
      <c r="F33" s="301">
        <v>21</v>
      </c>
      <c r="G33" s="148"/>
      <c r="H33" s="148"/>
      <c r="I33" s="148"/>
      <c r="J33" s="148"/>
      <c r="K33" s="148"/>
    </row>
    <row r="34" spans="1:11" x14ac:dyDescent="0.2">
      <c r="B34" s="344"/>
    </row>
    <row r="35" spans="1:11" x14ac:dyDescent="0.2">
      <c r="B35" s="344"/>
    </row>
    <row r="36" spans="1:11" x14ac:dyDescent="0.2">
      <c r="B36" s="344"/>
    </row>
    <row r="37" spans="1:11" x14ac:dyDescent="0.2">
      <c r="B37" s="344"/>
    </row>
    <row r="38" spans="1:11" x14ac:dyDescent="0.2">
      <c r="B38" s="344"/>
    </row>
    <row r="39" spans="1:11" x14ac:dyDescent="0.2">
      <c r="B39" s="344"/>
    </row>
    <row r="40" spans="1:11" x14ac:dyDescent="0.2">
      <c r="B40" s="344"/>
    </row>
    <row r="41" spans="1:11" x14ac:dyDescent="0.2">
      <c r="B41" s="34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B12" sqref="B12:J13"/>
    </sheetView>
  </sheetViews>
  <sheetFormatPr defaultRowHeight="15.75" x14ac:dyDescent="0.2"/>
  <cols>
    <col min="1" max="1" width="11.5546875" style="69" customWidth="1"/>
    <col min="2" max="2" width="7.44140625" style="69" customWidth="1"/>
    <col min="3" max="3" width="11.5546875" style="69" customWidth="1"/>
    <col min="4" max="4" width="7.44140625" style="69" customWidth="1"/>
    <col min="5" max="5" width="11.5546875" style="69" customWidth="1"/>
    <col min="6" max="6" width="7.44140625" style="69" customWidth="1"/>
    <col min="7" max="7" width="11.5546875" style="69" customWidth="1"/>
    <col min="8" max="8" width="7.44140625" style="69" customWidth="1"/>
    <col min="9" max="9" width="11.5546875" style="69" customWidth="1"/>
    <col min="10" max="16384" width="8.88671875" style="69"/>
  </cols>
  <sheetData>
    <row r="1" spans="1:11" x14ac:dyDescent="0.2">
      <c r="A1" s="147" t="str">
        <f>inputPrYr!$D$3</f>
        <v>City of Herington</v>
      </c>
      <c r="B1" s="176"/>
      <c r="C1" s="148"/>
      <c r="D1" s="148"/>
      <c r="E1" s="148"/>
      <c r="F1" s="235" t="s">
        <v>94</v>
      </c>
      <c r="G1" s="148"/>
      <c r="H1" s="148"/>
      <c r="I1" s="148"/>
      <c r="J1" s="148"/>
      <c r="K1" s="148">
        <f>inputPrYr!$C$10</f>
        <v>2013</v>
      </c>
    </row>
    <row r="2" spans="1:11" x14ac:dyDescent="0.2">
      <c r="A2" s="148"/>
      <c r="B2" s="148"/>
      <c r="C2" s="148"/>
      <c r="D2" s="148"/>
      <c r="E2" s="148"/>
      <c r="F2" s="320" t="str">
        <f>CONCATENATE("(Only the actual budget year for ",K1-2," is to be shown)")</f>
        <v>(Only the actual budget year for 2011 is to be shown)</v>
      </c>
      <c r="G2" s="148"/>
      <c r="H2" s="148"/>
      <c r="I2" s="148"/>
      <c r="J2" s="148"/>
      <c r="K2" s="148"/>
    </row>
    <row r="3" spans="1:11" x14ac:dyDescent="0.2">
      <c r="A3" s="148" t="s">
        <v>124</v>
      </c>
      <c r="B3" s="148"/>
      <c r="C3" s="148"/>
      <c r="D3" s="148"/>
      <c r="E3" s="148"/>
      <c r="F3" s="176"/>
      <c r="G3" s="148"/>
      <c r="H3" s="148"/>
      <c r="I3" s="148"/>
      <c r="J3" s="148"/>
      <c r="K3" s="148"/>
    </row>
    <row r="4" spans="1:11" x14ac:dyDescent="0.2">
      <c r="A4" s="148" t="s">
        <v>86</v>
      </c>
      <c r="B4" s="148"/>
      <c r="C4" s="148" t="s">
        <v>87</v>
      </c>
      <c r="D4" s="148"/>
      <c r="E4" s="148" t="s">
        <v>88</v>
      </c>
      <c r="F4" s="176"/>
      <c r="G4" s="148" t="s">
        <v>89</v>
      </c>
      <c r="H4" s="148"/>
      <c r="I4" s="148" t="s">
        <v>90</v>
      </c>
      <c r="J4" s="148"/>
      <c r="K4" s="148"/>
    </row>
    <row r="5" spans="1:11" x14ac:dyDescent="0.2">
      <c r="A5" s="931" t="str">
        <f>IF(inputPrYr!B74&gt;" ",(inputPrYr!B74)," ")</f>
        <v xml:space="preserve"> </v>
      </c>
      <c r="B5" s="932"/>
      <c r="C5" s="931" t="str">
        <f>IF(inputPrYr!B75&gt;" ",(inputPrYr!B75)," ")</f>
        <v xml:space="preserve"> </v>
      </c>
      <c r="D5" s="932"/>
      <c r="E5" s="931" t="str">
        <f>IF(inputPrYr!B76&gt;" ",(inputPrYr!B76)," ")</f>
        <v xml:space="preserve"> </v>
      </c>
      <c r="F5" s="932"/>
      <c r="G5" s="931" t="str">
        <f>IF(inputPrYr!B77&gt;" ",(inputPrYr!B77)," ")</f>
        <v xml:space="preserve"> </v>
      </c>
      <c r="H5" s="932"/>
      <c r="I5" s="931" t="str">
        <f>IF(inputPrYr!B78&gt;" ",(inputPrYr!B78)," ")</f>
        <v xml:space="preserve"> </v>
      </c>
      <c r="J5" s="932"/>
      <c r="K5" s="184"/>
    </row>
    <row r="6" spans="1:11" x14ac:dyDescent="0.2">
      <c r="A6" s="322" t="s">
        <v>91</v>
      </c>
      <c r="B6" s="323"/>
      <c r="C6" s="324" t="s">
        <v>91</v>
      </c>
      <c r="D6" s="325"/>
      <c r="E6" s="324" t="s">
        <v>91</v>
      </c>
      <c r="F6" s="321"/>
      <c r="G6" s="324" t="s">
        <v>91</v>
      </c>
      <c r="H6" s="326"/>
      <c r="I6" s="324" t="s">
        <v>91</v>
      </c>
      <c r="J6" s="148"/>
      <c r="K6" s="327" t="s">
        <v>277</v>
      </c>
    </row>
    <row r="7" spans="1:11" x14ac:dyDescent="0.2">
      <c r="A7" s="328" t="s">
        <v>206</v>
      </c>
      <c r="B7" s="329"/>
      <c r="C7" s="330" t="s">
        <v>206</v>
      </c>
      <c r="D7" s="329"/>
      <c r="E7" s="330" t="s">
        <v>206</v>
      </c>
      <c r="F7" s="329"/>
      <c r="G7" s="330" t="s">
        <v>206</v>
      </c>
      <c r="H7" s="329"/>
      <c r="I7" s="330" t="s">
        <v>206</v>
      </c>
      <c r="J7" s="329"/>
      <c r="K7" s="331">
        <f>SUM(B7+D7+F7+H7+J7)</f>
        <v>0</v>
      </c>
    </row>
    <row r="8" spans="1:11" x14ac:dyDescent="0.2">
      <c r="A8" s="332" t="s">
        <v>62</v>
      </c>
      <c r="B8" s="333"/>
      <c r="C8" s="332" t="s">
        <v>62</v>
      </c>
      <c r="D8" s="334"/>
      <c r="E8" s="332" t="s">
        <v>62</v>
      </c>
      <c r="F8" s="176"/>
      <c r="G8" s="332" t="s">
        <v>62</v>
      </c>
      <c r="H8" s="148"/>
      <c r="I8" s="332" t="s">
        <v>62</v>
      </c>
      <c r="J8" s="148"/>
      <c r="K8" s="176"/>
    </row>
    <row r="9" spans="1:11" x14ac:dyDescent="0.2">
      <c r="A9" s="335"/>
      <c r="B9" s="329"/>
      <c r="C9" s="335"/>
      <c r="D9" s="329"/>
      <c r="E9" s="335"/>
      <c r="F9" s="329"/>
      <c r="G9" s="335"/>
      <c r="H9" s="329"/>
      <c r="I9" s="335"/>
      <c r="J9" s="329"/>
      <c r="K9" s="176"/>
    </row>
    <row r="10" spans="1:11" x14ac:dyDescent="0.2">
      <c r="A10" s="335"/>
      <c r="B10" s="329"/>
      <c r="C10" s="335"/>
      <c r="D10" s="329"/>
      <c r="E10" s="335"/>
      <c r="F10" s="329"/>
      <c r="G10" s="335"/>
      <c r="H10" s="329"/>
      <c r="I10" s="335"/>
      <c r="J10" s="329"/>
      <c r="K10" s="176"/>
    </row>
    <row r="11" spans="1:11" x14ac:dyDescent="0.2">
      <c r="A11" s="335"/>
      <c r="B11" s="329"/>
      <c r="C11" s="337"/>
      <c r="D11" s="329"/>
      <c r="E11" s="337"/>
      <c r="F11" s="329"/>
      <c r="G11" s="337"/>
      <c r="H11" s="329"/>
      <c r="I11" s="338"/>
      <c r="J11" s="329"/>
      <c r="K11" s="176"/>
    </row>
    <row r="12" spans="1:11" x14ac:dyDescent="0.2">
      <c r="A12" s="335"/>
      <c r="B12" s="329"/>
      <c r="C12" s="335"/>
      <c r="D12" s="329"/>
      <c r="E12" s="339"/>
      <c r="F12" s="329"/>
      <c r="G12" s="339"/>
      <c r="H12" s="329"/>
      <c r="I12" s="339"/>
      <c r="J12" s="329"/>
      <c r="K12" s="176"/>
    </row>
    <row r="13" spans="1:11" x14ac:dyDescent="0.2">
      <c r="A13" s="340"/>
      <c r="B13" s="329"/>
      <c r="C13" s="341"/>
      <c r="D13" s="329"/>
      <c r="E13" s="341"/>
      <c r="F13" s="329"/>
      <c r="G13" s="341"/>
      <c r="H13" s="329"/>
      <c r="I13" s="338"/>
      <c r="J13" s="329"/>
      <c r="K13" s="176"/>
    </row>
    <row r="14" spans="1:11" x14ac:dyDescent="0.2">
      <c r="A14" s="335"/>
      <c r="B14" s="329"/>
      <c r="C14" s="339"/>
      <c r="D14" s="329"/>
      <c r="E14" s="339"/>
      <c r="F14" s="329"/>
      <c r="G14" s="339"/>
      <c r="H14" s="329"/>
      <c r="I14" s="339"/>
      <c r="J14" s="329"/>
      <c r="K14" s="176"/>
    </row>
    <row r="15" spans="1:11" x14ac:dyDescent="0.2">
      <c r="A15" s="335"/>
      <c r="B15" s="329"/>
      <c r="C15" s="339"/>
      <c r="D15" s="329"/>
      <c r="E15" s="339"/>
      <c r="F15" s="329"/>
      <c r="G15" s="339"/>
      <c r="H15" s="329"/>
      <c r="I15" s="339"/>
      <c r="J15" s="329"/>
      <c r="K15" s="176"/>
    </row>
    <row r="16" spans="1:11" x14ac:dyDescent="0.2">
      <c r="A16" s="335"/>
      <c r="B16" s="329"/>
      <c r="C16" s="335"/>
      <c r="D16" s="329"/>
      <c r="E16" s="335"/>
      <c r="F16" s="329"/>
      <c r="G16" s="339"/>
      <c r="H16" s="329"/>
      <c r="I16" s="335"/>
      <c r="J16" s="329"/>
      <c r="K16" s="176"/>
    </row>
    <row r="17" spans="1:12" x14ac:dyDescent="0.2">
      <c r="A17" s="332" t="s">
        <v>309</v>
      </c>
      <c r="B17" s="331">
        <f>SUM(B9:B16)</f>
        <v>0</v>
      </c>
      <c r="C17" s="332" t="s">
        <v>309</v>
      </c>
      <c r="D17" s="331">
        <f>SUM(D9:D16)</f>
        <v>0</v>
      </c>
      <c r="E17" s="332" t="s">
        <v>309</v>
      </c>
      <c r="F17" s="444">
        <f>SUM(F9:F16)</f>
        <v>0</v>
      </c>
      <c r="G17" s="332" t="s">
        <v>309</v>
      </c>
      <c r="H17" s="331">
        <f>SUM(H9:H16)</f>
        <v>0</v>
      </c>
      <c r="I17" s="332" t="s">
        <v>309</v>
      </c>
      <c r="J17" s="331">
        <f>SUM(J9:J16)</f>
        <v>0</v>
      </c>
      <c r="K17" s="331">
        <f>SUM(B17+D17+F17+H17+J17)</f>
        <v>0</v>
      </c>
    </row>
    <row r="18" spans="1:12" x14ac:dyDescent="0.2">
      <c r="A18" s="332" t="s">
        <v>310</v>
      </c>
      <c r="B18" s="331">
        <f>SUM(B7+B17)</f>
        <v>0</v>
      </c>
      <c r="C18" s="332" t="s">
        <v>310</v>
      </c>
      <c r="D18" s="331">
        <f>SUM(D7+D17)</f>
        <v>0</v>
      </c>
      <c r="E18" s="332" t="s">
        <v>310</v>
      </c>
      <c r="F18" s="331">
        <f>SUM(F7+F17)</f>
        <v>0</v>
      </c>
      <c r="G18" s="332" t="s">
        <v>310</v>
      </c>
      <c r="H18" s="331">
        <f>SUM(H7+H17)</f>
        <v>0</v>
      </c>
      <c r="I18" s="332" t="s">
        <v>310</v>
      </c>
      <c r="J18" s="331">
        <f>SUM(J7+J17)</f>
        <v>0</v>
      </c>
      <c r="K18" s="331">
        <f>SUM(B18+D18+F18+H18+J18)</f>
        <v>0</v>
      </c>
    </row>
    <row r="19" spans="1:12" x14ac:dyDescent="0.2">
      <c r="A19" s="332" t="s">
        <v>312</v>
      </c>
      <c r="B19" s="333"/>
      <c r="C19" s="332" t="s">
        <v>312</v>
      </c>
      <c r="D19" s="334"/>
      <c r="E19" s="332" t="s">
        <v>312</v>
      </c>
      <c r="F19" s="176"/>
      <c r="G19" s="332" t="s">
        <v>312</v>
      </c>
      <c r="H19" s="148"/>
      <c r="I19" s="332" t="s">
        <v>312</v>
      </c>
      <c r="J19" s="148"/>
      <c r="K19" s="176"/>
    </row>
    <row r="20" spans="1:12" x14ac:dyDescent="0.2">
      <c r="A20" s="335"/>
      <c r="B20" s="329"/>
      <c r="C20" s="339"/>
      <c r="D20" s="329"/>
      <c r="E20" s="339"/>
      <c r="F20" s="329"/>
      <c r="G20" s="339"/>
      <c r="H20" s="329"/>
      <c r="I20" s="339"/>
      <c r="J20" s="329"/>
      <c r="K20" s="176"/>
    </row>
    <row r="21" spans="1:12" x14ac:dyDescent="0.2">
      <c r="A21" s="335"/>
      <c r="B21" s="329"/>
      <c r="C21" s="339"/>
      <c r="D21" s="329"/>
      <c r="E21" s="339"/>
      <c r="F21" s="329"/>
      <c r="G21" s="339"/>
      <c r="H21" s="329"/>
      <c r="I21" s="339"/>
      <c r="J21" s="329"/>
      <c r="K21" s="176"/>
    </row>
    <row r="22" spans="1:12" x14ac:dyDescent="0.2">
      <c r="A22" s="335"/>
      <c r="B22" s="329"/>
      <c r="C22" s="341"/>
      <c r="D22" s="329"/>
      <c r="E22" s="341"/>
      <c r="F22" s="329"/>
      <c r="G22" s="341"/>
      <c r="H22" s="329"/>
      <c r="I22" s="338"/>
      <c r="J22" s="329"/>
      <c r="K22" s="176"/>
    </row>
    <row r="23" spans="1:12" x14ac:dyDescent="0.2">
      <c r="A23" s="335"/>
      <c r="B23" s="329"/>
      <c r="C23" s="339"/>
      <c r="D23" s="329"/>
      <c r="E23" s="339"/>
      <c r="F23" s="329"/>
      <c r="G23" s="339"/>
      <c r="H23" s="329"/>
      <c r="I23" s="339"/>
      <c r="J23" s="329"/>
      <c r="K23" s="176"/>
    </row>
    <row r="24" spans="1:12" x14ac:dyDescent="0.2">
      <c r="A24" s="335"/>
      <c r="B24" s="329"/>
      <c r="C24" s="341"/>
      <c r="D24" s="329"/>
      <c r="E24" s="341"/>
      <c r="F24" s="329"/>
      <c r="G24" s="341"/>
      <c r="H24" s="329"/>
      <c r="I24" s="338"/>
      <c r="J24" s="329"/>
      <c r="K24" s="176"/>
    </row>
    <row r="25" spans="1:12" x14ac:dyDescent="0.2">
      <c r="A25" s="335"/>
      <c r="B25" s="329"/>
      <c r="C25" s="339"/>
      <c r="D25" s="329"/>
      <c r="E25" s="339"/>
      <c r="F25" s="329"/>
      <c r="G25" s="339"/>
      <c r="H25" s="329"/>
      <c r="I25" s="339"/>
      <c r="J25" s="329"/>
      <c r="K25" s="176"/>
    </row>
    <row r="26" spans="1:12" x14ac:dyDescent="0.2">
      <c r="A26" s="335"/>
      <c r="B26" s="329"/>
      <c r="C26" s="339"/>
      <c r="D26" s="329"/>
      <c r="E26" s="339"/>
      <c r="F26" s="329"/>
      <c r="G26" s="339"/>
      <c r="H26" s="329"/>
      <c r="I26" s="339"/>
      <c r="J26" s="329"/>
      <c r="K26" s="176"/>
    </row>
    <row r="27" spans="1:12" x14ac:dyDescent="0.2">
      <c r="A27" s="335"/>
      <c r="B27" s="329"/>
      <c r="C27" s="335"/>
      <c r="D27" s="329"/>
      <c r="E27" s="335"/>
      <c r="F27" s="329"/>
      <c r="G27" s="339"/>
      <c r="H27" s="329"/>
      <c r="I27" s="339"/>
      <c r="J27" s="329"/>
      <c r="K27" s="176"/>
    </row>
    <row r="28" spans="1:12" x14ac:dyDescent="0.2">
      <c r="A28" s="332" t="s">
        <v>316</v>
      </c>
      <c r="B28" s="331">
        <f>SUM(B20:B27)</f>
        <v>0</v>
      </c>
      <c r="C28" s="332" t="s">
        <v>316</v>
      </c>
      <c r="D28" s="331">
        <f>SUM(D20:D27)</f>
        <v>0</v>
      </c>
      <c r="E28" s="332" t="s">
        <v>316</v>
      </c>
      <c r="F28" s="444">
        <f>SUM(F20:F27)</f>
        <v>0</v>
      </c>
      <c r="G28" s="332" t="s">
        <v>316</v>
      </c>
      <c r="H28" s="444">
        <f>SUM(H20:H27)</f>
        <v>0</v>
      </c>
      <c r="I28" s="332" t="s">
        <v>316</v>
      </c>
      <c r="J28" s="331">
        <f>SUM(J20:J27)</f>
        <v>0</v>
      </c>
      <c r="K28" s="331">
        <f>SUM(B28+D28+F28+H28+J28)</f>
        <v>0</v>
      </c>
    </row>
    <row r="29" spans="1:12" x14ac:dyDescent="0.2">
      <c r="A29" s="332" t="s">
        <v>92</v>
      </c>
      <c r="B29" s="331">
        <f>SUM(B18-B28)</f>
        <v>0</v>
      </c>
      <c r="C29" s="332" t="s">
        <v>92</v>
      </c>
      <c r="D29" s="331">
        <f>SUM(D18-D28)</f>
        <v>0</v>
      </c>
      <c r="E29" s="332" t="s">
        <v>92</v>
      </c>
      <c r="F29" s="331">
        <f>SUM(F18-F28)</f>
        <v>0</v>
      </c>
      <c r="G29" s="332" t="s">
        <v>92</v>
      </c>
      <c r="H29" s="331">
        <f>SUM(H18-H28)</f>
        <v>0</v>
      </c>
      <c r="I29" s="332" t="s">
        <v>92</v>
      </c>
      <c r="J29" s="331">
        <f>SUM(J18-J28)</f>
        <v>0</v>
      </c>
      <c r="K29" s="342">
        <f>SUM(B29+D29+F29+H29+J29)</f>
        <v>0</v>
      </c>
      <c r="L29" s="69" t="s">
        <v>163</v>
      </c>
    </row>
    <row r="30" spans="1:12" x14ac:dyDescent="0.2">
      <c r="A30" s="332"/>
      <c r="B30" s="343" t="str">
        <f>IF(B29&lt;0,"See Tab B","")</f>
        <v/>
      </c>
      <c r="C30" s="332"/>
      <c r="D30" s="343" t="str">
        <f>IF(D29&lt;0,"See Tab B","")</f>
        <v/>
      </c>
      <c r="E30" s="332"/>
      <c r="F30" s="343" t="str">
        <f>IF(F29&lt;0,"See Tab B","")</f>
        <v/>
      </c>
      <c r="G30" s="148"/>
      <c r="H30" s="343" t="str">
        <f>IF(H29&lt;0,"See Tab B","")</f>
        <v/>
      </c>
      <c r="I30" s="148"/>
      <c r="J30" s="343" t="str">
        <f>IF(J29&lt;0,"See Tab B","")</f>
        <v/>
      </c>
      <c r="K30" s="342">
        <f>SUM(K7+K17-K28)</f>
        <v>0</v>
      </c>
      <c r="L30" s="69" t="s">
        <v>163</v>
      </c>
    </row>
    <row r="31" spans="1:12" x14ac:dyDescent="0.2">
      <c r="A31" s="148"/>
      <c r="B31" s="238"/>
      <c r="C31" s="148"/>
      <c r="D31" s="176"/>
      <c r="E31" s="148"/>
      <c r="F31" s="148"/>
      <c r="G31" s="80" t="s">
        <v>165</v>
      </c>
      <c r="H31" s="80"/>
      <c r="I31" s="80"/>
      <c r="J31" s="80"/>
      <c r="K31" s="148"/>
    </row>
    <row r="32" spans="1:12" x14ac:dyDescent="0.2">
      <c r="A32" s="148"/>
      <c r="B32" s="238"/>
      <c r="C32" s="148"/>
      <c r="D32" s="148"/>
      <c r="E32" s="148"/>
      <c r="F32" s="148"/>
      <c r="G32" s="345"/>
      <c r="H32" s="148"/>
      <c r="I32" s="148"/>
      <c r="J32" s="148"/>
      <c r="K32" s="148"/>
    </row>
    <row r="33" spans="1:11" x14ac:dyDescent="0.2">
      <c r="A33" s="148"/>
      <c r="B33" s="238"/>
      <c r="C33" s="148"/>
      <c r="D33" s="148"/>
      <c r="E33" s="246" t="s">
        <v>319</v>
      </c>
      <c r="F33" s="301"/>
      <c r="G33" s="148"/>
      <c r="H33" s="148"/>
      <c r="I33" s="148"/>
      <c r="J33" s="148"/>
      <c r="K33" s="148"/>
    </row>
    <row r="34" spans="1:11" x14ac:dyDescent="0.2">
      <c r="B34" s="344"/>
    </row>
    <row r="35" spans="1:11" x14ac:dyDescent="0.2">
      <c r="B35" s="344"/>
    </row>
    <row r="36" spans="1:11" x14ac:dyDescent="0.2">
      <c r="B36" s="344"/>
    </row>
    <row r="37" spans="1:11" x14ac:dyDescent="0.2">
      <c r="B37" s="344"/>
    </row>
    <row r="38" spans="1:11" x14ac:dyDescent="0.2">
      <c r="B38" s="344"/>
    </row>
    <row r="39" spans="1:11" x14ac:dyDescent="0.2">
      <c r="B39" s="344"/>
    </row>
    <row r="40" spans="1:11" x14ac:dyDescent="0.2">
      <c r="B40" s="344"/>
    </row>
    <row r="41" spans="1:11" x14ac:dyDescent="0.2">
      <c r="B41" s="34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K10" sqref="K10"/>
    </sheetView>
  </sheetViews>
  <sheetFormatPr defaultRowHeight="15.75" x14ac:dyDescent="0.2"/>
  <cols>
    <col min="1" max="1" width="11.5546875" style="69" customWidth="1"/>
    <col min="2" max="2" width="7.44140625" style="69" customWidth="1"/>
    <col min="3" max="3" width="11.5546875" style="69" customWidth="1"/>
    <col min="4" max="4" width="7.44140625" style="69" customWidth="1"/>
    <col min="5" max="5" width="11.5546875" style="69" customWidth="1"/>
    <col min="6" max="6" width="7.44140625" style="69" customWidth="1"/>
    <col min="7" max="7" width="11.5546875" style="69" customWidth="1"/>
    <col min="8" max="8" width="7.44140625" style="69" customWidth="1"/>
    <col min="9" max="9" width="11.5546875" style="69" customWidth="1"/>
    <col min="10" max="16384" width="8.88671875" style="69"/>
  </cols>
  <sheetData>
    <row r="1" spans="1:11" x14ac:dyDescent="0.2">
      <c r="A1" s="147" t="str">
        <f>inputPrYr!$D$3</f>
        <v>City of Herington</v>
      </c>
      <c r="B1" s="176"/>
      <c r="C1" s="148"/>
      <c r="D1" s="148"/>
      <c r="E1" s="148"/>
      <c r="F1" s="235" t="s">
        <v>95</v>
      </c>
      <c r="G1" s="148"/>
      <c r="H1" s="148"/>
      <c r="I1" s="148"/>
      <c r="J1" s="148"/>
      <c r="K1" s="148">
        <f>inputPrYr!$C$10</f>
        <v>2013</v>
      </c>
    </row>
    <row r="2" spans="1:11" x14ac:dyDescent="0.2">
      <c r="A2" s="148"/>
      <c r="B2" s="148"/>
      <c r="C2" s="148"/>
      <c r="D2" s="148"/>
      <c r="E2" s="148"/>
      <c r="F2" s="320" t="str">
        <f>CONCATENATE("(Only the actual budget year for ",K1-2," is to be shown)")</f>
        <v>(Only the actual budget year for 2011 is to be shown)</v>
      </c>
      <c r="G2" s="148"/>
      <c r="H2" s="148"/>
      <c r="I2" s="148"/>
      <c r="J2" s="148"/>
      <c r="K2" s="148"/>
    </row>
    <row r="3" spans="1:11" x14ac:dyDescent="0.2">
      <c r="A3" s="148" t="s">
        <v>125</v>
      </c>
      <c r="B3" s="148"/>
      <c r="C3" s="148"/>
      <c r="D3" s="148"/>
      <c r="E3" s="148"/>
      <c r="F3" s="176"/>
      <c r="G3" s="148"/>
      <c r="H3" s="148"/>
      <c r="I3" s="148"/>
      <c r="J3" s="148"/>
      <c r="K3" s="148"/>
    </row>
    <row r="4" spans="1:11" x14ac:dyDescent="0.2">
      <c r="A4" s="148" t="s">
        <v>86</v>
      </c>
      <c r="B4" s="148"/>
      <c r="C4" s="148" t="s">
        <v>87</v>
      </c>
      <c r="D4" s="148"/>
      <c r="E4" s="148" t="s">
        <v>88</v>
      </c>
      <c r="F4" s="176"/>
      <c r="G4" s="148" t="s">
        <v>89</v>
      </c>
      <c r="H4" s="148"/>
      <c r="I4" s="148" t="s">
        <v>90</v>
      </c>
      <c r="J4" s="148"/>
      <c r="K4" s="148"/>
    </row>
    <row r="5" spans="1:11" x14ac:dyDescent="0.2">
      <c r="A5" s="931" t="str">
        <f>IF(inputPrYr!B80&gt;" ",(inputPrYr!B80)," ")</f>
        <v xml:space="preserve"> </v>
      </c>
      <c r="B5" s="932"/>
      <c r="C5" s="931" t="str">
        <f>IF(inputPrYr!B81&gt;" ",(inputPrYr!B81)," ")</f>
        <v xml:space="preserve"> </v>
      </c>
      <c r="D5" s="932"/>
      <c r="E5" s="931" t="str">
        <f>IF(inputPrYr!B82&gt;" ",(inputPrYr!B82)," ")</f>
        <v xml:space="preserve"> </v>
      </c>
      <c r="F5" s="932"/>
      <c r="G5" s="931" t="str">
        <f>IF(inputPrYr!B83&gt;" ",(inputPrYr!B83)," ")</f>
        <v xml:space="preserve"> </v>
      </c>
      <c r="H5" s="932"/>
      <c r="I5" s="931" t="str">
        <f>IF(inputPrYr!B84&gt;" ",(inputPrYr!B84)," ")</f>
        <v xml:space="preserve"> </v>
      </c>
      <c r="J5" s="932"/>
      <c r="K5" s="184"/>
    </row>
    <row r="6" spans="1:11" x14ac:dyDescent="0.2">
      <c r="A6" s="322" t="s">
        <v>91</v>
      </c>
      <c r="B6" s="323"/>
      <c r="C6" s="324" t="s">
        <v>91</v>
      </c>
      <c r="D6" s="325"/>
      <c r="E6" s="324" t="s">
        <v>91</v>
      </c>
      <c r="F6" s="321"/>
      <c r="G6" s="324" t="s">
        <v>91</v>
      </c>
      <c r="H6" s="326"/>
      <c r="I6" s="324" t="s">
        <v>91</v>
      </c>
      <c r="J6" s="148"/>
      <c r="K6" s="327" t="s">
        <v>277</v>
      </c>
    </row>
    <row r="7" spans="1:11" x14ac:dyDescent="0.2">
      <c r="A7" s="328" t="s">
        <v>206</v>
      </c>
      <c r="B7" s="329"/>
      <c r="C7" s="330" t="s">
        <v>206</v>
      </c>
      <c r="D7" s="329"/>
      <c r="E7" s="330" t="s">
        <v>206</v>
      </c>
      <c r="F7" s="329"/>
      <c r="G7" s="330" t="s">
        <v>206</v>
      </c>
      <c r="H7" s="329"/>
      <c r="I7" s="330" t="s">
        <v>206</v>
      </c>
      <c r="J7" s="329"/>
      <c r="K7" s="331">
        <f>SUM(B7+D7+F7+H7+J7)</f>
        <v>0</v>
      </c>
    </row>
    <row r="8" spans="1:11" x14ac:dyDescent="0.2">
      <c r="A8" s="332" t="s">
        <v>62</v>
      </c>
      <c r="B8" s="333"/>
      <c r="C8" s="332" t="s">
        <v>62</v>
      </c>
      <c r="D8" s="334"/>
      <c r="E8" s="332" t="s">
        <v>62</v>
      </c>
      <c r="F8" s="176"/>
      <c r="G8" s="332" t="s">
        <v>62</v>
      </c>
      <c r="H8" s="148"/>
      <c r="I8" s="332" t="s">
        <v>62</v>
      </c>
      <c r="J8" s="148"/>
      <c r="K8" s="176"/>
    </row>
    <row r="9" spans="1:11" x14ac:dyDescent="0.2">
      <c r="A9" s="335"/>
      <c r="B9" s="329"/>
      <c r="C9" s="335"/>
      <c r="D9" s="329"/>
      <c r="E9" s="335"/>
      <c r="F9" s="329"/>
      <c r="G9" s="335"/>
      <c r="H9" s="329"/>
      <c r="I9" s="335"/>
      <c r="J9" s="329"/>
      <c r="K9" s="176"/>
    </row>
    <row r="10" spans="1:11" x14ac:dyDescent="0.2">
      <c r="A10" s="335"/>
      <c r="B10" s="329"/>
      <c r="C10" s="335"/>
      <c r="D10" s="329"/>
      <c r="E10" s="335"/>
      <c r="F10" s="329"/>
      <c r="G10" s="335"/>
      <c r="H10" s="329"/>
      <c r="I10" s="335"/>
      <c r="J10" s="329"/>
      <c r="K10" s="176"/>
    </row>
    <row r="11" spans="1:11" x14ac:dyDescent="0.2">
      <c r="A11" s="335"/>
      <c r="B11" s="329"/>
      <c r="C11" s="337"/>
      <c r="D11" s="329"/>
      <c r="E11" s="337"/>
      <c r="F11" s="329"/>
      <c r="G11" s="337"/>
      <c r="H11" s="329"/>
      <c r="I11" s="338"/>
      <c r="J11" s="329"/>
      <c r="K11" s="176"/>
    </row>
    <row r="12" spans="1:11" x14ac:dyDescent="0.2">
      <c r="A12" s="335"/>
      <c r="B12" s="329"/>
      <c r="C12" s="335"/>
      <c r="D12" s="329"/>
      <c r="E12" s="339"/>
      <c r="F12" s="329"/>
      <c r="G12" s="339"/>
      <c r="H12" s="329"/>
      <c r="I12" s="339"/>
      <c r="J12" s="329"/>
      <c r="K12" s="176"/>
    </row>
    <row r="13" spans="1:11" x14ac:dyDescent="0.2">
      <c r="A13" s="340"/>
      <c r="B13" s="329"/>
      <c r="C13" s="341"/>
      <c r="D13" s="329"/>
      <c r="E13" s="341"/>
      <c r="F13" s="329"/>
      <c r="G13" s="341"/>
      <c r="H13" s="329"/>
      <c r="I13" s="338"/>
      <c r="J13" s="329"/>
      <c r="K13" s="176"/>
    </row>
    <row r="14" spans="1:11" x14ac:dyDescent="0.2">
      <c r="A14" s="335"/>
      <c r="B14" s="329"/>
      <c r="C14" s="339"/>
      <c r="D14" s="329"/>
      <c r="E14" s="339"/>
      <c r="F14" s="329"/>
      <c r="G14" s="339"/>
      <c r="H14" s="329"/>
      <c r="I14" s="339"/>
      <c r="J14" s="329"/>
      <c r="K14" s="176"/>
    </row>
    <row r="15" spans="1:11" x14ac:dyDescent="0.2">
      <c r="A15" s="335"/>
      <c r="B15" s="329"/>
      <c r="C15" s="339"/>
      <c r="D15" s="329"/>
      <c r="E15" s="339"/>
      <c r="F15" s="329"/>
      <c r="G15" s="339"/>
      <c r="H15" s="329"/>
      <c r="I15" s="339"/>
      <c r="J15" s="329"/>
      <c r="K15" s="176"/>
    </row>
    <row r="16" spans="1:11" x14ac:dyDescent="0.2">
      <c r="A16" s="335"/>
      <c r="B16" s="329"/>
      <c r="C16" s="335"/>
      <c r="D16" s="329"/>
      <c r="E16" s="335"/>
      <c r="F16" s="329"/>
      <c r="G16" s="339"/>
      <c r="H16" s="329"/>
      <c r="I16" s="335"/>
      <c r="J16" s="329"/>
      <c r="K16" s="176"/>
    </row>
    <row r="17" spans="1:12" x14ac:dyDescent="0.2">
      <c r="A17" s="332" t="s">
        <v>309</v>
      </c>
      <c r="B17" s="331">
        <f>SUM(B9:B16)</f>
        <v>0</v>
      </c>
      <c r="C17" s="332" t="s">
        <v>309</v>
      </c>
      <c r="D17" s="331">
        <f>SUM(D9:D16)</f>
        <v>0</v>
      </c>
      <c r="E17" s="332" t="s">
        <v>309</v>
      </c>
      <c r="F17" s="444">
        <f>SUM(F9:F16)</f>
        <v>0</v>
      </c>
      <c r="G17" s="332" t="s">
        <v>309</v>
      </c>
      <c r="H17" s="331">
        <f>SUM(H9:H16)</f>
        <v>0</v>
      </c>
      <c r="I17" s="332" t="s">
        <v>309</v>
      </c>
      <c r="J17" s="331">
        <f>SUM(J9:J16)</f>
        <v>0</v>
      </c>
      <c r="K17" s="331">
        <f>SUM(B17+D17+F17+H17+J17)</f>
        <v>0</v>
      </c>
    </row>
    <row r="18" spans="1:12" x14ac:dyDescent="0.2">
      <c r="A18" s="332" t="s">
        <v>310</v>
      </c>
      <c r="B18" s="331">
        <f>SUM(B7+B17)</f>
        <v>0</v>
      </c>
      <c r="C18" s="332" t="s">
        <v>310</v>
      </c>
      <c r="D18" s="331">
        <f>SUM(D7+D17)</f>
        <v>0</v>
      </c>
      <c r="E18" s="332" t="s">
        <v>310</v>
      </c>
      <c r="F18" s="331">
        <f>SUM(F7+F17)</f>
        <v>0</v>
      </c>
      <c r="G18" s="332" t="s">
        <v>310</v>
      </c>
      <c r="H18" s="331">
        <f>SUM(H7+H17)</f>
        <v>0</v>
      </c>
      <c r="I18" s="332" t="s">
        <v>310</v>
      </c>
      <c r="J18" s="331">
        <f>SUM(J7+J17)</f>
        <v>0</v>
      </c>
      <c r="K18" s="331">
        <f>SUM(B18+D18+F18+H18+J18)</f>
        <v>0</v>
      </c>
    </row>
    <row r="19" spans="1:12" x14ac:dyDescent="0.2">
      <c r="A19" s="332" t="s">
        <v>312</v>
      </c>
      <c r="B19" s="333"/>
      <c r="C19" s="332" t="s">
        <v>312</v>
      </c>
      <c r="D19" s="334"/>
      <c r="E19" s="332" t="s">
        <v>312</v>
      </c>
      <c r="F19" s="176"/>
      <c r="G19" s="332" t="s">
        <v>312</v>
      </c>
      <c r="H19" s="148"/>
      <c r="I19" s="332" t="s">
        <v>312</v>
      </c>
      <c r="J19" s="148"/>
      <c r="K19" s="176"/>
    </row>
    <row r="20" spans="1:12" x14ac:dyDescent="0.2">
      <c r="A20" s="335"/>
      <c r="B20" s="329"/>
      <c r="C20" s="339"/>
      <c r="D20" s="329"/>
      <c r="E20" s="339"/>
      <c r="F20" s="329"/>
      <c r="G20" s="339"/>
      <c r="H20" s="329"/>
      <c r="I20" s="339"/>
      <c r="J20" s="329"/>
      <c r="K20" s="176"/>
    </row>
    <row r="21" spans="1:12" x14ac:dyDescent="0.2">
      <c r="A21" s="335"/>
      <c r="B21" s="329"/>
      <c r="C21" s="339"/>
      <c r="D21" s="329"/>
      <c r="E21" s="339"/>
      <c r="F21" s="329"/>
      <c r="G21" s="339"/>
      <c r="H21" s="329"/>
      <c r="I21" s="339"/>
      <c r="J21" s="329"/>
      <c r="K21" s="176"/>
    </row>
    <row r="22" spans="1:12" x14ac:dyDescent="0.2">
      <c r="A22" s="335"/>
      <c r="B22" s="329"/>
      <c r="C22" s="341"/>
      <c r="D22" s="329"/>
      <c r="E22" s="341"/>
      <c r="F22" s="329"/>
      <c r="G22" s="341"/>
      <c r="H22" s="329"/>
      <c r="I22" s="338"/>
      <c r="J22" s="329"/>
      <c r="K22" s="176"/>
    </row>
    <row r="23" spans="1:12" x14ac:dyDescent="0.2">
      <c r="A23" s="335"/>
      <c r="B23" s="329"/>
      <c r="C23" s="339"/>
      <c r="D23" s="329"/>
      <c r="E23" s="339"/>
      <c r="F23" s="329"/>
      <c r="G23" s="339"/>
      <c r="H23" s="329"/>
      <c r="I23" s="339"/>
      <c r="J23" s="329"/>
      <c r="K23" s="176"/>
    </row>
    <row r="24" spans="1:12" x14ac:dyDescent="0.2">
      <c r="A24" s="335"/>
      <c r="B24" s="329"/>
      <c r="C24" s="341"/>
      <c r="D24" s="329"/>
      <c r="E24" s="341"/>
      <c r="F24" s="329"/>
      <c r="G24" s="341"/>
      <c r="H24" s="329"/>
      <c r="I24" s="338"/>
      <c r="J24" s="329"/>
      <c r="K24" s="176"/>
    </row>
    <row r="25" spans="1:12" x14ac:dyDescent="0.2">
      <c r="A25" s="335"/>
      <c r="B25" s="329"/>
      <c r="C25" s="339"/>
      <c r="D25" s="329"/>
      <c r="E25" s="339"/>
      <c r="F25" s="329"/>
      <c r="G25" s="339"/>
      <c r="H25" s="329"/>
      <c r="I25" s="339"/>
      <c r="J25" s="329"/>
      <c r="K25" s="176"/>
    </row>
    <row r="26" spans="1:12" x14ac:dyDescent="0.2">
      <c r="A26" s="335"/>
      <c r="B26" s="329"/>
      <c r="C26" s="339"/>
      <c r="D26" s="329"/>
      <c r="E26" s="339"/>
      <c r="F26" s="329"/>
      <c r="G26" s="339"/>
      <c r="H26" s="329"/>
      <c r="I26" s="339"/>
      <c r="J26" s="329"/>
      <c r="K26" s="176"/>
    </row>
    <row r="27" spans="1:12" x14ac:dyDescent="0.2">
      <c r="A27" s="335"/>
      <c r="B27" s="329"/>
      <c r="C27" s="335"/>
      <c r="D27" s="329"/>
      <c r="E27" s="335"/>
      <c r="F27" s="329"/>
      <c r="G27" s="339"/>
      <c r="H27" s="329"/>
      <c r="I27" s="339"/>
      <c r="J27" s="329"/>
      <c r="K27" s="176"/>
    </row>
    <row r="28" spans="1:12" x14ac:dyDescent="0.2">
      <c r="A28" s="332" t="s">
        <v>316</v>
      </c>
      <c r="B28" s="331">
        <f>SUM(B20:B27)</f>
        <v>0</v>
      </c>
      <c r="C28" s="332" t="s">
        <v>316</v>
      </c>
      <c r="D28" s="331">
        <f>SUM(D20:D27)</f>
        <v>0</v>
      </c>
      <c r="E28" s="332" t="s">
        <v>316</v>
      </c>
      <c r="F28" s="444">
        <f>SUM(F20:F27)</f>
        <v>0</v>
      </c>
      <c r="G28" s="332" t="s">
        <v>316</v>
      </c>
      <c r="H28" s="444">
        <f>SUM(H20:H27)</f>
        <v>0</v>
      </c>
      <c r="I28" s="332" t="s">
        <v>316</v>
      </c>
      <c r="J28" s="331">
        <f>SUM(J20:J27)</f>
        <v>0</v>
      </c>
      <c r="K28" s="331">
        <f>SUM(B28+D28+F28+H28+J28)</f>
        <v>0</v>
      </c>
    </row>
    <row r="29" spans="1:12" x14ac:dyDescent="0.2">
      <c r="A29" s="332" t="s">
        <v>92</v>
      </c>
      <c r="B29" s="331">
        <f>SUM(B18-B28)</f>
        <v>0</v>
      </c>
      <c r="C29" s="332" t="s">
        <v>92</v>
      </c>
      <c r="D29" s="331">
        <f>SUM(D18-D28)</f>
        <v>0</v>
      </c>
      <c r="E29" s="332" t="s">
        <v>92</v>
      </c>
      <c r="F29" s="331">
        <f>SUM(F18-F28)</f>
        <v>0</v>
      </c>
      <c r="G29" s="332" t="s">
        <v>92</v>
      </c>
      <c r="H29" s="331">
        <f>SUM(H18-H28)</f>
        <v>0</v>
      </c>
      <c r="I29" s="332" t="s">
        <v>92</v>
      </c>
      <c r="J29" s="331">
        <f>SUM(J18-J28)</f>
        <v>0</v>
      </c>
      <c r="K29" s="342">
        <f>SUM(B29+D29+F29+H29+J29)</f>
        <v>0</v>
      </c>
      <c r="L29" s="69" t="s">
        <v>163</v>
      </c>
    </row>
    <row r="30" spans="1:12" x14ac:dyDescent="0.2">
      <c r="A30" s="332"/>
      <c r="B30" s="343" t="str">
        <f>IF(B29&lt;0,"See Tab B","")</f>
        <v/>
      </c>
      <c r="C30" s="332"/>
      <c r="D30" s="343" t="str">
        <f>IF(D29&lt;0,"See Tab B","")</f>
        <v/>
      </c>
      <c r="E30" s="332"/>
      <c r="F30" s="343" t="str">
        <f>IF(F29&lt;0,"See Tab B","")</f>
        <v/>
      </c>
      <c r="G30" s="148"/>
      <c r="H30" s="343" t="str">
        <f>IF(H29&lt;0,"See Tab B","")</f>
        <v/>
      </c>
      <c r="I30" s="148"/>
      <c r="J30" s="343" t="str">
        <f>IF(J29&lt;0,"See Tab B","")</f>
        <v/>
      </c>
      <c r="K30" s="342">
        <f>SUM(K7+K17-K28)</f>
        <v>0</v>
      </c>
      <c r="L30" s="69" t="s">
        <v>163</v>
      </c>
    </row>
    <row r="31" spans="1:12" x14ac:dyDescent="0.2">
      <c r="A31" s="148"/>
      <c r="B31" s="238"/>
      <c r="C31" s="148"/>
      <c r="D31" s="176"/>
      <c r="E31" s="148"/>
      <c r="F31" s="148"/>
      <c r="G31" s="80" t="s">
        <v>164</v>
      </c>
      <c r="H31" s="80"/>
      <c r="I31" s="80"/>
      <c r="J31" s="80"/>
      <c r="K31" s="148"/>
    </row>
    <row r="32" spans="1:12" x14ac:dyDescent="0.2">
      <c r="A32" s="148"/>
      <c r="B32" s="238"/>
      <c r="C32" s="148"/>
      <c r="D32" s="148"/>
      <c r="E32" s="148"/>
      <c r="F32" s="148"/>
      <c r="G32" s="148"/>
      <c r="H32" s="148"/>
      <c r="I32" s="148"/>
      <c r="J32" s="148"/>
      <c r="K32" s="148"/>
    </row>
    <row r="33" spans="1:11" x14ac:dyDescent="0.2">
      <c r="A33" s="148"/>
      <c r="B33" s="238"/>
      <c r="C33" s="148"/>
      <c r="D33" s="148"/>
      <c r="E33" s="246" t="s">
        <v>319</v>
      </c>
      <c r="F33" s="301"/>
      <c r="G33" s="148"/>
      <c r="H33" s="148"/>
      <c r="I33" s="148"/>
      <c r="J33" s="148"/>
      <c r="K33" s="148"/>
    </row>
    <row r="34" spans="1:11" x14ac:dyDescent="0.2">
      <c r="B34" s="344"/>
    </row>
    <row r="35" spans="1:11" x14ac:dyDescent="0.2">
      <c r="B35" s="344"/>
    </row>
    <row r="36" spans="1:11" x14ac:dyDescent="0.2">
      <c r="B36" s="344"/>
    </row>
    <row r="37" spans="1:11" x14ac:dyDescent="0.2">
      <c r="B37" s="344"/>
    </row>
    <row r="38" spans="1:11" x14ac:dyDescent="0.2">
      <c r="B38" s="344"/>
    </row>
    <row r="39" spans="1:11" x14ac:dyDescent="0.2">
      <c r="B39" s="344"/>
    </row>
    <row r="40" spans="1:11" x14ac:dyDescent="0.2">
      <c r="B40" s="344"/>
    </row>
    <row r="41" spans="1:11" x14ac:dyDescent="0.2">
      <c r="B41" s="34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KansasCity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2" sqref="A2"/>
    </sheetView>
  </sheetViews>
  <sheetFormatPr defaultRowHeight="15" x14ac:dyDescent="0.2"/>
  <cols>
    <col min="1" max="1" width="70.5546875" style="317" customWidth="1"/>
    <col min="2" max="16384" width="8.88671875" style="317"/>
  </cols>
  <sheetData>
    <row r="1" spans="1:1" ht="18.75" x14ac:dyDescent="0.3">
      <c r="A1" s="562" t="s">
        <v>377</v>
      </c>
    </row>
    <row r="2" spans="1:1" ht="15.75" x14ac:dyDescent="0.25">
      <c r="A2" s="560"/>
    </row>
    <row r="3" spans="1:1" ht="47.25" x14ac:dyDescent="0.25">
      <c r="A3" s="559" t="s">
        <v>378</v>
      </c>
    </row>
    <row r="4" spans="1:1" ht="15.75" x14ac:dyDescent="0.25">
      <c r="A4" s="561"/>
    </row>
    <row r="5" spans="1:1" ht="15.75" x14ac:dyDescent="0.25">
      <c r="A5" s="560"/>
    </row>
    <row r="6" spans="1:1" ht="31.5" x14ac:dyDescent="0.25">
      <c r="A6" s="559" t="s">
        <v>379</v>
      </c>
    </row>
    <row r="7" spans="1:1" ht="15.75" x14ac:dyDescent="0.25">
      <c r="A7" s="560"/>
    </row>
    <row r="8" spans="1:1" ht="15.75" x14ac:dyDescent="0.25">
      <c r="A8" s="561"/>
    </row>
    <row r="9" spans="1:1" ht="31.5" x14ac:dyDescent="0.25">
      <c r="A9" s="559" t="s">
        <v>380</v>
      </c>
    </row>
    <row r="10" spans="1:1" ht="15.75" x14ac:dyDescent="0.25">
      <c r="A10" s="560"/>
    </row>
    <row r="11" spans="1:1" ht="15.75" x14ac:dyDescent="0.25">
      <c r="A11" s="561"/>
    </row>
    <row r="12" spans="1:1" ht="47.25" x14ac:dyDescent="0.25">
      <c r="A12" s="559" t="s">
        <v>381</v>
      </c>
    </row>
    <row r="13" spans="1:1" ht="15.75" x14ac:dyDescent="0.25">
      <c r="A13" s="560"/>
    </row>
    <row r="14" spans="1:1" ht="15.75" x14ac:dyDescent="0.25">
      <c r="A14" s="560"/>
    </row>
    <row r="15" spans="1:1" ht="47.25" x14ac:dyDescent="0.25">
      <c r="A15" s="559" t="s">
        <v>382</v>
      </c>
    </row>
    <row r="16" spans="1:1" ht="15.75" x14ac:dyDescent="0.25">
      <c r="A16" s="560"/>
    </row>
    <row r="17" spans="1:1" ht="15.75" x14ac:dyDescent="0.25">
      <c r="A17" s="560"/>
    </row>
    <row r="18" spans="1:1" ht="47.25" x14ac:dyDescent="0.25">
      <c r="A18" s="559" t="s">
        <v>383</v>
      </c>
    </row>
    <row r="19" spans="1:1" ht="15.75" x14ac:dyDescent="0.25">
      <c r="A19" s="560"/>
    </row>
    <row r="20" spans="1:1" ht="15.75" x14ac:dyDescent="0.25">
      <c r="A20" s="560"/>
    </row>
    <row r="21" spans="1:1" ht="47.25" x14ac:dyDescent="0.25">
      <c r="A21" s="559" t="s">
        <v>384</v>
      </c>
    </row>
    <row r="22" spans="1:1" ht="15.75" x14ac:dyDescent="0.25">
      <c r="A22" s="561"/>
    </row>
    <row r="23" spans="1:1" ht="15.75" x14ac:dyDescent="0.25">
      <c r="A23" s="561"/>
    </row>
    <row r="24" spans="1:1" ht="47.25" x14ac:dyDescent="0.25">
      <c r="A24" s="559" t="s">
        <v>385</v>
      </c>
    </row>
    <row r="25" spans="1:1" ht="15.75" x14ac:dyDescent="0.25">
      <c r="A25" s="560"/>
    </row>
    <row r="26" spans="1:1" ht="15.75" x14ac:dyDescent="0.25">
      <c r="A26" s="560"/>
    </row>
    <row r="27" spans="1:1" ht="47.25" x14ac:dyDescent="0.25">
      <c r="A27" s="563" t="s">
        <v>777</v>
      </c>
    </row>
    <row r="28" spans="1:1" ht="15.75" x14ac:dyDescent="0.25">
      <c r="A28" s="560"/>
    </row>
    <row r="29" spans="1:1" ht="15.75" x14ac:dyDescent="0.25">
      <c r="A29" s="560"/>
    </row>
    <row r="30" spans="1:1" ht="31.5" x14ac:dyDescent="0.25">
      <c r="A30" s="559" t="s">
        <v>386</v>
      </c>
    </row>
    <row r="31" spans="1:1" ht="15.75" x14ac:dyDescent="0.25">
      <c r="A31" s="560"/>
    </row>
    <row r="32" spans="1:1" ht="15.75" x14ac:dyDescent="0.25">
      <c r="A32" s="560"/>
    </row>
    <row r="33" spans="1:1" ht="31.5" x14ac:dyDescent="0.25">
      <c r="A33" s="559" t="s">
        <v>387</v>
      </c>
    </row>
    <row r="34" spans="1:1" ht="15.75" x14ac:dyDescent="0.25">
      <c r="A34" s="561"/>
    </row>
    <row r="35" spans="1:1" ht="15.75" x14ac:dyDescent="0.25">
      <c r="A35" s="561"/>
    </row>
    <row r="36" spans="1:1" ht="31.5" x14ac:dyDescent="0.25">
      <c r="A36" s="559" t="s">
        <v>388</v>
      </c>
    </row>
    <row r="37" spans="1:1" ht="15.75" x14ac:dyDescent="0.25">
      <c r="A37" s="561"/>
    </row>
    <row r="38" spans="1:1" ht="15.75" x14ac:dyDescent="0.25">
      <c r="A38" s="560"/>
    </row>
    <row r="39" spans="1:1" ht="63" x14ac:dyDescent="0.25">
      <c r="A39" s="559" t="s">
        <v>389</v>
      </c>
    </row>
    <row r="40" spans="1:1" ht="15.75" x14ac:dyDescent="0.25">
      <c r="A40" s="560"/>
    </row>
    <row r="41" spans="1:1" ht="15.75" x14ac:dyDescent="0.25">
      <c r="A41" s="560"/>
    </row>
    <row r="42" spans="1:1" ht="47.25" x14ac:dyDescent="0.25">
      <c r="A42" s="559" t="s">
        <v>390</v>
      </c>
    </row>
    <row r="43" spans="1:1" ht="15.75" x14ac:dyDescent="0.25">
      <c r="A43" s="561"/>
    </row>
    <row r="44" spans="1:1" ht="15.75" x14ac:dyDescent="0.25">
      <c r="A44" s="560"/>
    </row>
    <row r="45" spans="1:1" ht="47.25" x14ac:dyDescent="0.25">
      <c r="A45" s="559" t="s">
        <v>391</v>
      </c>
    </row>
    <row r="46" spans="1:1" ht="15.75" x14ac:dyDescent="0.25">
      <c r="A46" s="560"/>
    </row>
    <row r="47" spans="1:1" ht="15.75" x14ac:dyDescent="0.25">
      <c r="A47" s="560"/>
    </row>
    <row r="48" spans="1:1" ht="31.5" x14ac:dyDescent="0.25">
      <c r="A48" s="559" t="s">
        <v>392</v>
      </c>
    </row>
    <row r="49" spans="1:1" ht="15.75" x14ac:dyDescent="0.25">
      <c r="A49" s="560"/>
    </row>
    <row r="50" spans="1:1" ht="15.75" x14ac:dyDescent="0.25">
      <c r="A50" s="560"/>
    </row>
    <row r="51" spans="1:1" ht="63" x14ac:dyDescent="0.25">
      <c r="A51" s="559" t="s">
        <v>393</v>
      </c>
    </row>
    <row r="52" spans="1:1" ht="15.75" x14ac:dyDescent="0.25">
      <c r="A52" s="561"/>
    </row>
    <row r="53" spans="1:1" ht="15.75" x14ac:dyDescent="0.25">
      <c r="A53" s="561"/>
    </row>
    <row r="54" spans="1:1" ht="47.25" x14ac:dyDescent="0.25">
      <c r="A54" s="559" t="s">
        <v>394</v>
      </c>
    </row>
    <row r="55" spans="1:1" ht="15.75" x14ac:dyDescent="0.25">
      <c r="A55" s="560"/>
    </row>
    <row r="56" spans="1:1" ht="15.75" x14ac:dyDescent="0.25">
      <c r="A56" s="560"/>
    </row>
    <row r="57" spans="1:1" ht="31.5" x14ac:dyDescent="0.25">
      <c r="A57" s="559" t="s">
        <v>395</v>
      </c>
    </row>
    <row r="58" spans="1:1" ht="15.75" x14ac:dyDescent="0.25">
      <c r="A58" s="560"/>
    </row>
    <row r="59" spans="1:1" ht="15.75" x14ac:dyDescent="0.25">
      <c r="A59" s="560"/>
    </row>
    <row r="60" spans="1:1" ht="47.25" x14ac:dyDescent="0.25">
      <c r="A60" s="559" t="s">
        <v>396</v>
      </c>
    </row>
    <row r="61" spans="1:1" ht="15.75" x14ac:dyDescent="0.25">
      <c r="A61" s="561"/>
    </row>
    <row r="62" spans="1:1" ht="15.75" x14ac:dyDescent="0.25">
      <c r="A62" s="561"/>
    </row>
    <row r="63" spans="1:1" ht="47.25" x14ac:dyDescent="0.25">
      <c r="A63" s="559" t="s">
        <v>397</v>
      </c>
    </row>
    <row r="64" spans="1:1" ht="15.75" x14ac:dyDescent="0.25">
      <c r="A64" s="560"/>
    </row>
    <row r="65" spans="1:1" ht="15.75" x14ac:dyDescent="0.25">
      <c r="A65" s="560"/>
    </row>
    <row r="66" spans="1:1" ht="47.25" x14ac:dyDescent="0.25">
      <c r="A66" s="559" t="s">
        <v>398</v>
      </c>
    </row>
    <row r="67" spans="1:1" ht="15.75" x14ac:dyDescent="0.2">
      <c r="A67" s="318"/>
    </row>
    <row r="68" spans="1:1" ht="15.75" x14ac:dyDescent="0.2">
      <c r="A68" s="318"/>
    </row>
    <row r="69" spans="1:1" ht="15.75" x14ac:dyDescent="0.2">
      <c r="A69" s="319"/>
    </row>
  </sheetData>
  <sheetProtection sheet="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17" sqref="D17"/>
    </sheetView>
  </sheetViews>
  <sheetFormatPr defaultRowHeight="15" x14ac:dyDescent="0.2"/>
  <cols>
    <col min="1" max="1" width="13.77734375" style="674" customWidth="1"/>
    <col min="2" max="2" width="16.109375" style="674" customWidth="1"/>
    <col min="3" max="16384" width="8.88671875" style="674"/>
  </cols>
  <sheetData>
    <row r="1" spans="1:10" x14ac:dyDescent="0.2">
      <c r="J1" s="675" t="s">
        <v>896</v>
      </c>
    </row>
    <row r="2" spans="1:10" ht="54" customHeight="1" x14ac:dyDescent="0.2">
      <c r="A2" s="876" t="s">
        <v>431</v>
      </c>
      <c r="B2" s="877"/>
      <c r="C2" s="877"/>
      <c r="D2" s="877"/>
      <c r="E2" s="877"/>
      <c r="F2" s="877"/>
      <c r="J2" s="675" t="s">
        <v>897</v>
      </c>
    </row>
    <row r="3" spans="1:10" ht="15.75" x14ac:dyDescent="0.25">
      <c r="A3" s="676" t="s">
        <v>898</v>
      </c>
      <c r="B3" s="677" t="s">
        <v>1004</v>
      </c>
      <c r="C3" s="677"/>
      <c r="J3" s="675" t="s">
        <v>899</v>
      </c>
    </row>
    <row r="4" spans="1:10" ht="15.75" x14ac:dyDescent="0.25">
      <c r="A4" s="676"/>
      <c r="B4" s="673"/>
      <c r="J4" s="675" t="s">
        <v>900</v>
      </c>
    </row>
    <row r="5" spans="1:10" ht="15.75" x14ac:dyDescent="0.25">
      <c r="A5" s="676" t="s">
        <v>683</v>
      </c>
      <c r="B5" s="677" t="s">
        <v>1029</v>
      </c>
      <c r="J5" s="675" t="s">
        <v>901</v>
      </c>
    </row>
    <row r="6" spans="1:10" ht="15.75" x14ac:dyDescent="0.25">
      <c r="A6" s="419"/>
      <c r="B6" s="419"/>
      <c r="C6" s="419"/>
      <c r="D6" s="420" t="s">
        <v>902</v>
      </c>
      <c r="E6" s="419"/>
      <c r="F6" s="419"/>
      <c r="J6" s="675" t="s">
        <v>903</v>
      </c>
    </row>
    <row r="7" spans="1:10" ht="15.75" x14ac:dyDescent="0.25">
      <c r="A7" s="420" t="s">
        <v>432</v>
      </c>
      <c r="B7" s="677" t="s">
        <v>1030</v>
      </c>
      <c r="C7" s="421"/>
      <c r="D7" s="678" t="str">
        <f ca="1">IF(B7="","",CONCATENATE("Latest date for notice to be published in your newspaper: ",G18," ",G22,", ",G23))</f>
        <v>Latest date for notice to be published in your newspaper: August 11, 2012</v>
      </c>
      <c r="E7" s="419"/>
      <c r="F7" s="419"/>
      <c r="J7" s="675" t="s">
        <v>904</v>
      </c>
    </row>
    <row r="8" spans="1:10" ht="15.75" x14ac:dyDescent="0.25">
      <c r="A8" s="420"/>
      <c r="B8" s="422"/>
      <c r="C8" s="423"/>
      <c r="D8" s="420"/>
      <c r="E8" s="419"/>
      <c r="F8" s="419"/>
      <c r="J8" s="675" t="s">
        <v>905</v>
      </c>
    </row>
    <row r="9" spans="1:10" ht="15.75" x14ac:dyDescent="0.25">
      <c r="A9" s="420" t="s">
        <v>433</v>
      </c>
      <c r="B9" s="677" t="s">
        <v>1031</v>
      </c>
      <c r="C9" s="424"/>
      <c r="D9" s="420"/>
      <c r="E9" s="419"/>
      <c r="F9" s="419"/>
      <c r="J9" s="675" t="s">
        <v>906</v>
      </c>
    </row>
    <row r="10" spans="1:10" ht="15.75" x14ac:dyDescent="0.25">
      <c r="A10" s="420"/>
      <c r="B10" s="420"/>
      <c r="C10" s="420"/>
      <c r="D10" s="420"/>
      <c r="E10" s="419"/>
      <c r="F10" s="419"/>
      <c r="J10" s="675" t="s">
        <v>907</v>
      </c>
    </row>
    <row r="11" spans="1:10" ht="15.75" x14ac:dyDescent="0.25">
      <c r="A11" s="420" t="s">
        <v>434</v>
      </c>
      <c r="B11" s="679" t="s">
        <v>435</v>
      </c>
      <c r="C11" s="679"/>
      <c r="D11" s="679"/>
      <c r="E11" s="680"/>
      <c r="F11" s="419"/>
      <c r="J11" s="675" t="s">
        <v>908</v>
      </c>
    </row>
    <row r="12" spans="1:10" ht="15.75" x14ac:dyDescent="0.25">
      <c r="A12" s="420"/>
      <c r="B12" s="420"/>
      <c r="C12" s="420"/>
      <c r="D12" s="420"/>
      <c r="E12" s="419"/>
      <c r="F12" s="419"/>
      <c r="J12" s="675" t="s">
        <v>909</v>
      </c>
    </row>
    <row r="13" spans="1:10" ht="15.75" x14ac:dyDescent="0.25">
      <c r="A13" s="420"/>
      <c r="B13" s="420"/>
      <c r="C13" s="420"/>
      <c r="D13" s="420"/>
      <c r="E13" s="419"/>
      <c r="F13" s="419"/>
    </row>
    <row r="14" spans="1:10" ht="15.75" x14ac:dyDescent="0.25">
      <c r="A14" s="420" t="s">
        <v>436</v>
      </c>
      <c r="B14" s="679" t="s">
        <v>435</v>
      </c>
      <c r="C14" s="679"/>
      <c r="D14" s="679"/>
      <c r="E14" s="680"/>
      <c r="F14" s="419"/>
    </row>
    <row r="17" spans="1:7" ht="15.75" x14ac:dyDescent="0.25">
      <c r="A17" s="878" t="s">
        <v>437</v>
      </c>
      <c r="B17" s="878"/>
      <c r="C17" s="420"/>
      <c r="D17" s="420"/>
      <c r="E17" s="420"/>
      <c r="F17" s="419"/>
    </row>
    <row r="18" spans="1:7" ht="15.75" x14ac:dyDescent="0.25">
      <c r="A18" s="420"/>
      <c r="B18" s="420"/>
      <c r="C18" s="420"/>
      <c r="D18" s="420"/>
      <c r="E18" s="420"/>
      <c r="F18" s="419"/>
      <c r="G18" s="675" t="str">
        <f ca="1">IF(B7="","",INDIRECT(G19))</f>
        <v>August</v>
      </c>
    </row>
    <row r="19" spans="1:7" ht="15.75" x14ac:dyDescent="0.25">
      <c r="A19" s="420" t="s">
        <v>683</v>
      </c>
      <c r="B19" s="420" t="s">
        <v>684</v>
      </c>
      <c r="C19" s="420"/>
      <c r="D19" s="420"/>
      <c r="E19" s="420"/>
      <c r="F19" s="419"/>
      <c r="G19" s="681" t="str">
        <f>IF(B7="","",CONCATENATE("J",G21))</f>
        <v>J8</v>
      </c>
    </row>
    <row r="20" spans="1:7" ht="15.75" x14ac:dyDescent="0.25">
      <c r="A20" s="420"/>
      <c r="B20" s="420"/>
      <c r="C20" s="420"/>
      <c r="D20" s="420"/>
      <c r="E20" s="420"/>
      <c r="F20" s="419"/>
      <c r="G20" s="682">
        <f>B7-10</f>
        <v>41132</v>
      </c>
    </row>
    <row r="21" spans="1:7" ht="15.75" x14ac:dyDescent="0.2">
      <c r="A21" s="420" t="s">
        <v>432</v>
      </c>
      <c r="B21" s="422" t="s">
        <v>438</v>
      </c>
      <c r="C21" s="420"/>
      <c r="D21" s="420"/>
      <c r="E21" s="420"/>
      <c r="G21" s="683">
        <f>IF(B7="","",MONTH(G20))</f>
        <v>8</v>
      </c>
    </row>
    <row r="22" spans="1:7" ht="15.75" x14ac:dyDescent="0.2">
      <c r="A22" s="420"/>
      <c r="B22" s="420"/>
      <c r="C22" s="420"/>
      <c r="D22" s="420"/>
      <c r="E22" s="420"/>
      <c r="G22" s="684">
        <f>IF(B7="","",DAY(G20))</f>
        <v>11</v>
      </c>
    </row>
    <row r="23" spans="1:7" ht="15.75" x14ac:dyDescent="0.2">
      <c r="A23" s="420" t="s">
        <v>433</v>
      </c>
      <c r="B23" s="420" t="s">
        <v>439</v>
      </c>
      <c r="C23" s="420"/>
      <c r="D23" s="420"/>
      <c r="E23" s="420"/>
      <c r="G23" s="685">
        <f>IF(B7="","",YEAR(G20))</f>
        <v>2012</v>
      </c>
    </row>
    <row r="24" spans="1:7" ht="15.75" x14ac:dyDescent="0.2">
      <c r="A24" s="420"/>
      <c r="B24" s="420"/>
      <c r="C24" s="420"/>
      <c r="D24" s="420"/>
      <c r="E24" s="420"/>
    </row>
    <row r="25" spans="1:7" ht="15.75" x14ac:dyDescent="0.2">
      <c r="A25" s="420" t="s">
        <v>434</v>
      </c>
      <c r="B25" s="420" t="s">
        <v>435</v>
      </c>
      <c r="C25" s="420"/>
      <c r="D25" s="420"/>
      <c r="E25" s="420"/>
    </row>
    <row r="26" spans="1:7" ht="15.75" x14ac:dyDescent="0.2">
      <c r="A26" s="420"/>
      <c r="B26" s="420"/>
      <c r="C26" s="420"/>
      <c r="D26" s="420"/>
      <c r="E26" s="420"/>
    </row>
    <row r="27" spans="1:7" ht="15.75" x14ac:dyDescent="0.2">
      <c r="A27" s="420" t="s">
        <v>436</v>
      </c>
      <c r="B27" s="420" t="s">
        <v>435</v>
      </c>
      <c r="C27" s="420"/>
      <c r="D27" s="420"/>
      <c r="E27" s="420"/>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opLeftCell="C14" zoomScale="75" workbookViewId="0">
      <selection activeCell="N21" sqref="N21"/>
    </sheetView>
  </sheetViews>
  <sheetFormatPr defaultRowHeight="15.75" x14ac:dyDescent="0.2"/>
  <cols>
    <col min="1" max="1" width="21.5546875" style="69" customWidth="1"/>
    <col min="2" max="2" width="15.77734375" style="69" customWidth="1"/>
    <col min="3" max="3" width="10.77734375" style="69" customWidth="1"/>
    <col min="4" max="4" width="15.77734375" style="69" customWidth="1"/>
    <col min="5" max="5" width="10.77734375" style="69" customWidth="1"/>
    <col min="6" max="6" width="15.77734375" style="69" customWidth="1"/>
    <col min="7" max="7" width="12.77734375" style="69" customWidth="1"/>
    <col min="8" max="8" width="10.77734375" style="69" customWidth="1"/>
    <col min="9" max="9" width="8.88671875" style="69"/>
    <col min="10" max="10" width="12.44140625" style="69" customWidth="1"/>
    <col min="11" max="11" width="12.33203125" style="69" customWidth="1"/>
    <col min="12" max="12" width="10.5546875" style="69" customWidth="1"/>
    <col min="13" max="13" width="12.109375" style="69" customWidth="1"/>
    <col min="14" max="16384" width="8.88671875" style="69"/>
  </cols>
  <sheetData>
    <row r="1" spans="1:9" x14ac:dyDescent="0.2">
      <c r="A1" s="900" t="s">
        <v>3</v>
      </c>
      <c r="B1" s="900"/>
      <c r="C1" s="900"/>
      <c r="D1" s="900"/>
      <c r="E1" s="900"/>
      <c r="F1" s="900"/>
      <c r="G1" s="900"/>
      <c r="H1" s="900"/>
      <c r="I1" s="294"/>
    </row>
    <row r="2" spans="1:9" ht="18" customHeight="1" x14ac:dyDescent="0.2">
      <c r="A2" s="86"/>
      <c r="B2" s="86"/>
      <c r="C2" s="86"/>
      <c r="D2" s="86"/>
      <c r="E2" s="86"/>
      <c r="F2" s="86"/>
      <c r="G2" s="86"/>
      <c r="H2" s="86">
        <f>inputPrYr!$C$10</f>
        <v>2013</v>
      </c>
    </row>
    <row r="3" spans="1:9" ht="18" customHeight="1" x14ac:dyDescent="0.2">
      <c r="A3" s="880" t="s">
        <v>322</v>
      </c>
      <c r="B3" s="880"/>
      <c r="C3" s="880"/>
      <c r="D3" s="880"/>
      <c r="E3" s="880"/>
      <c r="F3" s="880"/>
      <c r="G3" s="880"/>
      <c r="H3" s="880"/>
    </row>
    <row r="4" spans="1:9" x14ac:dyDescent="0.2">
      <c r="A4" s="841" t="str">
        <f>inputPrYr!D3</f>
        <v>City of Herington</v>
      </c>
      <c r="B4" s="841"/>
      <c r="C4" s="841"/>
      <c r="D4" s="841"/>
      <c r="E4" s="841"/>
      <c r="F4" s="841"/>
      <c r="G4" s="841"/>
      <c r="H4" s="841"/>
    </row>
    <row r="5" spans="1:9" ht="18" customHeight="1" x14ac:dyDescent="0.2">
      <c r="A5" s="880" t="str">
        <f>CONCATENATE("will meet on the ",inputBudSum!B7," at ",inputBudSum!B9," at ",inputBudSum!B11," for the purpose of hearing and")</f>
        <v>will meet on the August 21, 2012 at 4:30 p.m. at City Hall for the purpose of hearing and</v>
      </c>
      <c r="B5" s="880"/>
      <c r="C5" s="880"/>
      <c r="D5" s="880"/>
      <c r="E5" s="880"/>
      <c r="F5" s="880"/>
      <c r="G5" s="880"/>
      <c r="H5" s="880"/>
    </row>
    <row r="6" spans="1:9" ht="16.5" customHeight="1" x14ac:dyDescent="0.2">
      <c r="A6" s="880" t="s">
        <v>661</v>
      </c>
      <c r="B6" s="880"/>
      <c r="C6" s="880"/>
      <c r="D6" s="880"/>
      <c r="E6" s="880"/>
      <c r="F6" s="880"/>
      <c r="G6" s="880"/>
      <c r="H6" s="880"/>
    </row>
    <row r="7" spans="1:9" ht="16.5" customHeight="1" x14ac:dyDescent="0.2">
      <c r="A7" s="880" t="str">
        <f>CONCATENATE("Detailed budget information is available at ",inputBudSum!B14," and will be available at this hearing.")</f>
        <v>Detailed budget information is available at City Hall and will be available at this hearing.</v>
      </c>
      <c r="B7" s="880"/>
      <c r="C7" s="880"/>
      <c r="D7" s="880"/>
      <c r="E7" s="880"/>
      <c r="F7" s="880"/>
      <c r="G7" s="880"/>
      <c r="H7" s="880"/>
    </row>
    <row r="8" spans="1:9" x14ac:dyDescent="0.2">
      <c r="A8" s="95" t="s">
        <v>4</v>
      </c>
      <c r="B8" s="96"/>
      <c r="C8" s="96"/>
      <c r="D8" s="96"/>
      <c r="E8" s="96"/>
      <c r="F8" s="96"/>
      <c r="G8" s="96"/>
      <c r="H8" s="96"/>
    </row>
    <row r="9" spans="1:9" x14ac:dyDescent="0.2">
      <c r="A9" s="200" t="str">
        <f>CONCATENATE("Proposed Budget ",H2," Expenditures and Amount of ",H2-1," Ad Valorem Tax establish the maximum limits of the ",H2," budget.")</f>
        <v>Proposed Budget 2013 Expenditures and Amount of 2012 Ad Valorem Tax establish the maximum limits of the 2013 budget.</v>
      </c>
      <c r="B9" s="96"/>
      <c r="C9" s="96"/>
      <c r="D9" s="96"/>
      <c r="E9" s="96"/>
      <c r="F9" s="96"/>
      <c r="G9" s="96"/>
      <c r="H9" s="96"/>
    </row>
    <row r="10" spans="1:9" x14ac:dyDescent="0.2">
      <c r="A10" s="200" t="s">
        <v>67</v>
      </c>
      <c r="B10" s="96"/>
      <c r="C10" s="96"/>
      <c r="D10" s="96"/>
      <c r="E10" s="96"/>
      <c r="F10" s="96"/>
      <c r="G10" s="96"/>
      <c r="H10" s="96"/>
    </row>
    <row r="11" spans="1:9" x14ac:dyDescent="0.2">
      <c r="A11" s="86"/>
      <c r="B11" s="295"/>
      <c r="C11" s="295"/>
      <c r="D11" s="295"/>
      <c r="E11" s="295"/>
      <c r="F11" s="295"/>
      <c r="G11" s="295"/>
      <c r="H11" s="295"/>
    </row>
    <row r="12" spans="1:9" x14ac:dyDescent="0.2">
      <c r="A12" s="86"/>
      <c r="B12" s="296" t="str">
        <f>CONCATENATE("Prior Year Actual for ",H2-2,"")</f>
        <v>Prior Year Actual for 2011</v>
      </c>
      <c r="C12" s="203"/>
      <c r="D12" s="296" t="str">
        <f>CONCATENATE("Current Year Estimate for ",H2-1,"")</f>
        <v>Current Year Estimate for 2012</v>
      </c>
      <c r="E12" s="203"/>
      <c r="F12" s="201" t="str">
        <f>CONCATENATE("Proposed Budget for ",H2,"")</f>
        <v>Proposed Budget for 2013</v>
      </c>
      <c r="G12" s="202"/>
      <c r="H12" s="203"/>
    </row>
    <row r="13" spans="1:9" ht="21" customHeight="1" x14ac:dyDescent="0.2">
      <c r="A13" s="86"/>
      <c r="B13" s="297"/>
      <c r="C13" s="206" t="s">
        <v>324</v>
      </c>
      <c r="D13" s="206"/>
      <c r="E13" s="206" t="s">
        <v>324</v>
      </c>
      <c r="F13" s="206" t="s">
        <v>685</v>
      </c>
      <c r="G13" s="206" t="str">
        <f>CONCATENATE("Amount of ",H2-1,"")</f>
        <v>Amount of 2012</v>
      </c>
      <c r="H13" s="206" t="s">
        <v>128</v>
      </c>
    </row>
    <row r="14" spans="1:9" x14ac:dyDescent="0.2">
      <c r="A14" s="106" t="s">
        <v>325</v>
      </c>
      <c r="B14" s="210" t="s">
        <v>326</v>
      </c>
      <c r="C14" s="210" t="s">
        <v>327</v>
      </c>
      <c r="D14" s="210" t="s">
        <v>326</v>
      </c>
      <c r="E14" s="210" t="s">
        <v>327</v>
      </c>
      <c r="F14" s="210" t="s">
        <v>686</v>
      </c>
      <c r="G14" s="211" t="s">
        <v>302</v>
      </c>
      <c r="H14" s="210" t="s">
        <v>327</v>
      </c>
    </row>
    <row r="15" spans="1:9" x14ac:dyDescent="0.2">
      <c r="A15" s="126" t="str">
        <f>inputPrYr!B22</f>
        <v>General</v>
      </c>
      <c r="B15" s="307">
        <f>IF(general!$C$111&lt;&gt;0,general!$C$111,"  ")</f>
        <v>1482802</v>
      </c>
      <c r="C15" s="499">
        <f>IF(inputPrYr!D89&gt;0,inputPrYr!D89,"  ")</f>
        <v>33.405999999999999</v>
      </c>
      <c r="D15" s="307">
        <f>IF(general!$D$111&lt;&gt;0,general!$D$111,"  ")</f>
        <v>1601401</v>
      </c>
      <c r="E15" s="499">
        <f>IF(inputOth!D29&gt;0,inputOth!D29,"  ")</f>
        <v>29.513000000000002</v>
      </c>
      <c r="F15" s="307">
        <f>IF(general!$E$111&lt;&gt;0,general!$E$111,"  ")</f>
        <v>1717047</v>
      </c>
      <c r="G15" s="307">
        <f>IF(general!$E$118&lt;&gt;0,general!$E$118,"  ")</f>
        <v>244695</v>
      </c>
      <c r="H15" s="499">
        <f>IF(general!E118&gt;0,ROUND(G15/$F$57*1000,3),"  ")</f>
        <v>22.952000000000002</v>
      </c>
    </row>
    <row r="16" spans="1:9" x14ac:dyDescent="0.2">
      <c r="A16" s="126" t="str">
        <f>inputPrYr!B23</f>
        <v>Debt Service</v>
      </c>
      <c r="B16" s="307">
        <f>IF('DebtSvs-Library'!$C$33&lt;&gt;0,'DebtSvs-Library'!$C$33,"  ")</f>
        <v>196254</v>
      </c>
      <c r="C16" s="499">
        <f>IF(inputPrYr!D90&gt;0,inputPrYr!D90,"  ")</f>
        <v>4.2519999999999998</v>
      </c>
      <c r="D16" s="307">
        <f>IF('DebtSvs-Library'!$D$33&lt;&gt;0,'DebtSvs-Library'!$D$33,"  ")</f>
        <v>198266</v>
      </c>
      <c r="E16" s="499">
        <f>IF(inputOth!D30&gt;0,inputOth!D30,"  ")</f>
        <v>0.78400000000000003</v>
      </c>
      <c r="F16" s="307">
        <f>IF('DebtSvs-Library'!$E$33&lt;&gt;0,'DebtSvs-Library'!$E$33,"  ")</f>
        <v>187180</v>
      </c>
      <c r="G16" s="307">
        <f>IF('DebtSvs-Library'!$E$40&lt;&gt;0,'DebtSvs-Library'!$E$40,"  ")</f>
        <v>27798.619999999995</v>
      </c>
      <c r="H16" s="499">
        <f>IF('DebtSvs-Library'!E40&gt;0,ROUND(G16/$F$57*1000,3),"  ")</f>
        <v>2.6070000000000002</v>
      </c>
    </row>
    <row r="17" spans="1:8" x14ac:dyDescent="0.2">
      <c r="A17" s="126" t="str">
        <f>IF(inputPrYr!$B24&gt;"  ",(inputPrYr!$B24),"  ")</f>
        <v>Library</v>
      </c>
      <c r="B17" s="307">
        <f>IF('DebtSvs-Library'!$C$73&lt;&gt;0,'DebtSvs-Library'!$C$73,"  ")</f>
        <v>82689</v>
      </c>
      <c r="C17" s="499">
        <f>IF(inputPrYr!D91&gt;0,inputPrYr!D91,"  ")</f>
        <v>6.9930000000000003</v>
      </c>
      <c r="D17" s="307">
        <f>IF('DebtSvs-Library'!$D$73&lt;&gt;0,'DebtSvs-Library'!$D$73,"  ")</f>
        <v>86215</v>
      </c>
      <c r="E17" s="499">
        <f>IF(inputOth!D31&gt;0,inputOth!D31,"  ")</f>
        <v>7.11</v>
      </c>
      <c r="F17" s="307">
        <f>IF('DebtSvs-Library'!$E$73&lt;&gt;0,'DebtSvs-Library'!$E$73,"  ")</f>
        <v>86216</v>
      </c>
      <c r="G17" s="307">
        <f>IF('DebtSvs-Library'!$E$80&lt;&gt;0,'DebtSvs-Library'!$E$80,"  ")</f>
        <v>75734</v>
      </c>
      <c r="H17" s="499">
        <f>IF('DebtSvs-Library'!E80&lt;&gt;0,ROUND(G17/$F$57*1000,3),"  ")</f>
        <v>7.1040000000000001</v>
      </c>
    </row>
    <row r="18" spans="1:8" x14ac:dyDescent="0.2">
      <c r="A18" s="126" t="str">
        <f>IF(inputPrYr!$B26&gt;"  ",(inputPrYr!$B26),"  ")</f>
        <v>Employee Benefit</v>
      </c>
      <c r="B18" s="307">
        <f>IF('levy page9'!$C$33&gt;0,'levy page9'!$C$33,"  ")</f>
        <v>311954</v>
      </c>
      <c r="C18" s="499">
        <f>IF(inputPrYr!D92&gt;0,inputPrYr!D92,"  ")</f>
        <v>24.995999999999999</v>
      </c>
      <c r="D18" s="307">
        <f>IF('levy page9'!$D$33&gt;0,'levy page9'!$D$33,"  ")</f>
        <v>377300</v>
      </c>
      <c r="E18" s="499">
        <f>IF(inputOth!D32&gt;0,inputOth!D32,"  ")</f>
        <v>28.797000000000001</v>
      </c>
      <c r="F18" s="307">
        <f>IF('levy page9'!$E$33&gt;0,'levy page9'!$E$33,"  ")</f>
        <v>378300</v>
      </c>
      <c r="G18" s="307">
        <f>IF('levy page9'!$E$40&lt;&gt;0,'levy page9'!$E$40,"  ")</f>
        <v>332498</v>
      </c>
      <c r="H18" s="499">
        <f>IF('levy page9'!E40&lt;&gt;0,ROUND(G18/$F$57*1000,3),"  ")</f>
        <v>31.187000000000001</v>
      </c>
    </row>
    <row r="19" spans="1:8" x14ac:dyDescent="0.2">
      <c r="A19" s="126" t="str">
        <f>IF(inputPrYr!$B27&gt;"  ",(inputPrYr!$B27),"  ")</f>
        <v>Hospital</v>
      </c>
      <c r="B19" s="307">
        <f>IF('levy page9'!$C$73&gt;0,'levy page9'!$C$73,"  ")</f>
        <v>5895</v>
      </c>
      <c r="C19" s="499">
        <f>IF(inputPrYr!D93&gt;0,inputPrYr!D93,"  ")</f>
        <v>0.499</v>
      </c>
      <c r="D19" s="307">
        <f>IF('levy page9'!$D$73&gt;0,'levy page9'!$D$73,"  ")</f>
        <v>6155</v>
      </c>
      <c r="E19" s="499">
        <f>IF(inputOth!D33&gt;0,inputOth!D33,"  ")</f>
        <v>0.50700000000000001</v>
      </c>
      <c r="F19" s="307">
        <f>IF('levy page9'!$E$73&gt;0,'levy page9'!$E$73,"  ")</f>
        <v>31250</v>
      </c>
      <c r="G19" s="307">
        <f>IF('levy page9'!$E$80&lt;&gt;0,'levy page9'!$E$80,"  ")</f>
        <v>30502</v>
      </c>
      <c r="H19" s="499">
        <f>IF('levy page9'!E80&lt;&gt;0,ROUND(G19/$F$57*1000,3),"  ")</f>
        <v>2.8610000000000002</v>
      </c>
    </row>
    <row r="20" spans="1:8" x14ac:dyDescent="0.2">
      <c r="A20" s="126" t="str">
        <f>IF(inputPrYr!$B28&gt;"  ",(inputPrYr!$B28),"  ")</f>
        <v xml:space="preserve">  </v>
      </c>
      <c r="B20" s="307" t="str">
        <f>IF('levy page10'!$C$33&gt;0,'levy page10'!$C$33,"  ")</f>
        <v xml:space="preserve">  </v>
      </c>
      <c r="C20" s="499" t="str">
        <f>IF(inputPrYr!D94&gt;0,inputPrYr!D94,"  ")</f>
        <v xml:space="preserve">  </v>
      </c>
      <c r="D20" s="307" t="str">
        <f>IF('levy page10'!$D$33&gt;0,'levy page10'!$D$33,"  ")</f>
        <v xml:space="preserve">  </v>
      </c>
      <c r="E20" s="499" t="str">
        <f>IF(inputOth!D34&gt;0,inputOth!D34,"  ")</f>
        <v xml:space="preserve">  </v>
      </c>
      <c r="F20" s="307" t="str">
        <f>IF('levy page10'!$E$33&gt;0,'levy page10'!$E$33,"  ")</f>
        <v xml:space="preserve">  </v>
      </c>
      <c r="G20" s="307" t="str">
        <f>IF('levy page10'!$E$40&lt;&gt;0,'levy page10'!$E$40,"  ")</f>
        <v xml:space="preserve">  </v>
      </c>
      <c r="H20" s="499" t="str">
        <f>IF('levy page10'!E40&lt;&gt;0,ROUND(G20/$F$57*1000,3),"  ")</f>
        <v xml:space="preserve">  </v>
      </c>
    </row>
    <row r="21" spans="1:8" x14ac:dyDescent="0.2">
      <c r="A21" s="126" t="str">
        <f>IF(inputPrYr!$B29&gt;"  ",(inputPrYr!$B29),"  ")</f>
        <v xml:space="preserve">  </v>
      </c>
      <c r="B21" s="307" t="str">
        <f>IF('levy page10'!$C$73&gt;0,'levy page10'!$C$73,"  ")</f>
        <v xml:space="preserve">  </v>
      </c>
      <c r="C21" s="499" t="str">
        <f>IF(inputPrYr!D95&gt;0,inputPrYr!D95,"  ")</f>
        <v xml:space="preserve">  </v>
      </c>
      <c r="D21" s="307" t="str">
        <f>IF('levy page10'!$D$73&gt;0,'levy page10'!$D$73,"  ")</f>
        <v xml:space="preserve">  </v>
      </c>
      <c r="E21" s="499" t="str">
        <f>IF(inputOth!D35&gt;0,inputOth!D35,"  ")</f>
        <v xml:space="preserve">  </v>
      </c>
      <c r="F21" s="307" t="str">
        <f>IF('levy page10'!$E$73&gt;0,'levy page10'!$E$73,"  ")</f>
        <v xml:space="preserve">  </v>
      </c>
      <c r="G21" s="307" t="str">
        <f>IF('levy page10'!$E$80&lt;&gt;0,'levy page10'!$E$80,"  ")</f>
        <v xml:space="preserve">  </v>
      </c>
      <c r="H21" s="499" t="str">
        <f>IF('levy page10'!E80&lt;&gt;0,ROUND(G21/$F$57*1000,3),"  ")</f>
        <v xml:space="preserve">  </v>
      </c>
    </row>
    <row r="22" spans="1:8" x14ac:dyDescent="0.2">
      <c r="A22" s="126" t="str">
        <f>IF(inputPrYr!$B30&gt;"  ",(inputPrYr!$B30),"  ")</f>
        <v xml:space="preserve">  </v>
      </c>
      <c r="B22" s="307" t="str">
        <f>IF('levy page11'!$C$33&gt;0,'levy page11'!$C$33,"  ")</f>
        <v xml:space="preserve">  </v>
      </c>
      <c r="C22" s="499" t="str">
        <f>IF(inputPrYr!D96&gt;0,inputPrYr!D96,"  ")</f>
        <v xml:space="preserve">  </v>
      </c>
      <c r="D22" s="307" t="str">
        <f>IF('levy page11'!$D$33&gt;0,'levy page11'!$D$33,"  ")</f>
        <v xml:space="preserve">  </v>
      </c>
      <c r="E22" s="499" t="str">
        <f>IF(inputOth!D36&gt;0,inputOth!D36,"  ")</f>
        <v xml:space="preserve">  </v>
      </c>
      <c r="F22" s="307" t="str">
        <f>IF('levy page11'!$E$33&gt;0,'levy page11'!$E$33,"  ")</f>
        <v xml:space="preserve">  </v>
      </c>
      <c r="G22" s="307" t="str">
        <f>IF('levy page11'!$E$40&lt;&gt;0,'levy page11'!$E$40,"  ")</f>
        <v xml:space="preserve">  </v>
      </c>
      <c r="H22" s="499" t="str">
        <f>IF('levy page11'!E40&lt;&gt;0,ROUND(G22/$F$57*1000,3),"  ")</f>
        <v xml:space="preserve">  </v>
      </c>
    </row>
    <row r="23" spans="1:8" x14ac:dyDescent="0.2">
      <c r="A23" s="126" t="str">
        <f>IF(inputPrYr!$B31&gt;"  ",(inputPrYr!$B31),"  ")</f>
        <v xml:space="preserve">  </v>
      </c>
      <c r="B23" s="307" t="str">
        <f>IF('levy page11'!$C$73&gt;0,'levy page11'!$C$73,"  ")</f>
        <v xml:space="preserve">  </v>
      </c>
      <c r="C23" s="499" t="str">
        <f>IF(inputPrYr!D97&gt;0,inputPrYr!D97,"  ")</f>
        <v xml:space="preserve">  </v>
      </c>
      <c r="D23" s="307" t="str">
        <f>IF('levy page11'!$D$73&gt;0,'levy page11'!$D$73,"  ")</f>
        <v xml:space="preserve">  </v>
      </c>
      <c r="E23" s="499" t="str">
        <f>IF(inputOth!D37&gt;0,inputOth!D37,"  ")</f>
        <v xml:space="preserve">  </v>
      </c>
      <c r="F23" s="307" t="str">
        <f>IF('levy page11'!$E$73&gt;0,'levy page11'!$E$73,"  ")</f>
        <v xml:space="preserve">  </v>
      </c>
      <c r="G23" s="307" t="str">
        <f>IF('levy page11'!$E$80&lt;&gt;0,'levy page11'!$E$80,"  ")</f>
        <v xml:space="preserve">  </v>
      </c>
      <c r="H23" s="499" t="str">
        <f>IF('levy page11'!E80&lt;&gt;0,ROUND(G23/$F$57*1000,3),"  ")</f>
        <v xml:space="preserve">  </v>
      </c>
    </row>
    <row r="24" spans="1:8" x14ac:dyDescent="0.2">
      <c r="A24" s="126" t="str">
        <f>IF(inputPrYr!$B32&gt;"  ",(inputPrYr!$B32),"  ")</f>
        <v xml:space="preserve">  </v>
      </c>
      <c r="B24" s="307" t="str">
        <f>IF('levy page12'!$C$33&gt;0,'levy page12'!$C$33,"  ")</f>
        <v xml:space="preserve">  </v>
      </c>
      <c r="C24" s="499" t="str">
        <f>IF(inputPrYr!D98&gt;0,inputPrYr!D98,"  ")</f>
        <v xml:space="preserve">  </v>
      </c>
      <c r="D24" s="307" t="str">
        <f>IF('levy page12'!$D$33&gt;0,'levy page12'!$D$33,"  ")</f>
        <v xml:space="preserve">  </v>
      </c>
      <c r="E24" s="499" t="str">
        <f>IF(inputOth!D38&gt;0,inputOth!D38,"  ")</f>
        <v xml:space="preserve">  </v>
      </c>
      <c r="F24" s="307" t="str">
        <f>IF('levy page12'!$E$33&gt;0,'levy page12'!$E$33,"  ")</f>
        <v xml:space="preserve">  </v>
      </c>
      <c r="G24" s="307" t="str">
        <f>IF('levy page12'!$E$40&lt;&gt;0,'levy page12'!$E$40,"  ")</f>
        <v xml:space="preserve">  </v>
      </c>
      <c r="H24" s="499" t="str">
        <f>IF('levy page12'!E40&lt;&gt;0,ROUND(G24/$F$57*1000,3),"  ")</f>
        <v xml:space="preserve">  </v>
      </c>
    </row>
    <row r="25" spans="1:8" x14ac:dyDescent="0.2">
      <c r="A25" s="126" t="str">
        <f>IF(inputPrYr!$B33&gt;"  ",(inputPrYr!$B33),"  ")</f>
        <v xml:space="preserve">  </v>
      </c>
      <c r="B25" s="307" t="str">
        <f>IF('levy page12'!$C$73&gt;0,'levy page12'!$C$73,"  ")</f>
        <v xml:space="preserve">  </v>
      </c>
      <c r="C25" s="499" t="str">
        <f>IF(inputPrYr!D99&gt;0,inputPrYr!D99,"  ")</f>
        <v xml:space="preserve">  </v>
      </c>
      <c r="D25" s="307" t="str">
        <f>IF('levy page12'!$D$73&gt;0,'levy page12'!$D$73,"  ")</f>
        <v xml:space="preserve">  </v>
      </c>
      <c r="E25" s="499" t="str">
        <f>IF(inputOth!D39&gt;0,inputOth!D39,"  ")</f>
        <v xml:space="preserve">  </v>
      </c>
      <c r="F25" s="307" t="str">
        <f>IF('levy page12'!$E$73&gt;0,'levy page12'!$E$73,"  ")</f>
        <v xml:space="preserve">  </v>
      </c>
      <c r="G25" s="307" t="str">
        <f>IF('levy page12'!$E$80&lt;&gt;0,'levy page12'!$E$80,"  ")</f>
        <v xml:space="preserve">  </v>
      </c>
      <c r="H25" s="499" t="str">
        <f>IF('levy page12'!E80&lt;&gt;0,ROUND(G25/$F$57*1000,3),"  ")</f>
        <v xml:space="preserve">  </v>
      </c>
    </row>
    <row r="26" spans="1:8" x14ac:dyDescent="0.2">
      <c r="A26" s="126" t="str">
        <f>IF(inputPrYr!$B34&gt;"  ",(inputPrYr!$B34),"  ")</f>
        <v xml:space="preserve">  </v>
      </c>
      <c r="B26" s="307" t="str">
        <f>IF('levy page13'!$C$33&gt;0,'levy page13'!$C$33,"  ")</f>
        <v xml:space="preserve">  </v>
      </c>
      <c r="C26" s="499" t="str">
        <f>IF(inputPrYr!D100&gt;0,inputPrYr!D100,"  ")</f>
        <v xml:space="preserve">  </v>
      </c>
      <c r="D26" s="307" t="str">
        <f>IF('levy page13'!$D$33&gt;0,'levy page13'!$D$33,"  ")</f>
        <v xml:space="preserve">  </v>
      </c>
      <c r="E26" s="499" t="str">
        <f>IF(inputOth!D40&gt;0,inputOth!D40,"  ")</f>
        <v xml:space="preserve">  </v>
      </c>
      <c r="F26" s="307" t="str">
        <f>IF('levy page13'!$E$33&gt;0,'levy page13'!$E$33,"  ")</f>
        <v xml:space="preserve">  </v>
      </c>
      <c r="G26" s="307" t="str">
        <f>IF('levy page13'!$E$40&lt;&gt;0,'levy page13'!$E$40,"  ")</f>
        <v xml:space="preserve">  </v>
      </c>
      <c r="H26" s="499" t="str">
        <f>IF('levy page13'!E40&lt;&gt;0,ROUND(G26/$F$57*1000,3),"  ")</f>
        <v xml:space="preserve">  </v>
      </c>
    </row>
    <row r="27" spans="1:8" x14ac:dyDescent="0.2">
      <c r="A27" s="126" t="str">
        <f>IF(inputPrYr!B35&gt;"  ",(inputPrYr!B35),"  ")</f>
        <v xml:space="preserve">  </v>
      </c>
      <c r="B27" s="307" t="str">
        <f>IF('levy page13'!$C$73&gt;0,'levy page13'!$C$73,"  ")</f>
        <v xml:space="preserve">  </v>
      </c>
      <c r="C27" s="499" t="str">
        <f>IF(inputPrYr!D101&gt;0,inputPrYr!D101,"  ")</f>
        <v xml:space="preserve">  </v>
      </c>
      <c r="D27" s="307" t="str">
        <f>IF('levy page13'!$D$73&gt;0,'levy page13'!$D$73,"  ")</f>
        <v xml:space="preserve">  </v>
      </c>
      <c r="E27" s="499" t="str">
        <f>IF(inputOth!D41&gt;0,inputOth!D41,"  ")</f>
        <v xml:space="preserve">  </v>
      </c>
      <c r="F27" s="307" t="str">
        <f>IF('levy page13'!$E$73&gt;0,'levy page13'!$E$73,"  ")</f>
        <v xml:space="preserve">  </v>
      </c>
      <c r="G27" s="307" t="str">
        <f>IF('levy page13'!$E$80&lt;&gt;0,'levy page13'!$E$80,"  ")</f>
        <v xml:space="preserve">  </v>
      </c>
      <c r="H27" s="499" t="str">
        <f>IF('levy page13'!E80&lt;&gt;0,ROUND(G27/$F$57*1000,3),"  ")</f>
        <v xml:space="preserve">  </v>
      </c>
    </row>
    <row r="28" spans="1:8" x14ac:dyDescent="0.2">
      <c r="A28" s="126" t="str">
        <f>IF(inputPrYr!$B39&gt;"  ",(inputPrYr!$B39),"  ")</f>
        <v>Special Highway</v>
      </c>
      <c r="B28" s="307">
        <f>IF('Sp Hiway'!$C$30&gt;0,'Sp Hiway'!$C$30,"  ")</f>
        <v>75591</v>
      </c>
      <c r="C28" s="217"/>
      <c r="D28" s="307">
        <f>IF('Sp Hiway'!$D$30&gt;0,'Sp Hiway'!$D$30,"  ")</f>
        <v>80750</v>
      </c>
      <c r="E28" s="217"/>
      <c r="F28" s="307">
        <f>IF('Sp Hiway'!$E$30&gt;0,'Sp Hiway'!$E$30,"  ")</f>
        <v>85500</v>
      </c>
      <c r="G28" s="307"/>
      <c r="H28" s="499"/>
    </row>
    <row r="29" spans="1:8" x14ac:dyDescent="0.2">
      <c r="A29" s="126" t="str">
        <f>IF(inputPrYr!$B40&gt;"  ",(inputPrYr!$B40),"  ")</f>
        <v>Convention &amp; Tourism</v>
      </c>
      <c r="B29" s="307">
        <f>IF('Sp Hiway'!$C$63&gt;0,'Sp Hiway'!$C$63,"  ")</f>
        <v>12000</v>
      </c>
      <c r="C29" s="217"/>
      <c r="D29" s="307">
        <f>IF('Sp Hiway'!$D$63&gt;0,'Sp Hiway'!$D$63,"  ")</f>
        <v>14000</v>
      </c>
      <c r="E29" s="217"/>
      <c r="F29" s="307">
        <f>IF('Sp Hiway'!$E$63&gt;0,'Sp Hiway'!$E$63,"  ")</f>
        <v>16000</v>
      </c>
      <c r="G29" s="307"/>
      <c r="H29" s="499"/>
    </row>
    <row r="30" spans="1:8" x14ac:dyDescent="0.2">
      <c r="A30" s="126" t="str">
        <f>IF(inputPrYr!$B41&gt;"  ",(inputPrYr!$B41),"  ")</f>
        <v>Special Park</v>
      </c>
      <c r="B30" s="307" t="str">
        <f>IF('no levy page15'!$C$30&gt;0,'no levy page15'!$C$30,"  ")</f>
        <v xml:space="preserve">  </v>
      </c>
      <c r="C30" s="217"/>
      <c r="D30" s="307">
        <f>IF('no levy page15'!$D$30&gt;0,'no levy page15'!$D$30,"  ")</f>
        <v>20000</v>
      </c>
      <c r="E30" s="217"/>
      <c r="F30" s="307">
        <f>IF('no levy page15'!$E$30&gt;0,'no levy page15'!$E$30,"  ")</f>
        <v>30000</v>
      </c>
      <c r="G30" s="307"/>
      <c r="H30" s="499"/>
    </row>
    <row r="31" spans="1:8" x14ac:dyDescent="0.2">
      <c r="A31" s="126" t="str">
        <f>IF(inputPrYr!$B42&gt;"  ",(inputPrYr!$B42),"  ")</f>
        <v>Solid Waste</v>
      </c>
      <c r="B31" s="307">
        <f>IF('no levy page15'!$C$63&gt;0,'no levy page15'!$C$63,"  ")</f>
        <v>207788</v>
      </c>
      <c r="C31" s="217"/>
      <c r="D31" s="307">
        <f>IF('no levy page15'!$D$63&gt;0,'no levy page15'!$D$63,"  ")</f>
        <v>232000</v>
      </c>
      <c r="E31" s="217"/>
      <c r="F31" s="307">
        <f>IF('no levy page15'!$E$63&gt;0,'no levy page15'!$E$63,"  ")</f>
        <v>232000</v>
      </c>
      <c r="G31" s="307"/>
      <c r="H31" s="499"/>
    </row>
    <row r="32" spans="1:8" x14ac:dyDescent="0.2">
      <c r="A32" s="126" t="str">
        <f>IF(inputPrYr!$B43&gt;"  ",(inputPrYr!$B43),"  ")</f>
        <v>Airport</v>
      </c>
      <c r="B32" s="307">
        <f>IF('no levy page16'!$C$30&gt;0,'no levy page16'!$C$30,"  ")</f>
        <v>495892</v>
      </c>
      <c r="C32" s="217"/>
      <c r="D32" s="307">
        <f>IF('no levy page16'!$D$30&gt;0,'no levy page16'!$D$30,"  ")</f>
        <v>96500</v>
      </c>
      <c r="E32" s="217"/>
      <c r="F32" s="307">
        <f>IF('no levy page16'!$E$30&gt;0,'no levy page16'!$E$30,"  ")</f>
        <v>156300</v>
      </c>
      <c r="G32" s="307"/>
      <c r="H32" s="217"/>
    </row>
    <row r="33" spans="1:13" x14ac:dyDescent="0.2">
      <c r="A33" s="126" t="str">
        <f>IF(inputPrYr!$B44&gt;"  ",(inputPrYr!$B44),"  ")</f>
        <v>2006 Sales Tax</v>
      </c>
      <c r="B33" s="307">
        <f>IF('no levy page16'!$C$63&gt;0,'no levy page16'!$C$63,"  ")</f>
        <v>162352</v>
      </c>
      <c r="C33" s="217"/>
      <c r="D33" s="307">
        <f>IF('no levy page16'!$D$63&gt;0,'no levy page16'!$D$63,"  ")</f>
        <v>113175</v>
      </c>
      <c r="E33" s="217"/>
      <c r="F33" s="307">
        <f>IF('no levy page16'!$E$63&gt;0,'no levy page16'!$E$63,"  ")</f>
        <v>114000</v>
      </c>
      <c r="G33" s="307"/>
      <c r="H33" s="217"/>
    </row>
    <row r="34" spans="1:13" x14ac:dyDescent="0.2">
      <c r="A34" s="126" t="str">
        <f>IF(inputPrYr!$B45&gt;"  ",(inputPrYr!$B45),"  ")</f>
        <v>2010 Sales Tax</v>
      </c>
      <c r="B34" s="307">
        <f>IF('no levy page17'!$C$30&gt;0,'no levy page17'!$C$30,"  ")</f>
        <v>101030</v>
      </c>
      <c r="C34" s="217"/>
      <c r="D34" s="307">
        <f>IF('no levy page17'!$D$30&gt;0,'no levy page17'!$D$30,"  ")</f>
        <v>110500</v>
      </c>
      <c r="E34" s="217"/>
      <c r="F34" s="307">
        <f>IF('no levy page17'!$E$30&gt;0,'no levy page17'!$E$30,"  ")</f>
        <v>110500</v>
      </c>
      <c r="G34" s="307"/>
      <c r="H34" s="217"/>
    </row>
    <row r="35" spans="1:13" x14ac:dyDescent="0.2">
      <c r="A35" s="126" t="str">
        <f>IF(inputPrYr!$B46&gt;"  ",(inputPrYr!$B46),"  ")</f>
        <v>Storm Water</v>
      </c>
      <c r="B35" s="307">
        <f>IF('no levy page17'!$C$63&gt;0,'no levy page17'!$C$63,"  ")</f>
        <v>11323</v>
      </c>
      <c r="C35" s="217"/>
      <c r="D35" s="307">
        <f>IF('no levy page17'!$D$63&gt;0,'no levy page17'!$D$63,"  ")</f>
        <v>75000</v>
      </c>
      <c r="E35" s="217"/>
      <c r="F35" s="307">
        <f>IF('no levy page17'!$E$63&gt;0,'no levy page17'!$E$63,"  ")</f>
        <v>75000</v>
      </c>
      <c r="G35" s="307"/>
      <c r="H35" s="217"/>
    </row>
    <row r="36" spans="1:13" x14ac:dyDescent="0.2">
      <c r="A36" s="126" t="str">
        <f>IF(inputPrYr!$B47&gt;"  ",(inputPrYr!$B47),"  ")</f>
        <v xml:space="preserve">  </v>
      </c>
      <c r="B36" s="307" t="str">
        <f>IF('no levy page18'!$C$30&gt;0,'no levy page18'!$C$30,"  ")</f>
        <v xml:space="preserve">  </v>
      </c>
      <c r="C36" s="217"/>
      <c r="D36" s="307" t="str">
        <f>IF('no levy page18'!$D$30&gt;0,'no levy page18'!$D$30,"  ")</f>
        <v xml:space="preserve">  </v>
      </c>
      <c r="E36" s="217"/>
      <c r="F36" s="307" t="str">
        <f>IF('no levy page18'!$E$30&gt;0,'no levy page18'!$E$30,"  ")</f>
        <v xml:space="preserve">  </v>
      </c>
      <c r="G36" s="307"/>
      <c r="H36" s="217"/>
    </row>
    <row r="37" spans="1:13" x14ac:dyDescent="0.2">
      <c r="A37" s="126" t="str">
        <f>IF(inputPrYr!$B48&gt;"  ",(inputPrYr!$B48),"  ")</f>
        <v xml:space="preserve">  </v>
      </c>
      <c r="B37" s="307" t="str">
        <f>IF('no levy page18'!$C$63&gt;0,'no levy page18'!$C$63,"  ")</f>
        <v xml:space="preserve">  </v>
      </c>
      <c r="C37" s="217"/>
      <c r="D37" s="307" t="str">
        <f>IF('no levy page18'!$D$63&gt;0,'no levy page18'!$D$63,"  ")</f>
        <v xml:space="preserve">  </v>
      </c>
      <c r="E37" s="217"/>
      <c r="F37" s="307" t="str">
        <f>IF('no levy page18'!$E$63&gt;0,'no levy page18'!$E$63,"  ")</f>
        <v xml:space="preserve">  </v>
      </c>
      <c r="G37" s="307"/>
      <c r="H37" s="217"/>
    </row>
    <row r="38" spans="1:13" x14ac:dyDescent="0.2">
      <c r="A38" s="126" t="str">
        <f>IF(inputPrYr!$B49&gt;"  ",(inputPrYr!$B49),"  ")</f>
        <v xml:space="preserve">  </v>
      </c>
      <c r="B38" s="307" t="str">
        <f>IF('no levy page19'!$C$30&gt;0,'no levy page19'!$C$30,"  ")</f>
        <v xml:space="preserve">  </v>
      </c>
      <c r="C38" s="217"/>
      <c r="D38" s="307" t="str">
        <f>IF('no levy page19'!$D$30&gt;0,'no levy page19'!$D$30,"  ")</f>
        <v xml:space="preserve">  </v>
      </c>
      <c r="E38" s="217"/>
      <c r="F38" s="307" t="str">
        <f>IF('no levy page19'!$E$30&gt;0,'no levy page19'!$E$30,"  ")</f>
        <v xml:space="preserve">  </v>
      </c>
      <c r="G38" s="307"/>
      <c r="H38" s="217"/>
    </row>
    <row r="39" spans="1:13" x14ac:dyDescent="0.25">
      <c r="A39" s="126" t="str">
        <f>IF(inputPrYr!$B50&gt;"  ",(inputPrYr!$B50),"  ")</f>
        <v xml:space="preserve">  </v>
      </c>
      <c r="B39" s="307" t="str">
        <f>IF('no levy page19'!$C$63&gt;0,'no levy page19'!$C$63,"  ")</f>
        <v xml:space="preserve">  </v>
      </c>
      <c r="C39" s="217"/>
      <c r="D39" s="307" t="str">
        <f>IF('no levy page19'!$D$63&gt;0,'no levy page19'!$D$63,"  ")</f>
        <v xml:space="preserve">  </v>
      </c>
      <c r="E39" s="217"/>
      <c r="F39" s="307" t="str">
        <f>IF('no levy page19'!$E$63&gt;0,'no levy page19'!$E$63,"  ")</f>
        <v xml:space="preserve">  </v>
      </c>
      <c r="G39" s="307"/>
      <c r="H39" s="217"/>
      <c r="J39" s="933" t="str">
        <f>CONCATENATE("Estimated Value Of One Mill For ",H2,"")</f>
        <v>Estimated Value Of One Mill For 2013</v>
      </c>
      <c r="K39" s="934"/>
      <c r="L39" s="934"/>
      <c r="M39" s="935"/>
    </row>
    <row r="40" spans="1:13" x14ac:dyDescent="0.25">
      <c r="A40" s="126" t="str">
        <f>IF(inputPrYr!$B51&gt;"  ",(inputPrYr!$B51),"  ")</f>
        <v xml:space="preserve">  </v>
      </c>
      <c r="B40" s="307" t="str">
        <f>IF('no levy page20'!$C$30&gt;0,'no levy page20'!$C$30,"  ")</f>
        <v xml:space="preserve">  </v>
      </c>
      <c r="C40" s="217"/>
      <c r="D40" s="307" t="str">
        <f>IF('no levy page20'!$D$30&gt;0,'no levy page20'!$D$30,"  ")</f>
        <v xml:space="preserve">  </v>
      </c>
      <c r="E40" s="217"/>
      <c r="F40" s="307" t="str">
        <f>IF('no levy page20'!$E$30&gt;0,'no levy page20'!$E$30,"  ")</f>
        <v xml:space="preserve">  </v>
      </c>
      <c r="G40" s="307"/>
      <c r="H40" s="217"/>
      <c r="J40" s="536"/>
      <c r="K40" s="537"/>
      <c r="L40" s="537"/>
      <c r="M40" s="538"/>
    </row>
    <row r="41" spans="1:13" x14ac:dyDescent="0.25">
      <c r="A41" s="126" t="str">
        <f>IF(inputPrYr!$B52&gt;"  ",(inputPrYr!$B52),"  ")</f>
        <v xml:space="preserve">  </v>
      </c>
      <c r="B41" s="307" t="str">
        <f>IF('no levy page20'!$C$63&gt;0,'no levy page20'!$C$63,"  ")</f>
        <v xml:space="preserve">  </v>
      </c>
      <c r="C41" s="217"/>
      <c r="D41" s="307" t="str">
        <f>IF('no levy page20'!$D$63&gt;0,'no levy page20'!$D$63,"  ")</f>
        <v xml:space="preserve">  </v>
      </c>
      <c r="E41" s="217"/>
      <c r="F41" s="307" t="str">
        <f>IF('no levy page20'!$E$63&gt;0,'no levy page20'!$E$63,"  ")</f>
        <v xml:space="preserve">  </v>
      </c>
      <c r="G41" s="307"/>
      <c r="H41" s="217"/>
      <c r="J41" s="539" t="s">
        <v>778</v>
      </c>
      <c r="K41" s="540"/>
      <c r="L41" s="540"/>
      <c r="M41" s="541">
        <f>ROUND(F57/1000,0)</f>
        <v>10661</v>
      </c>
    </row>
    <row r="42" spans="1:13" x14ac:dyDescent="0.2">
      <c r="A42" s="126" t="str">
        <f>IF(inputPrYr!$B53&gt;"  ",(inputPrYr!$B53),"  ")</f>
        <v xml:space="preserve">  </v>
      </c>
      <c r="B42" s="307" t="str">
        <f>IF('no levy page21'!$C$30&gt;0,'no levy page21'!$C$30,"  ")</f>
        <v xml:space="preserve">  </v>
      </c>
      <c r="C42" s="217"/>
      <c r="D42" s="307" t="str">
        <f>IF('no levy page21'!$D$30&gt;0,'no levy page21'!$D$30,"  ")</f>
        <v xml:space="preserve">  </v>
      </c>
      <c r="E42" s="217"/>
      <c r="F42" s="307" t="str">
        <f>IF('no levy page21'!$E$30&gt;0,'no levy page21'!$E$30,"  ")</f>
        <v xml:space="preserve">  </v>
      </c>
      <c r="G42" s="307"/>
      <c r="H42" s="217"/>
    </row>
    <row r="43" spans="1:13" x14ac:dyDescent="0.25">
      <c r="A43" s="126" t="str">
        <f>IF(inputPrYr!$B54&gt;"  ",(inputPrYr!$B54),"  ")</f>
        <v xml:space="preserve">  </v>
      </c>
      <c r="B43" s="307" t="str">
        <f>IF('no levy page21'!$C$63&gt;0,'no levy page21'!$C$63,"  ")</f>
        <v xml:space="preserve">  </v>
      </c>
      <c r="C43" s="217"/>
      <c r="D43" s="307" t="str">
        <f>IF('no levy page21'!$D$63&gt;0,'no levy page21'!$D$63,"  ")</f>
        <v xml:space="preserve">  </v>
      </c>
      <c r="E43" s="217"/>
      <c r="F43" s="307" t="str">
        <f>IF('no levy page21'!$E$63&gt;0,'no levy page21'!$E$63,"  ")</f>
        <v xml:space="preserve">  </v>
      </c>
      <c r="G43" s="307"/>
      <c r="H43" s="217"/>
      <c r="J43" s="933" t="str">
        <f>CONCATENATE("Want The Mill Rate The Same As For ",H2-1,"?")</f>
        <v>Want The Mill Rate The Same As For 2012?</v>
      </c>
      <c r="K43" s="934"/>
      <c r="L43" s="934"/>
      <c r="M43" s="935"/>
    </row>
    <row r="44" spans="1:13" x14ac:dyDescent="0.25">
      <c r="A44" s="126" t="str">
        <f>IF(inputPrYr!$B56&gt;"  ",(inputPrYr!$B56),"  ")</f>
        <v>Light</v>
      </c>
      <c r="B44" s="307">
        <f>IF(SinNoLevy22!$C$47&gt;0,SinNoLevy22!$C$47,"  ")</f>
        <v>3257240</v>
      </c>
      <c r="C44" s="217"/>
      <c r="D44" s="307">
        <f>IF(SinNoLevy22!$D$47&gt;0,SinNoLevy22!$D$47,"  ")</f>
        <v>3045661</v>
      </c>
      <c r="E44" s="217"/>
      <c r="F44" s="307">
        <f>IF(SinNoLevy22!$E$47&gt;0,SinNoLevy22!$E$47,"  ")</f>
        <v>3073080</v>
      </c>
      <c r="G44" s="307"/>
      <c r="H44" s="217"/>
      <c r="J44" s="543"/>
      <c r="K44" s="537"/>
      <c r="L44" s="537"/>
      <c r="M44" s="544"/>
    </row>
    <row r="45" spans="1:13" x14ac:dyDescent="0.25">
      <c r="A45" s="126" t="str">
        <f>IF(inputPrYr!$B57&gt;"  ",(inputPrYr!$B57),"  ")</f>
        <v>Water</v>
      </c>
      <c r="B45" s="307">
        <f>IF(SinNoLevy23!$C$47&gt;0,SinNoLevy23!$C$47,"  ")</f>
        <v>426822</v>
      </c>
      <c r="C45" s="217"/>
      <c r="D45" s="307">
        <f>IF(SinNoLevy23!$D$47&gt;0,SinNoLevy23!$D$47,"  ")</f>
        <v>502956</v>
      </c>
      <c r="E45" s="217"/>
      <c r="F45" s="307">
        <f>IF(SinNoLevy23!$E$47&gt;0,SinNoLevy23!$E$47,"  ")</f>
        <v>683764</v>
      </c>
      <c r="G45" s="307"/>
      <c r="H45" s="217"/>
      <c r="J45" s="543" t="str">
        <f>CONCATENATE("",H2-1," Mill Rate Was:")</f>
        <v>2012 Mill Rate Was:</v>
      </c>
      <c r="K45" s="537"/>
      <c r="L45" s="537"/>
      <c r="M45" s="545">
        <f>E52</f>
        <v>66.711000000000013</v>
      </c>
    </row>
    <row r="46" spans="1:13" x14ac:dyDescent="0.25">
      <c r="A46" s="126" t="str">
        <f>IF(inputPrYr!$B58&gt;"  ",(inputPrYr!$B58),"  ")</f>
        <v>Sewer</v>
      </c>
      <c r="B46" s="307">
        <f>IF(SinNoLevy24!$C$47&gt;0,SinNoLevy24!$C$47,"  ")</f>
        <v>214561</v>
      </c>
      <c r="C46" s="217"/>
      <c r="D46" s="307">
        <f>IF(SinNoLevy24!$D$47&gt;0,SinNoLevy24!$D$47,"  ")</f>
        <v>245569</v>
      </c>
      <c r="E46" s="217"/>
      <c r="F46" s="307">
        <f>IF(SinNoLevy24!$E$47&gt;0,SinNoLevy24!$E$47,"  ")</f>
        <v>232765</v>
      </c>
      <c r="G46" s="307"/>
      <c r="H46" s="217"/>
      <c r="J46" s="546" t="str">
        <f>CONCATENATE("",H2," Tax Levy Fund Expenditures Must Be")</f>
        <v>2013 Tax Levy Fund Expenditures Must Be</v>
      </c>
      <c r="K46" s="547"/>
      <c r="L46" s="547"/>
      <c r="M46" s="544"/>
    </row>
    <row r="47" spans="1:13" x14ac:dyDescent="0.25">
      <c r="A47" s="126" t="str">
        <f>IF(inputPrYr!$B59&gt;"  ",(inputPrYr!$B59),"  ")</f>
        <v xml:space="preserve">  </v>
      </c>
      <c r="B47" s="307" t="str">
        <f>IF(SinNoLevy25!$C$47&gt;0,SinNoLevy25!$C$47,"  ")</f>
        <v xml:space="preserve">  </v>
      </c>
      <c r="C47" s="217"/>
      <c r="D47" s="307" t="str">
        <f>IF(SinNoLevy25!$D$47&gt;0,SinNoLevy25!$D$47,"  ")</f>
        <v xml:space="preserve">  </v>
      </c>
      <c r="E47" s="217"/>
      <c r="F47" s="307" t="str">
        <f>IF(SinNoLevy25!$E$47&gt;0,SinNoLevy25!$E$47,"  ")</f>
        <v xml:space="preserve">  </v>
      </c>
      <c r="G47" s="307"/>
      <c r="H47" s="217"/>
      <c r="J47" s="546" t="str">
        <f>IF(M47&gt;0,"Increased By:","")</f>
        <v/>
      </c>
      <c r="K47" s="547"/>
      <c r="L47" s="547"/>
      <c r="M47" s="619">
        <f>IF(M54&lt;0,M54*-1,0)</f>
        <v>0</v>
      </c>
    </row>
    <row r="48" spans="1:13" x14ac:dyDescent="0.2">
      <c r="A48" s="126" t="str">
        <f>IF(inputPrYr!$B62&gt;"  ",(NonBudA!$A3),"  ")</f>
        <v>Non-Budgeted Funds-A</v>
      </c>
      <c r="B48" s="307">
        <f>IF(NonBudA!$K$28&gt;0,NonBudA!$K$28,"  ")</f>
        <v>111760</v>
      </c>
      <c r="C48" s="217"/>
      <c r="D48" s="307"/>
      <c r="E48" s="217"/>
      <c r="F48" s="307"/>
      <c r="G48" s="307"/>
      <c r="H48" s="217"/>
      <c r="J48" s="620" t="str">
        <f>IF(M48&lt;0,"Reduced By:","")</f>
        <v>Reduced By:</v>
      </c>
      <c r="K48" s="621"/>
      <c r="L48" s="621"/>
      <c r="M48" s="622">
        <f>IF(M54&gt;0,M54*-1,0)</f>
        <v>-0.61999999999534339</v>
      </c>
    </row>
    <row r="49" spans="1:13" x14ac:dyDescent="0.25">
      <c r="A49" s="126" t="str">
        <f>IF(inputPrYr!$B68&gt;"  ",(NonBudB!$A3),"  ")</f>
        <v>Non-Budgeted Funds-B</v>
      </c>
      <c r="B49" s="307">
        <f>IF(NonBudB!$K$28&gt;0,NonBudB!$K$28,"  ")</f>
        <v>34014</v>
      </c>
      <c r="C49" s="217"/>
      <c r="D49" s="307"/>
      <c r="E49" s="217"/>
      <c r="F49" s="307"/>
      <c r="G49" s="307"/>
      <c r="H49" s="217"/>
      <c r="J49" s="550"/>
      <c r="K49" s="550"/>
      <c r="L49" s="550"/>
      <c r="M49" s="550"/>
    </row>
    <row r="50" spans="1:13" x14ac:dyDescent="0.25">
      <c r="A50" s="126" t="str">
        <f>IF(inputPrYr!$B74&gt;"  ",(NonBudC!$A3),"  ")</f>
        <v xml:space="preserve">  </v>
      </c>
      <c r="B50" s="307" t="str">
        <f>IF(NonBudC!$K$28&gt;0,NonBudC!$K$28,"  ")</f>
        <v xml:space="preserve">  </v>
      </c>
      <c r="C50" s="217"/>
      <c r="D50" s="307"/>
      <c r="E50" s="217"/>
      <c r="F50" s="307"/>
      <c r="G50" s="307"/>
      <c r="H50" s="217"/>
      <c r="J50" s="933" t="str">
        <f>CONCATENATE("Impact On Keeping The Same Mill Rate As For ",H2-1,"")</f>
        <v>Impact On Keeping The Same Mill Rate As For 2012</v>
      </c>
      <c r="K50" s="936"/>
      <c r="L50" s="936"/>
      <c r="M50" s="937"/>
    </row>
    <row r="51" spans="1:13" ht="16.5" thickBot="1" x14ac:dyDescent="0.3">
      <c r="A51" s="126" t="str">
        <f>IF(inputPrYr!$B80&gt;"  ",(NonBudD!$A3),"  ")</f>
        <v xml:space="preserve">  </v>
      </c>
      <c r="B51" s="557" t="str">
        <f>IF(NonBudD!$K$28&gt;0,NonBudD!$K$28,"  ")</f>
        <v xml:space="preserve">  </v>
      </c>
      <c r="C51" s="462"/>
      <c r="D51" s="557"/>
      <c r="E51" s="462"/>
      <c r="F51" s="557"/>
      <c r="G51" s="557"/>
      <c r="H51" s="462"/>
      <c r="J51" s="543"/>
      <c r="K51" s="537"/>
      <c r="L51" s="537"/>
      <c r="M51" s="544"/>
    </row>
    <row r="52" spans="1:13" x14ac:dyDescent="0.25">
      <c r="A52" s="584" t="s">
        <v>788</v>
      </c>
      <c r="B52" s="588">
        <f>SUM(B15:B51)</f>
        <v>7189967</v>
      </c>
      <c r="C52" s="589">
        <f>SUM(C15:C27)</f>
        <v>70.146000000000001</v>
      </c>
      <c r="D52" s="588">
        <f>SUM(D15:D51)</f>
        <v>6805448</v>
      </c>
      <c r="E52" s="589">
        <f>SUM(E15:E27)</f>
        <v>66.711000000000013</v>
      </c>
      <c r="F52" s="588">
        <f>SUM(F15:F51)</f>
        <v>7208902</v>
      </c>
      <c r="G52" s="588">
        <f>SUM(G15:G51)</f>
        <v>711227.62</v>
      </c>
      <c r="H52" s="589">
        <f>SUM(H15:H27)</f>
        <v>66.711000000000013</v>
      </c>
      <c r="J52" s="543" t="str">
        <f>CONCATENATE("",H2," Ad Valorem Tax Revenue:")</f>
        <v>2013 Ad Valorem Tax Revenue:</v>
      </c>
      <c r="K52" s="537"/>
      <c r="L52" s="537"/>
      <c r="M52" s="538">
        <f>G52</f>
        <v>711227.62</v>
      </c>
    </row>
    <row r="53" spans="1:13" x14ac:dyDescent="0.25">
      <c r="A53" s="93" t="s">
        <v>328</v>
      </c>
      <c r="B53" s="501">
        <f>transfers!$C$28</f>
        <v>473278</v>
      </c>
      <c r="C53" s="576"/>
      <c r="D53" s="501">
        <f>transfers!$D$28</f>
        <v>427325</v>
      </c>
      <c r="E53" s="576"/>
      <c r="F53" s="501">
        <f>transfers!$E$28</f>
        <v>426925</v>
      </c>
      <c r="G53" s="502"/>
      <c r="H53" s="585"/>
      <c r="I53" s="503"/>
      <c r="J53" s="543" t="str">
        <f>CONCATENATE("",H2-1," Ad Valorem Tax Revenue:")</f>
        <v>2012 Ad Valorem Tax Revenue:</v>
      </c>
      <c r="K53" s="537"/>
      <c r="L53" s="537"/>
      <c r="M53" s="551">
        <f>ROUND(F57*M45/1000,0)</f>
        <v>711227</v>
      </c>
    </row>
    <row r="54" spans="1:13" ht="16.5" thickBot="1" x14ac:dyDescent="0.3">
      <c r="A54" s="93" t="s">
        <v>329</v>
      </c>
      <c r="B54" s="309">
        <f>B52-B53</f>
        <v>6716689</v>
      </c>
      <c r="C54" s="175"/>
      <c r="D54" s="309">
        <f>D52-D53</f>
        <v>6378123</v>
      </c>
      <c r="E54" s="500"/>
      <c r="F54" s="309">
        <f>F52-F53</f>
        <v>6781977</v>
      </c>
      <c r="G54" s="86"/>
      <c r="H54" s="86"/>
      <c r="J54" s="548" t="s">
        <v>779</v>
      </c>
      <c r="K54" s="549"/>
      <c r="L54" s="549"/>
      <c r="M54" s="541">
        <f>SUM(M52-M53)</f>
        <v>0.61999999999534339</v>
      </c>
    </row>
    <row r="55" spans="1:13" ht="16.5" thickTop="1" x14ac:dyDescent="0.25">
      <c r="A55" s="93" t="s">
        <v>330</v>
      </c>
      <c r="B55" s="501">
        <f>inputPrYr!$E$104</f>
        <v>733916</v>
      </c>
      <c r="C55" s="498"/>
      <c r="D55" s="501">
        <f>inputPrYr!$E$36</f>
        <v>713156</v>
      </c>
      <c r="E55" s="498"/>
      <c r="F55" s="298" t="s">
        <v>290</v>
      </c>
      <c r="G55" s="502"/>
      <c r="H55" s="498"/>
      <c r="J55" s="542"/>
      <c r="K55" s="542"/>
      <c r="L55" s="542"/>
      <c r="M55" s="550"/>
    </row>
    <row r="56" spans="1:13" x14ac:dyDescent="0.25">
      <c r="A56" s="93" t="s">
        <v>331</v>
      </c>
      <c r="B56" s="527"/>
      <c r="C56" s="175"/>
      <c r="D56" s="527"/>
      <c r="E56" s="175"/>
      <c r="F56" s="259"/>
      <c r="G56" s="362"/>
      <c r="H56" s="175"/>
      <c r="J56" s="933" t="s">
        <v>780</v>
      </c>
      <c r="K56" s="938"/>
      <c r="L56" s="938"/>
      <c r="M56" s="939"/>
    </row>
    <row r="57" spans="1:13" x14ac:dyDescent="0.25">
      <c r="A57" s="93" t="s">
        <v>332</v>
      </c>
      <c r="B57" s="501">
        <f>inputPrYr!$E$105</f>
        <v>10462578</v>
      </c>
      <c r="C57" s="175"/>
      <c r="D57" s="501">
        <f>inputOth!$D$50</f>
        <v>10690210</v>
      </c>
      <c r="E57" s="175"/>
      <c r="F57" s="501">
        <f>inputOth!$B$14</f>
        <v>10661314</v>
      </c>
      <c r="G57" s="175"/>
      <c r="H57" s="175"/>
      <c r="J57" s="543"/>
      <c r="K57" s="537"/>
      <c r="L57" s="537"/>
      <c r="M57" s="544"/>
    </row>
    <row r="58" spans="1:13" x14ac:dyDescent="0.25">
      <c r="A58" s="93" t="s">
        <v>333</v>
      </c>
      <c r="B58" s="86"/>
      <c r="C58" s="86"/>
      <c r="D58" s="86"/>
      <c r="E58" s="86"/>
      <c r="F58" s="86"/>
      <c r="G58" s="175"/>
      <c r="H58" s="175"/>
      <c r="J58" s="543" t="str">
        <f>CONCATENATE("Current ",H2," Estimated Mill Rate:")</f>
        <v>Current 2013 Estimated Mill Rate:</v>
      </c>
      <c r="K58" s="537"/>
      <c r="L58" s="537"/>
      <c r="M58" s="545">
        <f>H52</f>
        <v>66.711000000000013</v>
      </c>
    </row>
    <row r="59" spans="1:13" x14ac:dyDescent="0.25">
      <c r="A59" s="93" t="s">
        <v>334</v>
      </c>
      <c r="B59" s="299">
        <f>$H$2-3</f>
        <v>2010</v>
      </c>
      <c r="C59" s="86"/>
      <c r="D59" s="299">
        <f>$H$2-2</f>
        <v>2011</v>
      </c>
      <c r="E59" s="86"/>
      <c r="F59" s="299">
        <f>$H$2-1</f>
        <v>2012</v>
      </c>
      <c r="G59" s="175"/>
      <c r="H59" s="175"/>
      <c r="J59" s="543" t="str">
        <f>CONCATENATE("Desired ",H2," Mill Rate:")</f>
        <v>Desired 2013 Mill Rate:</v>
      </c>
      <c r="K59" s="537"/>
      <c r="L59" s="537"/>
      <c r="M59" s="552">
        <v>35</v>
      </c>
    </row>
    <row r="60" spans="1:13" ht="15.75" customHeight="1" x14ac:dyDescent="0.25">
      <c r="A60" s="93" t="s">
        <v>335</v>
      </c>
      <c r="B60" s="307">
        <f>inputPrYr!$D$109</f>
        <v>1450000</v>
      </c>
      <c r="C60" s="175"/>
      <c r="D60" s="307">
        <f>inputPrYr!$E$109</f>
        <v>1305000</v>
      </c>
      <c r="E60" s="175"/>
      <c r="F60" s="307">
        <f>debt!$G$20</f>
        <v>1165000</v>
      </c>
      <c r="G60" s="86"/>
      <c r="H60" s="86"/>
      <c r="J60" s="543" t="str">
        <f>CONCATENATE("",H2," Ad Valorem Tax:")</f>
        <v>2013 Ad Valorem Tax:</v>
      </c>
      <c r="K60" s="537"/>
      <c r="L60" s="537"/>
      <c r="M60" s="551">
        <f>ROUND(F57*M59/1000,0)</f>
        <v>373146</v>
      </c>
    </row>
    <row r="61" spans="1:13" ht="15.75" customHeight="1" x14ac:dyDescent="0.25">
      <c r="A61" s="93" t="s">
        <v>336</v>
      </c>
      <c r="B61" s="501">
        <f>inputPrYr!$D$110</f>
        <v>2205000</v>
      </c>
      <c r="C61" s="175"/>
      <c r="D61" s="501">
        <f>inputPrYr!$E$110</f>
        <v>2240000</v>
      </c>
      <c r="E61" s="175"/>
      <c r="F61" s="307">
        <f>debt!$G$32</f>
        <v>2070000</v>
      </c>
      <c r="G61" s="86"/>
      <c r="H61" s="86"/>
      <c r="J61" s="548" t="str">
        <f>CONCATENATE("",H2," Tax Levy Fund Exp. Changed By:")</f>
        <v>2013 Tax Levy Fund Exp. Changed By:</v>
      </c>
      <c r="K61" s="549"/>
      <c r="L61" s="549"/>
      <c r="M61" s="541">
        <f>IF(M59=0,0,(M60-G52))</f>
        <v>-338081.62</v>
      </c>
    </row>
    <row r="62" spans="1:13" ht="15.75" customHeight="1" x14ac:dyDescent="0.2">
      <c r="A62" s="86" t="s">
        <v>354</v>
      </c>
      <c r="B62" s="501">
        <f>inputPrYr!$D$111</f>
        <v>1926567</v>
      </c>
      <c r="C62" s="175"/>
      <c r="D62" s="501">
        <f>inputPrYr!$E$111</f>
        <v>1741584</v>
      </c>
      <c r="E62" s="175"/>
      <c r="F62" s="307">
        <f>debt!$G$42</f>
        <v>1651566</v>
      </c>
      <c r="G62" s="86"/>
      <c r="H62" s="86"/>
    </row>
    <row r="63" spans="1:13" ht="15.75" customHeight="1" x14ac:dyDescent="0.2">
      <c r="A63" s="93" t="s">
        <v>68</v>
      </c>
      <c r="B63" s="501">
        <f>inputPrYr!$D$112</f>
        <v>220485</v>
      </c>
      <c r="C63" s="175"/>
      <c r="D63" s="501">
        <f>inputPrYr!$E$112</f>
        <v>461736</v>
      </c>
      <c r="E63" s="175"/>
      <c r="F63" s="307">
        <f>lpform!$G$28</f>
        <v>320232</v>
      </c>
      <c r="G63" s="86"/>
      <c r="H63" s="86"/>
    </row>
    <row r="64" spans="1:13" ht="18.75" customHeight="1" thickBot="1" x14ac:dyDescent="0.25">
      <c r="A64" s="93" t="s">
        <v>337</v>
      </c>
      <c r="B64" s="555">
        <f>SUM(B60:B63)</f>
        <v>5802052</v>
      </c>
      <c r="C64" s="175"/>
      <c r="D64" s="555">
        <f>SUM(D60:D63)</f>
        <v>5748320</v>
      </c>
      <c r="E64" s="175"/>
      <c r="F64" s="555">
        <f>SUM(F60:F63)</f>
        <v>5206798</v>
      </c>
      <c r="G64" s="86"/>
      <c r="H64" s="86"/>
    </row>
    <row r="65" spans="1:8" ht="18.75" customHeight="1" thickTop="1" x14ac:dyDescent="0.2">
      <c r="A65" s="93" t="s">
        <v>338</v>
      </c>
      <c r="B65" s="86"/>
      <c r="C65" s="86"/>
      <c r="D65" s="86"/>
      <c r="E65" s="86"/>
      <c r="F65" s="86"/>
      <c r="G65" s="86"/>
      <c r="H65" s="86"/>
    </row>
    <row r="66" spans="1:8" ht="18" customHeight="1" x14ac:dyDescent="0.2">
      <c r="A66" s="93"/>
      <c r="B66" s="115"/>
      <c r="C66" s="86"/>
      <c r="D66" s="86"/>
      <c r="E66" s="86"/>
      <c r="F66" s="86"/>
      <c r="G66" s="86"/>
      <c r="H66" s="86"/>
    </row>
    <row r="67" spans="1:8" ht="19.5" customHeight="1" x14ac:dyDescent="0.2">
      <c r="A67" s="944" t="str">
        <f>inputBudSum!B3</f>
        <v>City of Herington</v>
      </c>
      <c r="B67" s="945"/>
      <c r="C67" s="577"/>
      <c r="D67" s="86"/>
      <c r="E67" s="86"/>
      <c r="F67" s="86"/>
      <c r="G67" s="86"/>
      <c r="H67" s="86"/>
    </row>
    <row r="68" spans="1:8" ht="18.75" customHeight="1" x14ac:dyDescent="0.2">
      <c r="A68" s="943" t="str">
        <f>CONCATENATE("City Official Title: ",inputBudSum!B5,"")</f>
        <v>City Official Title: Debra Wendt, City Clerk</v>
      </c>
      <c r="B68" s="927"/>
      <c r="C68" s="115"/>
      <c r="D68" s="86"/>
      <c r="E68" s="86"/>
      <c r="F68" s="86"/>
      <c r="G68" s="86"/>
      <c r="H68" s="86"/>
    </row>
    <row r="69" spans="1:8" x14ac:dyDescent="0.2">
      <c r="A69" s="230"/>
      <c r="B69" s="941"/>
      <c r="C69" s="942"/>
      <c r="D69" s="86"/>
      <c r="E69" s="86"/>
      <c r="F69" s="86"/>
      <c r="G69" s="86"/>
      <c r="H69" s="86"/>
    </row>
    <row r="70" spans="1:8" x14ac:dyDescent="0.2">
      <c r="A70" s="940"/>
      <c r="B70" s="940"/>
      <c r="C70" s="199" t="s">
        <v>311</v>
      </c>
      <c r="D70" s="301">
        <v>22</v>
      </c>
      <c r="E70" s="86"/>
      <c r="F70" s="86"/>
      <c r="G70" s="86"/>
      <c r="H70" s="86"/>
    </row>
    <row r="71" spans="1:8" x14ac:dyDescent="0.2">
      <c r="A71" s="587"/>
      <c r="B71" s="586"/>
      <c r="C71" s="577"/>
      <c r="D71" s="86"/>
      <c r="E71" s="86"/>
      <c r="F71" s="86"/>
      <c r="G71" s="86"/>
      <c r="H71" s="86"/>
    </row>
    <row r="72" spans="1:8" x14ac:dyDescent="0.2">
      <c r="A72" s="86"/>
      <c r="B72" s="86"/>
      <c r="C72" s="86"/>
      <c r="D72" s="86"/>
      <c r="E72" s="86"/>
      <c r="F72" s="86"/>
      <c r="G72" s="86"/>
      <c r="H72" s="86"/>
    </row>
  </sheetData>
  <sheetProtection sheet="1"/>
  <mergeCells count="14">
    <mergeCell ref="A1:H1"/>
    <mergeCell ref="A4:H4"/>
    <mergeCell ref="A5:H5"/>
    <mergeCell ref="A6:H6"/>
    <mergeCell ref="A7:H7"/>
    <mergeCell ref="A3:H3"/>
    <mergeCell ref="J39:M39"/>
    <mergeCell ref="J43:M43"/>
    <mergeCell ref="J50:M50"/>
    <mergeCell ref="J56:M56"/>
    <mergeCell ref="A70:B70"/>
    <mergeCell ref="B69:C69"/>
    <mergeCell ref="A68:B68"/>
    <mergeCell ref="A67:B67"/>
  </mergeCells>
  <phoneticPr fontId="0" type="noConversion"/>
  <pageMargins left="0.5" right="0.5" top="1" bottom="0.5" header="0.5" footer="0.5"/>
  <pageSetup scale="59" orientation="portrait" blackAndWhite="1" horizontalDpi="120" verticalDpi="144" r:id="rId1"/>
  <headerFooter alignWithMargins="0">
    <oddHeader>&amp;RState of KansasCity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5" x14ac:dyDescent="0.2"/>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5" workbookViewId="0">
      <selection activeCell="C40" sqref="C40"/>
    </sheetView>
  </sheetViews>
  <sheetFormatPr defaultRowHeight="15" x14ac:dyDescent="0.2"/>
  <cols>
    <col min="1" max="1" width="9.5546875" style="146" customWidth="1"/>
    <col min="2" max="2" width="18.21875" style="146" customWidth="1"/>
    <col min="3" max="3" width="11.77734375" style="146" customWidth="1"/>
    <col min="4" max="4" width="12.77734375" style="146" customWidth="1"/>
    <col min="5" max="5" width="11.77734375" style="146" customWidth="1"/>
    <col min="6" max="16384" width="8.88671875" style="146"/>
  </cols>
  <sheetData>
    <row r="1" spans="1:6" ht="15.75" x14ac:dyDescent="0.2">
      <c r="A1" s="256" t="str">
        <f>inputPrYr!D3</f>
        <v>City of Herington</v>
      </c>
      <c r="B1" s="86"/>
      <c r="C1" s="86"/>
      <c r="D1" s="86"/>
      <c r="E1" s="86"/>
      <c r="F1" s="86">
        <f>inputPrYr!C10</f>
        <v>2013</v>
      </c>
    </row>
    <row r="2" spans="1:6" ht="15.75" x14ac:dyDescent="0.2">
      <c r="A2" s="86"/>
      <c r="B2" s="86"/>
      <c r="C2" s="86"/>
      <c r="D2" s="86"/>
      <c r="E2" s="86"/>
      <c r="F2" s="86"/>
    </row>
    <row r="3" spans="1:6" ht="15.75" x14ac:dyDescent="0.2">
      <c r="A3" s="86"/>
      <c r="B3" s="901" t="str">
        <f>CONCATENATE("",F1," Neighborhood Revitalization Rebate")</f>
        <v>2013 Neighborhood Revitalization Rebate</v>
      </c>
      <c r="C3" s="947"/>
      <c r="D3" s="947"/>
      <c r="E3" s="947"/>
      <c r="F3" s="86"/>
    </row>
    <row r="4" spans="1:6" ht="15.75" x14ac:dyDescent="0.2">
      <c r="A4" s="86"/>
      <c r="B4" s="86"/>
      <c r="C4" s="86"/>
      <c r="D4" s="86"/>
      <c r="E4" s="86"/>
      <c r="F4" s="86"/>
    </row>
    <row r="5" spans="1:6" ht="51" customHeight="1" x14ac:dyDescent="0.2">
      <c r="A5" s="86"/>
      <c r="B5" s="302" t="str">
        <f>CONCATENATE("Budgeted Funds                     for ",F1,"")</f>
        <v>Budgeted Funds                     for 2013</v>
      </c>
      <c r="C5" s="302" t="str">
        <f>CONCATENATE("",F1-1," Ad Valorem before Rebate**")</f>
        <v>2012 Ad Valorem before Rebate**</v>
      </c>
      <c r="D5" s="303" t="str">
        <f>CONCATENATE("",F1-1," Mil Rate before Rebate")</f>
        <v>2012 Mil Rate before Rebate</v>
      </c>
      <c r="E5" s="304" t="str">
        <f>CONCATENATE("Estimate ",F1," NR Rebate")</f>
        <v>Estimate 2013 NR Rebate</v>
      </c>
      <c r="F5" s="139"/>
    </row>
    <row r="6" spans="1:6" ht="15.75" x14ac:dyDescent="0.2">
      <c r="A6" s="86"/>
      <c r="B6" s="106" t="str">
        <f>inputPrYr!B22</f>
        <v>General</v>
      </c>
      <c r="C6" s="305"/>
      <c r="D6" s="306" t="str">
        <f>IF(C6&gt;0,C6/$D$24,"")</f>
        <v/>
      </c>
      <c r="E6" s="307" t="str">
        <f t="shared" ref="E6:E17" si="0">IF(C6&gt;0,ROUND(D6*$D$28,0),"")</f>
        <v/>
      </c>
      <c r="F6" s="139"/>
    </row>
    <row r="7" spans="1:6" ht="15.75" x14ac:dyDescent="0.2">
      <c r="A7" s="86"/>
      <c r="B7" s="106" t="str">
        <f>inputPrYr!B23</f>
        <v>Debt Service</v>
      </c>
      <c r="C7" s="305"/>
      <c r="D7" s="306" t="str">
        <f t="shared" ref="D7:D17" si="1">IF(C7&gt;0,C7/$D$24,"")</f>
        <v/>
      </c>
      <c r="E7" s="307" t="str">
        <f t="shared" si="0"/>
        <v/>
      </c>
      <c r="F7" s="139"/>
    </row>
    <row r="8" spans="1:6" ht="15.75" x14ac:dyDescent="0.2">
      <c r="A8" s="86"/>
      <c r="B8" s="126" t="str">
        <f>inputPrYr!B24</f>
        <v>Library</v>
      </c>
      <c r="C8" s="305"/>
      <c r="D8" s="306" t="str">
        <f t="shared" si="1"/>
        <v/>
      </c>
      <c r="E8" s="307" t="str">
        <f t="shared" si="0"/>
        <v/>
      </c>
      <c r="F8" s="139"/>
    </row>
    <row r="9" spans="1:6" ht="15.75" x14ac:dyDescent="0.2">
      <c r="A9" s="86"/>
      <c r="B9" s="126" t="str">
        <f>inputPrYr!B26</f>
        <v>Employee Benefit</v>
      </c>
      <c r="C9" s="305"/>
      <c r="D9" s="306" t="str">
        <f t="shared" si="1"/>
        <v/>
      </c>
      <c r="E9" s="307" t="str">
        <f t="shared" si="0"/>
        <v/>
      </c>
      <c r="F9" s="139"/>
    </row>
    <row r="10" spans="1:6" ht="15.75" x14ac:dyDescent="0.2">
      <c r="A10" s="86"/>
      <c r="B10" s="126" t="str">
        <f>inputPrYr!B27</f>
        <v>Hospital</v>
      </c>
      <c r="C10" s="305"/>
      <c r="D10" s="306" t="str">
        <f t="shared" si="1"/>
        <v/>
      </c>
      <c r="E10" s="307" t="str">
        <f t="shared" si="0"/>
        <v/>
      </c>
      <c r="F10" s="139"/>
    </row>
    <row r="11" spans="1:6" ht="15.75" x14ac:dyDescent="0.2">
      <c r="A11" s="86"/>
      <c r="B11" s="126">
        <f>inputPrYr!B28</f>
        <v>0</v>
      </c>
      <c r="C11" s="305"/>
      <c r="D11" s="306" t="str">
        <f t="shared" si="1"/>
        <v/>
      </c>
      <c r="E11" s="307" t="str">
        <f t="shared" si="0"/>
        <v/>
      </c>
      <c r="F11" s="139"/>
    </row>
    <row r="12" spans="1:6" ht="15.75" x14ac:dyDescent="0.2">
      <c r="A12" s="86"/>
      <c r="B12" s="126">
        <f>inputPrYr!B29</f>
        <v>0</v>
      </c>
      <c r="C12" s="308"/>
      <c r="D12" s="306" t="str">
        <f t="shared" si="1"/>
        <v/>
      </c>
      <c r="E12" s="307" t="str">
        <f t="shared" si="0"/>
        <v/>
      </c>
      <c r="F12" s="139"/>
    </row>
    <row r="13" spans="1:6" ht="15.75" x14ac:dyDescent="0.2">
      <c r="A13" s="86"/>
      <c r="B13" s="126">
        <f>inputPrYr!B30</f>
        <v>0</v>
      </c>
      <c r="C13" s="308"/>
      <c r="D13" s="306" t="str">
        <f t="shared" si="1"/>
        <v/>
      </c>
      <c r="E13" s="307" t="str">
        <f t="shared" si="0"/>
        <v/>
      </c>
      <c r="F13" s="139"/>
    </row>
    <row r="14" spans="1:6" ht="15.75" x14ac:dyDescent="0.2">
      <c r="A14" s="86"/>
      <c r="B14" s="126">
        <f>inputPrYr!B31</f>
        <v>0</v>
      </c>
      <c r="C14" s="308"/>
      <c r="D14" s="306" t="str">
        <f t="shared" si="1"/>
        <v/>
      </c>
      <c r="E14" s="307" t="str">
        <f t="shared" si="0"/>
        <v/>
      </c>
      <c r="F14" s="139"/>
    </row>
    <row r="15" spans="1:6" ht="15.75" x14ac:dyDescent="0.2">
      <c r="A15" s="86"/>
      <c r="B15" s="126">
        <f>inputPrYr!B32</f>
        <v>0</v>
      </c>
      <c r="C15" s="308"/>
      <c r="D15" s="306" t="str">
        <f t="shared" si="1"/>
        <v/>
      </c>
      <c r="E15" s="307" t="str">
        <f t="shared" si="0"/>
        <v/>
      </c>
      <c r="F15" s="139"/>
    </row>
    <row r="16" spans="1:6" ht="15.75" x14ac:dyDescent="0.2">
      <c r="A16" s="86"/>
      <c r="B16" s="126">
        <f>inputPrYr!B33</f>
        <v>0</v>
      </c>
      <c r="C16" s="308"/>
      <c r="D16" s="306" t="str">
        <f t="shared" si="1"/>
        <v/>
      </c>
      <c r="E16" s="307" t="str">
        <f t="shared" si="0"/>
        <v/>
      </c>
      <c r="F16" s="139"/>
    </row>
    <row r="17" spans="1:6" ht="15.75" x14ac:dyDescent="0.2">
      <c r="A17" s="86"/>
      <c r="B17" s="126">
        <f>inputPrYr!B34</f>
        <v>0</v>
      </c>
      <c r="C17" s="308"/>
      <c r="D17" s="306" t="str">
        <f t="shared" si="1"/>
        <v/>
      </c>
      <c r="E17" s="307" t="str">
        <f t="shared" si="0"/>
        <v/>
      </c>
      <c r="F17" s="139"/>
    </row>
    <row r="18" spans="1:6" ht="15.75" x14ac:dyDescent="0.2">
      <c r="A18" s="86"/>
      <c r="B18" s="126">
        <f>inputPrYr!B35</f>
        <v>0</v>
      </c>
      <c r="C18" s="308"/>
      <c r="D18" s="306" t="str">
        <f>IF(C18&gt;0,C18/$D$24,"")</f>
        <v/>
      </c>
      <c r="E18" s="307" t="str">
        <f>IF(C18&gt;0,ROUND(D18*$D$28,0),"")</f>
        <v/>
      </c>
      <c r="F18" s="139"/>
    </row>
    <row r="19" spans="1:6" ht="16.5" thickBot="1" x14ac:dyDescent="0.25">
      <c r="A19" s="86"/>
      <c r="B19" s="107" t="s">
        <v>296</v>
      </c>
      <c r="C19" s="309">
        <f>SUM(C6:C18)</f>
        <v>0</v>
      </c>
      <c r="D19" s="310">
        <f>SUM(D6:D18)</f>
        <v>0</v>
      </c>
      <c r="E19" s="309">
        <f>SUM(E6:E18)</f>
        <v>0</v>
      </c>
      <c r="F19" s="139"/>
    </row>
    <row r="20" spans="1:6" ht="16.5" thickTop="1" x14ac:dyDescent="0.2">
      <c r="A20" s="86"/>
      <c r="B20" s="86"/>
      <c r="C20" s="86"/>
      <c r="D20" s="86"/>
      <c r="E20" s="86"/>
      <c r="F20" s="139"/>
    </row>
    <row r="21" spans="1:6" ht="15.75" x14ac:dyDescent="0.2">
      <c r="A21" s="86"/>
      <c r="B21" s="86"/>
      <c r="C21" s="86"/>
      <c r="D21" s="86"/>
      <c r="E21" s="86"/>
      <c r="F21" s="139"/>
    </row>
    <row r="22" spans="1:6" ht="15.75" x14ac:dyDescent="0.2">
      <c r="A22" s="948" t="str">
        <f>CONCATENATE("",F1-1," July 1 Valuation:")</f>
        <v>2012 July 1 Valuation:</v>
      </c>
      <c r="B22" s="912"/>
      <c r="C22" s="948"/>
      <c r="D22" s="300">
        <f>inputOth!B14</f>
        <v>10661314</v>
      </c>
      <c r="E22" s="86"/>
      <c r="F22" s="139"/>
    </row>
    <row r="23" spans="1:6" ht="15.75" x14ac:dyDescent="0.2">
      <c r="A23" s="86"/>
      <c r="B23" s="86"/>
      <c r="C23" s="86"/>
      <c r="D23" s="86"/>
      <c r="E23" s="86"/>
      <c r="F23" s="139"/>
    </row>
    <row r="24" spans="1:6" ht="15.75" x14ac:dyDescent="0.2">
      <c r="A24" s="86"/>
      <c r="B24" s="948" t="s">
        <v>374</v>
      </c>
      <c r="C24" s="948"/>
      <c r="D24" s="311">
        <f>IF(D22&gt;0,(D22*0.001),"")</f>
        <v>10661.314</v>
      </c>
      <c r="E24" s="86"/>
      <c r="F24" s="139"/>
    </row>
    <row r="25" spans="1:6" ht="15.75" x14ac:dyDescent="0.2">
      <c r="A25" s="86"/>
      <c r="B25" s="199"/>
      <c r="C25" s="199"/>
      <c r="D25" s="312"/>
      <c r="E25" s="86"/>
      <c r="F25" s="139"/>
    </row>
    <row r="26" spans="1:6" ht="15.75" x14ac:dyDescent="0.2">
      <c r="A26" s="946" t="s">
        <v>375</v>
      </c>
      <c r="B26" s="860"/>
      <c r="C26" s="860"/>
      <c r="D26" s="313">
        <f>inputOth!E25</f>
        <v>0</v>
      </c>
      <c r="E26" s="109"/>
      <c r="F26" s="109"/>
    </row>
    <row r="27" spans="1:6" x14ac:dyDescent="0.2">
      <c r="A27" s="109"/>
      <c r="B27" s="109"/>
      <c r="C27" s="109"/>
      <c r="D27" s="314"/>
      <c r="E27" s="109"/>
      <c r="F27" s="109"/>
    </row>
    <row r="28" spans="1:6" ht="15.75" x14ac:dyDescent="0.2">
      <c r="A28" s="109"/>
      <c r="B28" s="946" t="s">
        <v>376</v>
      </c>
      <c r="C28" s="912"/>
      <c r="D28" s="315" t="str">
        <f>IF(D26&gt;0,(D26*0.001),"")</f>
        <v/>
      </c>
      <c r="E28" s="109"/>
      <c r="F28" s="109"/>
    </row>
    <row r="29" spans="1:6" x14ac:dyDescent="0.2">
      <c r="A29" s="109"/>
      <c r="B29" s="109"/>
      <c r="C29" s="109"/>
      <c r="D29" s="109"/>
      <c r="E29" s="109"/>
      <c r="F29" s="109"/>
    </row>
    <row r="30" spans="1:6" x14ac:dyDescent="0.2">
      <c r="A30" s="109"/>
      <c r="B30" s="109"/>
      <c r="C30" s="109"/>
      <c r="D30" s="109"/>
      <c r="E30" s="109"/>
      <c r="F30" s="109"/>
    </row>
    <row r="31" spans="1:6" x14ac:dyDescent="0.2">
      <c r="A31" s="109"/>
      <c r="B31" s="109"/>
      <c r="C31" s="109"/>
      <c r="D31" s="109"/>
      <c r="E31" s="109"/>
      <c r="F31" s="109"/>
    </row>
    <row r="32" spans="1:6" ht="15.75" x14ac:dyDescent="0.25">
      <c r="A32" s="439" t="str">
        <f>CONCATENATE("**This information comes from the ",F1," Budget Summary page.  See instructions tab #13 for completing")</f>
        <v>**This information comes from the 2013 Budget Summary page.  See instructions tab #13 for completing</v>
      </c>
      <c r="B32" s="109"/>
      <c r="C32" s="109"/>
      <c r="D32" s="109"/>
      <c r="E32" s="109"/>
      <c r="F32" s="109"/>
    </row>
    <row r="33" spans="1:6" ht="15.75" x14ac:dyDescent="0.25">
      <c r="A33" s="439" t="s">
        <v>663</v>
      </c>
      <c r="B33" s="109"/>
      <c r="C33" s="109"/>
      <c r="D33" s="109"/>
      <c r="E33" s="109"/>
      <c r="F33" s="109"/>
    </row>
    <row r="34" spans="1:6" ht="15.75" x14ac:dyDescent="0.25">
      <c r="A34" s="439"/>
      <c r="B34" s="109"/>
      <c r="C34" s="109"/>
      <c r="D34" s="109"/>
      <c r="E34" s="109"/>
      <c r="F34" s="109"/>
    </row>
    <row r="35" spans="1:6" ht="15.75" x14ac:dyDescent="0.25">
      <c r="A35" s="439"/>
      <c r="B35" s="109"/>
      <c r="C35" s="109"/>
      <c r="D35" s="109"/>
      <c r="E35" s="109"/>
      <c r="F35" s="109"/>
    </row>
    <row r="36" spans="1:6" ht="15.75" x14ac:dyDescent="0.25">
      <c r="A36" s="439"/>
      <c r="B36" s="109"/>
      <c r="C36" s="109"/>
      <c r="D36" s="109"/>
      <c r="E36" s="109"/>
      <c r="F36" s="109"/>
    </row>
    <row r="37" spans="1:6" ht="15.75" x14ac:dyDescent="0.25">
      <c r="A37" s="439"/>
      <c r="B37" s="109"/>
      <c r="C37" s="109"/>
      <c r="D37" s="109"/>
      <c r="E37" s="109"/>
      <c r="F37" s="109"/>
    </row>
    <row r="38" spans="1:6" ht="15.75" x14ac:dyDescent="0.25">
      <c r="A38" s="439"/>
      <c r="B38" s="109"/>
      <c r="C38" s="109"/>
      <c r="D38" s="109"/>
      <c r="E38" s="109"/>
      <c r="F38" s="109"/>
    </row>
    <row r="39" spans="1:6" x14ac:dyDescent="0.2">
      <c r="A39" s="109"/>
      <c r="B39" s="109"/>
      <c r="C39" s="109"/>
      <c r="D39" s="109"/>
      <c r="E39" s="109"/>
      <c r="F39" s="109"/>
    </row>
    <row r="40" spans="1:6" ht="15.75" x14ac:dyDescent="0.2">
      <c r="A40" s="109"/>
      <c r="B40" s="246" t="s">
        <v>319</v>
      </c>
      <c r="C40" s="301">
        <v>23</v>
      </c>
      <c r="D40" s="109"/>
      <c r="E40" s="109"/>
      <c r="F40" s="109"/>
    </row>
    <row r="41" spans="1:6" ht="15.75" x14ac:dyDescent="0.2">
      <c r="A41" s="139"/>
      <c r="B41" s="86"/>
      <c r="C41" s="86"/>
      <c r="D41" s="316"/>
      <c r="E41" s="139"/>
      <c r="F41" s="139"/>
    </row>
  </sheetData>
  <sheetProtection sheet="1"/>
  <mergeCells count="5">
    <mergeCell ref="B28:C28"/>
    <mergeCell ref="B3:E3"/>
    <mergeCell ref="A22:C22"/>
    <mergeCell ref="B24:C24"/>
    <mergeCell ref="A26:C26"/>
  </mergeCells>
  <phoneticPr fontId="9" type="noConversion"/>
  <pageMargins left="0.75" right="0.75" top="1" bottom="1" header="0.5" footer="0.5"/>
  <pageSetup scale="91" orientation="portrait" blackAndWhite="1" r:id="rId1"/>
  <headerFooter alignWithMargins="0">
    <oddHeader>&amp;RState of KansasCity</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workbookViewId="0">
      <selection activeCell="H29" sqref="H29"/>
    </sheetView>
  </sheetViews>
  <sheetFormatPr defaultRowHeight="15.75" x14ac:dyDescent="0.25"/>
  <cols>
    <col min="1" max="16384" width="8.88671875" style="1"/>
  </cols>
  <sheetData>
    <row r="1" spans="1:14" ht="16.5" customHeight="1" x14ac:dyDescent="0.25">
      <c r="A1" s="952" t="s">
        <v>70</v>
      </c>
      <c r="B1" s="952"/>
      <c r="C1" s="952"/>
      <c r="D1" s="952"/>
      <c r="E1" s="952"/>
      <c r="F1" s="952"/>
      <c r="G1" s="952"/>
    </row>
    <row r="2" spans="1:14" ht="16.5" customHeight="1" x14ac:dyDescent="0.25">
      <c r="A2" s="952"/>
      <c r="B2" s="952"/>
      <c r="C2" s="952"/>
      <c r="D2" s="952"/>
      <c r="E2" s="952"/>
      <c r="F2" s="952"/>
      <c r="G2" s="952"/>
    </row>
    <row r="3" spans="1:14" ht="16.5" customHeight="1" x14ac:dyDescent="0.25">
      <c r="A3" s="953"/>
      <c r="B3" s="953"/>
      <c r="C3" s="953"/>
      <c r="D3" s="953"/>
      <c r="E3" s="953"/>
      <c r="F3" s="953"/>
      <c r="G3" s="953"/>
    </row>
    <row r="4" spans="1:14" ht="16.5" customHeight="1" x14ac:dyDescent="0.25">
      <c r="A4" s="950" t="str">
        <f>CONCATENATE("AN ORDINANCE ATTESTING TO AN INCREASE IN TAX REVENUES FOR BUDGET YEAR ",inputPrYr!C10," FOR THE ",(inputPrYr!$D$3))</f>
        <v>AN ORDINANCE ATTESTING TO AN INCREASE IN TAX REVENUES FOR BUDGET YEAR 2013 FOR THE City of Herington</v>
      </c>
      <c r="B4" s="950"/>
      <c r="C4" s="950"/>
      <c r="D4" s="950"/>
      <c r="E4" s="950"/>
      <c r="F4" s="950"/>
      <c r="G4" s="950"/>
    </row>
    <row r="5" spans="1:14" ht="16.5" customHeight="1" x14ac:dyDescent="0.25">
      <c r="A5" s="950"/>
      <c r="B5" s="950"/>
      <c r="C5" s="950"/>
      <c r="D5" s="950"/>
      <c r="E5" s="950"/>
      <c r="F5" s="950"/>
      <c r="G5" s="950"/>
    </row>
    <row r="6" spans="1:14" ht="16.5" customHeight="1" x14ac:dyDescent="0.25">
      <c r="A6" s="952"/>
      <c r="B6" s="952"/>
      <c r="C6" s="952"/>
      <c r="D6" s="952"/>
      <c r="E6" s="952"/>
      <c r="F6" s="952"/>
      <c r="G6" s="952"/>
    </row>
    <row r="7" spans="1:14" ht="16.5" customHeight="1" x14ac:dyDescent="0.25">
      <c r="A7" s="950" t="str">
        <f>CONCATENATE("WHEREAS, the ",(inputPrYr!$D$3)," must continue to provide services to protect the health, safety, and welfare of the citizens of this community; and")</f>
        <v>WHEREAS, the City of Herington must continue to provide services to protect the health, safety, and welfare of the citizens of this community; and</v>
      </c>
      <c r="B7" s="950"/>
      <c r="C7" s="950"/>
      <c r="D7" s="950"/>
      <c r="E7" s="950"/>
      <c r="F7" s="950"/>
      <c r="G7" s="950"/>
      <c r="H7" s="51"/>
      <c r="I7" s="51"/>
      <c r="J7" s="51"/>
      <c r="K7" s="51"/>
      <c r="L7" s="51"/>
      <c r="M7" s="51"/>
      <c r="N7" s="51"/>
    </row>
    <row r="8" spans="1:14" ht="16.5" customHeight="1" x14ac:dyDescent="0.25">
      <c r="A8" s="950"/>
      <c r="B8" s="950"/>
      <c r="C8" s="950"/>
      <c r="D8" s="950"/>
      <c r="E8" s="950"/>
      <c r="F8" s="950"/>
      <c r="G8" s="950"/>
      <c r="H8" s="51"/>
      <c r="I8" s="51"/>
      <c r="J8" s="51"/>
      <c r="K8" s="51"/>
      <c r="L8" s="51"/>
      <c r="M8" s="51"/>
      <c r="N8" s="51"/>
    </row>
    <row r="9" spans="1:14" ht="16.5" customHeight="1" x14ac:dyDescent="0.25">
      <c r="A9" s="52"/>
      <c r="B9" s="52"/>
      <c r="C9" s="52"/>
      <c r="D9" s="52"/>
      <c r="E9" s="52"/>
      <c r="F9" s="52"/>
      <c r="G9" s="52"/>
    </row>
    <row r="10" spans="1:14" ht="16.5" customHeight="1" x14ac:dyDescent="0.25">
      <c r="A10" s="950" t="s">
        <v>71</v>
      </c>
      <c r="B10" s="950"/>
      <c r="C10" s="950"/>
      <c r="D10" s="950"/>
      <c r="E10" s="950"/>
      <c r="F10" s="950"/>
      <c r="G10" s="950"/>
    </row>
    <row r="11" spans="1:14" ht="16.5" customHeight="1" x14ac:dyDescent="0.25">
      <c r="A11" s="950"/>
      <c r="B11" s="950"/>
      <c r="C11" s="950"/>
      <c r="D11" s="950"/>
      <c r="E11" s="950"/>
      <c r="F11" s="950"/>
      <c r="G11" s="950"/>
    </row>
    <row r="12" spans="1:14" ht="16.5" customHeight="1" x14ac:dyDescent="0.25">
      <c r="A12" s="52"/>
      <c r="B12" s="52"/>
      <c r="C12" s="52"/>
      <c r="D12" s="52"/>
      <c r="E12" s="52"/>
      <c r="F12" s="52"/>
      <c r="G12" s="52"/>
    </row>
    <row r="13" spans="1:14" ht="16.5" customHeight="1" x14ac:dyDescent="0.25">
      <c r="A13" s="950" t="str">
        <f>CONCATENATE("NOW THEREFORE, be it ordained by the Governing Body of the ",(inputPrYr!$D$3),":")</f>
        <v>NOW THEREFORE, be it ordained by the Governing Body of the City of Herington:</v>
      </c>
      <c r="B13" s="950"/>
      <c r="C13" s="950"/>
      <c r="D13" s="950"/>
      <c r="E13" s="950"/>
      <c r="F13" s="950"/>
      <c r="G13" s="950"/>
      <c r="H13" s="51"/>
      <c r="I13" s="51"/>
      <c r="J13" s="51"/>
      <c r="K13" s="51"/>
      <c r="L13" s="51"/>
      <c r="M13" s="51"/>
      <c r="N13" s="51"/>
    </row>
    <row r="14" spans="1:14" ht="16.5" customHeight="1" x14ac:dyDescent="0.25">
      <c r="A14" s="950"/>
      <c r="B14" s="950"/>
      <c r="C14" s="950"/>
      <c r="D14" s="950"/>
      <c r="E14" s="950"/>
      <c r="F14" s="950"/>
      <c r="G14" s="950"/>
      <c r="H14" s="51"/>
      <c r="I14" s="51"/>
      <c r="J14" s="51"/>
      <c r="K14" s="51"/>
      <c r="L14" s="51"/>
      <c r="M14" s="51"/>
      <c r="N14" s="51"/>
    </row>
    <row r="15" spans="1:14" ht="16.5" customHeight="1" x14ac:dyDescent="0.25">
      <c r="A15" s="950" t="str">
        <f>CONCATENATE("Section One.  In accordance with state law, the ",(inputPrYr!$D$3),"  has scheduled a public hearing and has prepared the proposed budget necessary to fund city services from January 1, ",inputPrYr!C10," until December 31, ",inputPrYr!C10,".")</f>
        <v>Section One.  In accordance with state law, the City of Herington  has scheduled a public hearing and has prepared the proposed budget necessary to fund city services from January 1, 2013 until December 31, 2013.</v>
      </c>
      <c r="B15" s="950"/>
      <c r="C15" s="950"/>
      <c r="D15" s="950"/>
      <c r="E15" s="950"/>
      <c r="F15" s="950"/>
      <c r="G15" s="950"/>
      <c r="H15" s="51"/>
      <c r="I15" s="51"/>
      <c r="J15" s="51"/>
      <c r="K15" s="51"/>
      <c r="L15" s="51"/>
      <c r="M15" s="51"/>
      <c r="N15" s="51"/>
    </row>
    <row r="16" spans="1:14" ht="16.5" customHeight="1" x14ac:dyDescent="0.25">
      <c r="A16" s="950"/>
      <c r="B16" s="950"/>
      <c r="C16" s="950"/>
      <c r="D16" s="950"/>
      <c r="E16" s="950"/>
      <c r="F16" s="950"/>
      <c r="G16" s="950"/>
      <c r="H16" s="51"/>
      <c r="I16" s="51"/>
      <c r="J16" s="51"/>
      <c r="K16" s="51"/>
      <c r="L16" s="51"/>
      <c r="M16" s="51"/>
      <c r="N16" s="51"/>
    </row>
    <row r="17" spans="1:14" ht="16.5" customHeight="1" x14ac:dyDescent="0.25">
      <c r="A17" s="950"/>
      <c r="B17" s="950"/>
      <c r="C17" s="950"/>
      <c r="D17" s="950"/>
      <c r="E17" s="950"/>
      <c r="F17" s="950"/>
      <c r="G17" s="950"/>
      <c r="H17" s="51"/>
      <c r="I17" s="51"/>
      <c r="J17" s="51"/>
      <c r="K17" s="51"/>
      <c r="L17" s="51"/>
      <c r="M17" s="51"/>
      <c r="N17" s="51"/>
    </row>
    <row r="18" spans="1:14" ht="16.5" customHeight="1" x14ac:dyDescent="0.25">
      <c r="A18" s="51"/>
      <c r="B18" s="51"/>
      <c r="C18" s="51"/>
      <c r="D18" s="51"/>
      <c r="E18" s="51"/>
      <c r="F18" s="51"/>
      <c r="G18" s="51"/>
    </row>
    <row r="19" spans="1:14" ht="16.5" customHeight="1" x14ac:dyDescent="0.25">
      <c r="A19" s="951" t="s">
        <v>129</v>
      </c>
      <c r="B19" s="951"/>
      <c r="C19" s="951"/>
      <c r="D19" s="951"/>
      <c r="E19" s="951"/>
      <c r="F19" s="951"/>
      <c r="G19" s="951"/>
    </row>
    <row r="20" spans="1:14" ht="16.5" customHeight="1" x14ac:dyDescent="0.25">
      <c r="A20" s="951" t="s">
        <v>130</v>
      </c>
      <c r="B20" s="951"/>
      <c r="C20" s="951"/>
      <c r="D20" s="951"/>
      <c r="E20" s="951"/>
      <c r="F20" s="951"/>
      <c r="G20" s="951"/>
    </row>
    <row r="21" spans="1:14" ht="16.5" customHeight="1" x14ac:dyDescent="0.25">
      <c r="A21" s="951" t="str">
        <f>CONCATENATE("necessary to budget property tax revenues in an amount exceeding the levy in the ",inputPrYr!C10-1,"")</f>
        <v>necessary to budget property tax revenues in an amount exceeding the levy in the 2012</v>
      </c>
      <c r="B21" s="951"/>
      <c r="C21" s="951"/>
      <c r="D21" s="951"/>
      <c r="E21" s="951"/>
      <c r="F21" s="951"/>
      <c r="G21" s="951"/>
    </row>
    <row r="22" spans="1:14" ht="16.5" customHeight="1" x14ac:dyDescent="0.25">
      <c r="A22" s="53" t="s">
        <v>131</v>
      </c>
      <c r="B22" s="53"/>
      <c r="C22" s="53"/>
      <c r="D22" s="53"/>
      <c r="E22" s="53"/>
      <c r="F22" s="53"/>
      <c r="G22" s="53"/>
    </row>
    <row r="23" spans="1:14" ht="16.5" customHeight="1" x14ac:dyDescent="0.25">
      <c r="A23" s="51"/>
      <c r="B23" s="51"/>
      <c r="C23" s="51"/>
      <c r="D23" s="51"/>
      <c r="E23" s="51"/>
      <c r="F23" s="51"/>
      <c r="G23" s="51"/>
    </row>
    <row r="24" spans="1:14" ht="16.5" customHeight="1" x14ac:dyDescent="0.25">
      <c r="A24" s="950" t="s">
        <v>72</v>
      </c>
      <c r="B24" s="950"/>
      <c r="C24" s="950"/>
      <c r="D24" s="950"/>
      <c r="E24" s="950"/>
      <c r="F24" s="950"/>
      <c r="G24" s="950"/>
    </row>
    <row r="25" spans="1:14" ht="16.5" customHeight="1" x14ac:dyDescent="0.25">
      <c r="A25" s="950"/>
      <c r="B25" s="950"/>
      <c r="C25" s="950"/>
      <c r="D25" s="950"/>
      <c r="E25" s="950"/>
      <c r="F25" s="950"/>
      <c r="G25" s="950"/>
    </row>
    <row r="26" spans="1:14" ht="16.5" customHeight="1" x14ac:dyDescent="0.25">
      <c r="A26" s="51"/>
      <c r="B26" s="51"/>
      <c r="C26" s="51"/>
      <c r="D26" s="51"/>
      <c r="E26" s="51"/>
      <c r="F26" s="51"/>
      <c r="G26" s="51"/>
    </row>
    <row r="27" spans="1:14" ht="16.5" customHeight="1" x14ac:dyDescent="0.25">
      <c r="A27" s="950" t="str">
        <f>CONCATENATE("Passed and approved by the Governing Body on this ______ day of __________, ",inputPrYr!C10-1,".")</f>
        <v>Passed and approved by the Governing Body on this ______ day of __________, 2012.</v>
      </c>
      <c r="B27" s="950"/>
      <c r="C27" s="950"/>
      <c r="D27" s="950"/>
      <c r="E27" s="950"/>
      <c r="F27" s="950"/>
      <c r="G27" s="950"/>
    </row>
    <row r="28" spans="1:14" ht="16.5" customHeight="1" x14ac:dyDescent="0.25">
      <c r="A28" s="950"/>
      <c r="B28" s="950"/>
      <c r="C28" s="950"/>
      <c r="D28" s="950"/>
      <c r="E28" s="950"/>
      <c r="F28" s="950"/>
      <c r="G28" s="950"/>
    </row>
    <row r="29" spans="1:14" ht="16.5" customHeight="1" x14ac:dyDescent="0.25"/>
    <row r="30" spans="1:14" ht="16.5" customHeight="1" x14ac:dyDescent="0.25">
      <c r="A30" s="949" t="s">
        <v>73</v>
      </c>
      <c r="B30" s="949"/>
      <c r="C30" s="949"/>
      <c r="D30" s="949"/>
      <c r="E30" s="949"/>
      <c r="F30" s="949"/>
      <c r="G30" s="949"/>
    </row>
    <row r="31" spans="1:14" ht="16.5" customHeight="1" x14ac:dyDescent="0.25">
      <c r="A31" s="949" t="s">
        <v>78</v>
      </c>
      <c r="B31" s="949"/>
      <c r="C31" s="949"/>
      <c r="D31" s="949"/>
      <c r="E31" s="949"/>
      <c r="F31" s="949"/>
      <c r="G31" s="949"/>
    </row>
    <row r="32" spans="1:14" ht="16.5" customHeight="1" x14ac:dyDescent="0.25">
      <c r="A32" s="1" t="s">
        <v>74</v>
      </c>
    </row>
    <row r="33" spans="1:2" ht="16.5" customHeight="1" x14ac:dyDescent="0.25">
      <c r="B33" s="1" t="s">
        <v>75</v>
      </c>
    </row>
    <row r="34" spans="1:2" ht="16.5" customHeight="1" x14ac:dyDescent="0.25"/>
    <row r="35" spans="1:2" ht="16.5" customHeight="1" x14ac:dyDescent="0.25"/>
    <row r="36" spans="1:2" ht="16.5" customHeight="1" x14ac:dyDescent="0.25">
      <c r="A36" s="1" t="s">
        <v>76</v>
      </c>
    </row>
    <row r="37" spans="1:2" ht="16.5" customHeight="1" x14ac:dyDescent="0.25"/>
    <row r="38" spans="1:2" ht="16.5" customHeight="1" x14ac:dyDescent="0.25"/>
    <row r="39" spans="1:2" ht="16.5" customHeight="1" x14ac:dyDescent="0.25"/>
    <row r="40" spans="1:2" ht="16.5" customHeight="1" x14ac:dyDescent="0.25">
      <c r="A40" s="1" t="s">
        <v>77</v>
      </c>
    </row>
  </sheetData>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9" type="noConversion"/>
  <pageMargins left="1" right="1" top="1" bottom="1" header="0.5" footer="0.5"/>
  <pageSetup orientation="portrait" blackAndWhite="1" r:id="rId1"/>
  <headerFooter alignWithMargins="0">
    <oddFooter>&amp;Lrevised 8/06/07</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33" sqref="A33"/>
    </sheetView>
  </sheetViews>
  <sheetFormatPr defaultRowHeight="15" x14ac:dyDescent="0.2"/>
  <cols>
    <col min="1" max="1" width="71.33203125" customWidth="1"/>
  </cols>
  <sheetData>
    <row r="3" spans="1:12" x14ac:dyDescent="0.2">
      <c r="A3" s="425" t="s">
        <v>440</v>
      </c>
      <c r="B3" s="425"/>
      <c r="C3" s="425"/>
      <c r="D3" s="425"/>
      <c r="E3" s="425"/>
      <c r="F3" s="425"/>
      <c r="G3" s="425"/>
      <c r="H3" s="425"/>
      <c r="I3" s="425"/>
      <c r="J3" s="425"/>
      <c r="K3" s="425"/>
      <c r="L3" s="425"/>
    </row>
    <row r="5" spans="1:12" x14ac:dyDescent="0.2">
      <c r="A5" s="426" t="s">
        <v>441</v>
      </c>
    </row>
    <row r="6" spans="1:12" x14ac:dyDescent="0.2">
      <c r="A6" s="426" t="str">
        <f>CONCATENATE(inputPrYr!C10-2," 'total expenditures' exceed your ",inputPrYr!C10-2," 'budget authority.'")</f>
        <v>2011 'total expenditures' exceed your 2011 'budget authority.'</v>
      </c>
    </row>
    <row r="7" spans="1:12" x14ac:dyDescent="0.2">
      <c r="A7" s="426"/>
    </row>
    <row r="8" spans="1:12" x14ac:dyDescent="0.2">
      <c r="A8" s="426" t="s">
        <v>442</v>
      </c>
    </row>
    <row r="9" spans="1:12" x14ac:dyDescent="0.2">
      <c r="A9" s="426" t="s">
        <v>443</v>
      </c>
    </row>
    <row r="10" spans="1:12" x14ac:dyDescent="0.2">
      <c r="A10" s="426" t="s">
        <v>444</v>
      </c>
    </row>
    <row r="11" spans="1:12" x14ac:dyDescent="0.2">
      <c r="A11" s="426"/>
    </row>
    <row r="12" spans="1:12" x14ac:dyDescent="0.2">
      <c r="A12" s="426"/>
    </row>
    <row r="13" spans="1:12" x14ac:dyDescent="0.2">
      <c r="A13" s="427" t="s">
        <v>445</v>
      </c>
    </row>
    <row r="15" spans="1:12" x14ac:dyDescent="0.2">
      <c r="A15" s="426" t="s">
        <v>446</v>
      </c>
    </row>
    <row r="16" spans="1:12" x14ac:dyDescent="0.2">
      <c r="A16" s="426" t="str">
        <f>CONCATENATE("(i.e. an audit has not been completed, or the ",inputPrYr!C10," adopted")</f>
        <v>(i.e. an audit has not been completed, or the 2013 adopted</v>
      </c>
    </row>
    <row r="17" spans="1:1" x14ac:dyDescent="0.2">
      <c r="A17" s="426" t="s">
        <v>447</v>
      </c>
    </row>
    <row r="18" spans="1:1" x14ac:dyDescent="0.2">
      <c r="A18" s="426" t="s">
        <v>448</v>
      </c>
    </row>
    <row r="19" spans="1:1" x14ac:dyDescent="0.2">
      <c r="A19" s="426" t="s">
        <v>449</v>
      </c>
    </row>
    <row r="21" spans="1:1" x14ac:dyDescent="0.2">
      <c r="A21" s="427" t="s">
        <v>450</v>
      </c>
    </row>
    <row r="22" spans="1:1" x14ac:dyDescent="0.2">
      <c r="A22" s="427"/>
    </row>
    <row r="23" spans="1:1" x14ac:dyDescent="0.2">
      <c r="A23" s="426" t="s">
        <v>451</v>
      </c>
    </row>
    <row r="24" spans="1:1" x14ac:dyDescent="0.2">
      <c r="A24" s="426" t="s">
        <v>452</v>
      </c>
    </row>
    <row r="25" spans="1:1" x14ac:dyDescent="0.2">
      <c r="A25" s="426" t="str">
        <f>CONCATENATE("particular fund.  If your ",inputPrYr!C10-2," budget was amended, did you")</f>
        <v>particular fund.  If your 2011 budget was amended, did you</v>
      </c>
    </row>
    <row r="26" spans="1:1" x14ac:dyDescent="0.2">
      <c r="A26" s="426" t="s">
        <v>453</v>
      </c>
    </row>
    <row r="27" spans="1:1" x14ac:dyDescent="0.2">
      <c r="A27" s="426"/>
    </row>
    <row r="28" spans="1:1" x14ac:dyDescent="0.2">
      <c r="A28" s="426" t="str">
        <f>CONCATENATE("Next, look to see if any of your ",inputPrYr!C10-2," expenditures can be")</f>
        <v>Next, look to see if any of your 2011 expenditures can be</v>
      </c>
    </row>
    <row r="29" spans="1:1" x14ac:dyDescent="0.2">
      <c r="A29" s="426" t="s">
        <v>454</v>
      </c>
    </row>
    <row r="30" spans="1:1" x14ac:dyDescent="0.2">
      <c r="A30" s="426" t="s">
        <v>455</v>
      </c>
    </row>
    <row r="31" spans="1:1" x14ac:dyDescent="0.2">
      <c r="A31" s="426" t="s">
        <v>456</v>
      </c>
    </row>
    <row r="32" spans="1:1" x14ac:dyDescent="0.2">
      <c r="A32" s="426"/>
    </row>
    <row r="33" spans="1:1" x14ac:dyDescent="0.2">
      <c r="A33" s="426" t="str">
        <f>CONCATENATE("Additionally, do your ",inputPrYr!C10-2," receipts contain a reimbursement")</f>
        <v>Additionally, do your 2011 receipts contain a reimbursement</v>
      </c>
    </row>
    <row r="34" spans="1:1" x14ac:dyDescent="0.2">
      <c r="A34" s="426" t="s">
        <v>457</v>
      </c>
    </row>
    <row r="35" spans="1:1" x14ac:dyDescent="0.2">
      <c r="A35" s="426" t="s">
        <v>458</v>
      </c>
    </row>
    <row r="36" spans="1:1" x14ac:dyDescent="0.2">
      <c r="A36" s="426"/>
    </row>
    <row r="37" spans="1:1" x14ac:dyDescent="0.2">
      <c r="A37" s="426" t="s">
        <v>459</v>
      </c>
    </row>
    <row r="38" spans="1:1" x14ac:dyDescent="0.2">
      <c r="A38" s="426" t="s">
        <v>460</v>
      </c>
    </row>
    <row r="39" spans="1:1" x14ac:dyDescent="0.2">
      <c r="A39" s="426" t="s">
        <v>461</v>
      </c>
    </row>
    <row r="40" spans="1:1" x14ac:dyDescent="0.2">
      <c r="A40" s="426" t="s">
        <v>462</v>
      </c>
    </row>
    <row r="41" spans="1:1" x14ac:dyDescent="0.2">
      <c r="A41" s="426" t="s">
        <v>463</v>
      </c>
    </row>
    <row r="42" spans="1:1" x14ac:dyDescent="0.2">
      <c r="A42" s="426" t="s">
        <v>464</v>
      </c>
    </row>
    <row r="43" spans="1:1" x14ac:dyDescent="0.2">
      <c r="A43" s="426" t="s">
        <v>465</v>
      </c>
    </row>
    <row r="44" spans="1:1" x14ac:dyDescent="0.2">
      <c r="A44" s="426" t="s">
        <v>466</v>
      </c>
    </row>
    <row r="45" spans="1:1" x14ac:dyDescent="0.2">
      <c r="A45" s="426"/>
    </row>
    <row r="46" spans="1:1" x14ac:dyDescent="0.2">
      <c r="A46" s="426" t="s">
        <v>467</v>
      </c>
    </row>
    <row r="47" spans="1:1" x14ac:dyDescent="0.2">
      <c r="A47" s="426" t="s">
        <v>468</v>
      </c>
    </row>
    <row r="48" spans="1:1" x14ac:dyDescent="0.2">
      <c r="A48" s="426" t="s">
        <v>469</v>
      </c>
    </row>
    <row r="49" spans="1:1" x14ac:dyDescent="0.2">
      <c r="A49" s="426"/>
    </row>
    <row r="50" spans="1:1" x14ac:dyDescent="0.2">
      <c r="A50" s="426" t="s">
        <v>470</v>
      </c>
    </row>
    <row r="51" spans="1:1" x14ac:dyDescent="0.2">
      <c r="A51" s="426" t="s">
        <v>471</v>
      </c>
    </row>
    <row r="52" spans="1:1" x14ac:dyDescent="0.2">
      <c r="A52" s="426" t="s">
        <v>472</v>
      </c>
    </row>
    <row r="53" spans="1:1" x14ac:dyDescent="0.2">
      <c r="A53" s="426"/>
    </row>
    <row r="54" spans="1:1" x14ac:dyDescent="0.2">
      <c r="A54" s="427" t="s">
        <v>473</v>
      </c>
    </row>
    <row r="55" spans="1:1" x14ac:dyDescent="0.2">
      <c r="A55" s="426"/>
    </row>
    <row r="56" spans="1:1" x14ac:dyDescent="0.2">
      <c r="A56" s="426" t="s">
        <v>474</v>
      </c>
    </row>
    <row r="57" spans="1:1" x14ac:dyDescent="0.2">
      <c r="A57" s="426" t="s">
        <v>475</v>
      </c>
    </row>
    <row r="58" spans="1:1" x14ac:dyDescent="0.2">
      <c r="A58" s="426" t="s">
        <v>476</v>
      </c>
    </row>
    <row r="59" spans="1:1" x14ac:dyDescent="0.2">
      <c r="A59" s="426" t="s">
        <v>477</v>
      </c>
    </row>
    <row r="60" spans="1:1" x14ac:dyDescent="0.2">
      <c r="A60" s="426" t="s">
        <v>478</v>
      </c>
    </row>
    <row r="61" spans="1:1" x14ac:dyDescent="0.2">
      <c r="A61" s="426" t="s">
        <v>479</v>
      </c>
    </row>
    <row r="62" spans="1:1" x14ac:dyDescent="0.2">
      <c r="A62" s="426" t="s">
        <v>480</v>
      </c>
    </row>
    <row r="63" spans="1:1" x14ac:dyDescent="0.2">
      <c r="A63" s="426" t="s">
        <v>481</v>
      </c>
    </row>
    <row r="64" spans="1:1" x14ac:dyDescent="0.2">
      <c r="A64" s="426" t="s">
        <v>482</v>
      </c>
    </row>
    <row r="65" spans="1:1" x14ac:dyDescent="0.2">
      <c r="A65" s="426" t="s">
        <v>483</v>
      </c>
    </row>
    <row r="66" spans="1:1" x14ac:dyDescent="0.2">
      <c r="A66" s="426" t="s">
        <v>484</v>
      </c>
    </row>
    <row r="67" spans="1:1" x14ac:dyDescent="0.2">
      <c r="A67" s="426" t="s">
        <v>485</v>
      </c>
    </row>
    <row r="68" spans="1:1" x14ac:dyDescent="0.2">
      <c r="A68" s="426" t="s">
        <v>486</v>
      </c>
    </row>
    <row r="69" spans="1:1" x14ac:dyDescent="0.2">
      <c r="A69" s="426"/>
    </row>
    <row r="70" spans="1:1" x14ac:dyDescent="0.2">
      <c r="A70" s="426" t="s">
        <v>487</v>
      </c>
    </row>
    <row r="71" spans="1:1" x14ac:dyDescent="0.2">
      <c r="A71" s="426" t="s">
        <v>488</v>
      </c>
    </row>
    <row r="72" spans="1:1" x14ac:dyDescent="0.2">
      <c r="A72" s="426" t="s">
        <v>489</v>
      </c>
    </row>
    <row r="73" spans="1:1" x14ac:dyDescent="0.2">
      <c r="A73" s="426"/>
    </row>
    <row r="74" spans="1:1" x14ac:dyDescent="0.2">
      <c r="A74" s="427" t="str">
        <f>CONCATENATE("What if the ",inputPrYr!C10-2," financial records have been closed?")</f>
        <v>What if the 2011 financial records have been closed?</v>
      </c>
    </row>
    <row r="76" spans="1:1" x14ac:dyDescent="0.2">
      <c r="A76" s="426" t="s">
        <v>490</v>
      </c>
    </row>
    <row r="77" spans="1:1" x14ac:dyDescent="0.2">
      <c r="A77" s="426" t="str">
        <f>CONCATENATE("(i.e. an audit for ",inputPrYr!C10-2," has been completed, or the ",inputPrYr!C10)</f>
        <v>(i.e. an audit for 2011 has been completed, or the 2013</v>
      </c>
    </row>
    <row r="78" spans="1:1" x14ac:dyDescent="0.2">
      <c r="A78" s="426" t="s">
        <v>491</v>
      </c>
    </row>
    <row r="79" spans="1:1" x14ac:dyDescent="0.2">
      <c r="A79" s="426" t="s">
        <v>492</v>
      </c>
    </row>
    <row r="80" spans="1:1" x14ac:dyDescent="0.2">
      <c r="A80" s="426"/>
    </row>
    <row r="81" spans="1:1" x14ac:dyDescent="0.2">
      <c r="A81" s="426" t="s">
        <v>493</v>
      </c>
    </row>
    <row r="82" spans="1:1" x14ac:dyDescent="0.2">
      <c r="A82" s="426" t="s">
        <v>494</v>
      </c>
    </row>
    <row r="83" spans="1:1" x14ac:dyDescent="0.2">
      <c r="A83" s="426" t="s">
        <v>495</v>
      </c>
    </row>
    <row r="84" spans="1:1" x14ac:dyDescent="0.2">
      <c r="A84" s="426"/>
    </row>
    <row r="85" spans="1:1" x14ac:dyDescent="0.2">
      <c r="A85" s="426" t="s">
        <v>496</v>
      </c>
    </row>
  </sheetData>
  <sheetProtection sheet="1"/>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5" sqref="A35"/>
    </sheetView>
  </sheetViews>
  <sheetFormatPr defaultRowHeight="15" x14ac:dyDescent="0.2"/>
  <cols>
    <col min="1" max="1" width="71.33203125" customWidth="1"/>
  </cols>
  <sheetData>
    <row r="3" spans="1:10" x14ac:dyDescent="0.2">
      <c r="A3" s="425" t="s">
        <v>497</v>
      </c>
      <c r="B3" s="425"/>
      <c r="C3" s="425"/>
      <c r="D3" s="425"/>
      <c r="E3" s="425"/>
      <c r="F3" s="425"/>
      <c r="G3" s="425"/>
      <c r="H3" s="428"/>
      <c r="I3" s="428"/>
      <c r="J3" s="428"/>
    </row>
    <row r="5" spans="1:10" x14ac:dyDescent="0.2">
      <c r="A5" s="426" t="s">
        <v>498</v>
      </c>
    </row>
    <row r="6" spans="1:10" x14ac:dyDescent="0.2">
      <c r="A6" t="str">
        <f>CONCATENATE(inputPrYr!C10-2," expenditures show that you finished the year with a ")</f>
        <v xml:space="preserve">2011 expenditures show that you finished the year with a </v>
      </c>
    </row>
    <row r="7" spans="1:10" x14ac:dyDescent="0.2">
      <c r="A7" t="s">
        <v>499</v>
      </c>
    </row>
    <row r="9" spans="1:10" x14ac:dyDescent="0.2">
      <c r="A9" t="s">
        <v>500</v>
      </c>
    </row>
    <row r="10" spans="1:10" x14ac:dyDescent="0.2">
      <c r="A10" t="s">
        <v>501</v>
      </c>
    </row>
    <row r="11" spans="1:10" x14ac:dyDescent="0.2">
      <c r="A11" t="s">
        <v>502</v>
      </c>
    </row>
    <row r="13" spans="1:10" x14ac:dyDescent="0.2">
      <c r="A13" s="427" t="s">
        <v>503</v>
      </c>
    </row>
    <row r="14" spans="1:10" x14ac:dyDescent="0.2">
      <c r="A14" s="427"/>
    </row>
    <row r="15" spans="1:10" x14ac:dyDescent="0.2">
      <c r="A15" s="426" t="s">
        <v>504</v>
      </c>
    </row>
    <row r="16" spans="1:10" x14ac:dyDescent="0.2">
      <c r="A16" s="426" t="s">
        <v>505</v>
      </c>
    </row>
    <row r="17" spans="1:1" x14ac:dyDescent="0.2">
      <c r="A17" s="426" t="s">
        <v>506</v>
      </c>
    </row>
    <row r="18" spans="1:1" x14ac:dyDescent="0.2">
      <c r="A18" s="426"/>
    </row>
    <row r="19" spans="1:1" x14ac:dyDescent="0.2">
      <c r="A19" s="427" t="s">
        <v>507</v>
      </c>
    </row>
    <row r="20" spans="1:1" x14ac:dyDescent="0.2">
      <c r="A20" s="427"/>
    </row>
    <row r="21" spans="1:1" x14ac:dyDescent="0.2">
      <c r="A21" s="426" t="s">
        <v>508</v>
      </c>
    </row>
    <row r="22" spans="1:1" x14ac:dyDescent="0.2">
      <c r="A22" s="426" t="s">
        <v>509</v>
      </c>
    </row>
    <row r="23" spans="1:1" x14ac:dyDescent="0.2">
      <c r="A23" s="426" t="s">
        <v>510</v>
      </c>
    </row>
    <row r="24" spans="1:1" x14ac:dyDescent="0.2">
      <c r="A24" s="426"/>
    </row>
    <row r="25" spans="1:1" x14ac:dyDescent="0.2">
      <c r="A25" s="427" t="s">
        <v>511</v>
      </c>
    </row>
    <row r="26" spans="1:1" x14ac:dyDescent="0.2">
      <c r="A26" s="427"/>
    </row>
    <row r="27" spans="1:1" x14ac:dyDescent="0.2">
      <c r="A27" s="426" t="s">
        <v>512</v>
      </c>
    </row>
    <row r="28" spans="1:1" x14ac:dyDescent="0.2">
      <c r="A28" s="426" t="s">
        <v>513</v>
      </c>
    </row>
    <row r="29" spans="1:1" x14ac:dyDescent="0.2">
      <c r="A29" s="426" t="s">
        <v>514</v>
      </c>
    </row>
    <row r="30" spans="1:1" x14ac:dyDescent="0.2">
      <c r="A30" s="426"/>
    </row>
    <row r="31" spans="1:1" x14ac:dyDescent="0.2">
      <c r="A31" s="427" t="s">
        <v>515</v>
      </c>
    </row>
    <row r="32" spans="1:1" x14ac:dyDescent="0.2">
      <c r="A32" s="427"/>
    </row>
    <row r="33" spans="1:8" x14ac:dyDescent="0.2">
      <c r="A33" s="426" t="str">
        <f>CONCATENATE("If your financial records for ",inputPrYr!C10-2," are not closed")</f>
        <v>If your financial records for 2011 are not closed</v>
      </c>
      <c r="B33" s="426"/>
      <c r="C33" s="426"/>
      <c r="D33" s="426"/>
      <c r="E33" s="426"/>
      <c r="F33" s="426"/>
      <c r="G33" s="426"/>
      <c r="H33" s="426"/>
    </row>
    <row r="34" spans="1:8" x14ac:dyDescent="0.2">
      <c r="A34" s="426" t="str">
        <f>CONCATENATE("(i.e. an audit has not been completed, or the ",inputPrYr!C10," adopted ")</f>
        <v xml:space="preserve">(i.e. an audit has not been completed, or the 2013 adopted </v>
      </c>
      <c r="B34" s="426"/>
      <c r="C34" s="426"/>
      <c r="D34" s="426"/>
      <c r="E34" s="426"/>
      <c r="F34" s="426"/>
      <c r="G34" s="426"/>
      <c r="H34" s="426"/>
    </row>
    <row r="35" spans="1:8" x14ac:dyDescent="0.2">
      <c r="A35" s="426" t="s">
        <v>516</v>
      </c>
      <c r="B35" s="426"/>
      <c r="C35" s="426"/>
      <c r="D35" s="426"/>
      <c r="E35" s="426"/>
      <c r="F35" s="426"/>
      <c r="G35" s="426"/>
      <c r="H35" s="426"/>
    </row>
    <row r="36" spans="1:8" x14ac:dyDescent="0.2">
      <c r="A36" s="426" t="s">
        <v>517</v>
      </c>
      <c r="B36" s="426"/>
      <c r="C36" s="426"/>
      <c r="D36" s="426"/>
      <c r="E36" s="426"/>
      <c r="F36" s="426"/>
      <c r="G36" s="426"/>
      <c r="H36" s="426"/>
    </row>
    <row r="37" spans="1:8" x14ac:dyDescent="0.2">
      <c r="A37" s="426" t="s">
        <v>518</v>
      </c>
      <c r="B37" s="426"/>
      <c r="C37" s="426"/>
      <c r="D37" s="426"/>
      <c r="E37" s="426"/>
      <c r="F37" s="426"/>
      <c r="G37" s="426"/>
      <c r="H37" s="426"/>
    </row>
    <row r="38" spans="1:8" x14ac:dyDescent="0.2">
      <c r="A38" s="426" t="s">
        <v>519</v>
      </c>
      <c r="B38" s="426"/>
      <c r="C38" s="426"/>
      <c r="D38" s="426"/>
      <c r="E38" s="426"/>
      <c r="F38" s="426"/>
      <c r="G38" s="426"/>
      <c r="H38" s="426"/>
    </row>
    <row r="39" spans="1:8" x14ac:dyDescent="0.2">
      <c r="A39" s="426" t="s">
        <v>520</v>
      </c>
      <c r="B39" s="426"/>
      <c r="C39" s="426"/>
      <c r="D39" s="426"/>
      <c r="E39" s="426"/>
      <c r="F39" s="426"/>
      <c r="G39" s="426"/>
      <c r="H39" s="426"/>
    </row>
    <row r="40" spans="1:8" x14ac:dyDescent="0.2">
      <c r="A40" s="426"/>
      <c r="B40" s="426"/>
      <c r="C40" s="426"/>
      <c r="D40" s="426"/>
      <c r="E40" s="426"/>
      <c r="F40" s="426"/>
      <c r="G40" s="426"/>
      <c r="H40" s="426"/>
    </row>
    <row r="41" spans="1:8" x14ac:dyDescent="0.2">
      <c r="A41" s="426" t="s">
        <v>521</v>
      </c>
      <c r="B41" s="426"/>
      <c r="C41" s="426"/>
      <c r="D41" s="426"/>
      <c r="E41" s="426"/>
      <c r="F41" s="426"/>
      <c r="G41" s="426"/>
      <c r="H41" s="426"/>
    </row>
    <row r="42" spans="1:8" x14ac:dyDescent="0.2">
      <c r="A42" s="426" t="s">
        <v>522</v>
      </c>
      <c r="B42" s="426"/>
      <c r="C42" s="426"/>
      <c r="D42" s="426"/>
      <c r="E42" s="426"/>
      <c r="F42" s="426"/>
      <c r="G42" s="426"/>
      <c r="H42" s="426"/>
    </row>
    <row r="43" spans="1:8" x14ac:dyDescent="0.2">
      <c r="A43" s="426" t="s">
        <v>523</v>
      </c>
      <c r="B43" s="426"/>
      <c r="C43" s="426"/>
      <c r="D43" s="426"/>
      <c r="E43" s="426"/>
      <c r="F43" s="426"/>
      <c r="G43" s="426"/>
      <c r="H43" s="426"/>
    </row>
    <row r="44" spans="1:8" x14ac:dyDescent="0.2">
      <c r="A44" s="426" t="s">
        <v>524</v>
      </c>
      <c r="B44" s="426"/>
      <c r="C44" s="426"/>
      <c r="D44" s="426"/>
      <c r="E44" s="426"/>
      <c r="F44" s="426"/>
      <c r="G44" s="426"/>
      <c r="H44" s="426"/>
    </row>
    <row r="45" spans="1:8" x14ac:dyDescent="0.2">
      <c r="A45" s="426"/>
      <c r="B45" s="426"/>
      <c r="C45" s="426"/>
      <c r="D45" s="426"/>
      <c r="E45" s="426"/>
      <c r="F45" s="426"/>
      <c r="G45" s="426"/>
      <c r="H45" s="426"/>
    </row>
    <row r="46" spans="1:8" x14ac:dyDescent="0.2">
      <c r="A46" s="426" t="s">
        <v>525</v>
      </c>
      <c r="B46" s="426"/>
      <c r="C46" s="426"/>
      <c r="D46" s="426"/>
      <c r="E46" s="426"/>
      <c r="F46" s="426"/>
      <c r="G46" s="426"/>
      <c r="H46" s="426"/>
    </row>
    <row r="47" spans="1:8" x14ac:dyDescent="0.2">
      <c r="A47" s="426" t="s">
        <v>526</v>
      </c>
      <c r="B47" s="426"/>
      <c r="C47" s="426"/>
      <c r="D47" s="426"/>
      <c r="E47" s="426"/>
      <c r="F47" s="426"/>
      <c r="G47" s="426"/>
      <c r="H47" s="426"/>
    </row>
    <row r="48" spans="1:8" x14ac:dyDescent="0.2">
      <c r="A48" s="426" t="s">
        <v>527</v>
      </c>
      <c r="B48" s="426"/>
      <c r="C48" s="426"/>
      <c r="D48" s="426"/>
      <c r="E48" s="426"/>
      <c r="F48" s="426"/>
      <c r="G48" s="426"/>
      <c r="H48" s="426"/>
    </row>
    <row r="49" spans="1:8" x14ac:dyDescent="0.2">
      <c r="A49" s="426" t="s">
        <v>528</v>
      </c>
      <c r="B49" s="426"/>
      <c r="C49" s="426"/>
      <c r="D49" s="426"/>
      <c r="E49" s="426"/>
      <c r="F49" s="426"/>
      <c r="G49" s="426"/>
      <c r="H49" s="426"/>
    </row>
    <row r="50" spans="1:8" x14ac:dyDescent="0.2">
      <c r="A50" s="426" t="s">
        <v>529</v>
      </c>
      <c r="B50" s="426"/>
      <c r="C50" s="426"/>
      <c r="D50" s="426"/>
      <c r="E50" s="426"/>
      <c r="F50" s="426"/>
      <c r="G50" s="426"/>
      <c r="H50" s="426"/>
    </row>
    <row r="51" spans="1:8" x14ac:dyDescent="0.2">
      <c r="A51" s="426"/>
      <c r="B51" s="426"/>
      <c r="C51" s="426"/>
      <c r="D51" s="426"/>
      <c r="E51" s="426"/>
      <c r="F51" s="426"/>
      <c r="G51" s="426"/>
      <c r="H51" s="426"/>
    </row>
    <row r="52" spans="1:8" x14ac:dyDescent="0.2">
      <c r="A52" s="427" t="s">
        <v>530</v>
      </c>
      <c r="B52" s="427"/>
      <c r="C52" s="427"/>
      <c r="D52" s="427"/>
      <c r="E52" s="427"/>
      <c r="F52" s="427"/>
      <c r="G52" s="427"/>
      <c r="H52" s="426"/>
    </row>
    <row r="53" spans="1:8" x14ac:dyDescent="0.2">
      <c r="A53" s="427" t="s">
        <v>531</v>
      </c>
      <c r="B53" s="427"/>
      <c r="C53" s="427"/>
      <c r="D53" s="427"/>
      <c r="E53" s="427"/>
      <c r="F53" s="427"/>
      <c r="G53" s="427"/>
      <c r="H53" s="426"/>
    </row>
    <row r="54" spans="1:8" x14ac:dyDescent="0.2">
      <c r="A54" s="426"/>
      <c r="B54" s="426"/>
      <c r="C54" s="426"/>
      <c r="D54" s="426"/>
      <c r="E54" s="426"/>
      <c r="F54" s="426"/>
      <c r="G54" s="426"/>
      <c r="H54" s="426"/>
    </row>
    <row r="55" spans="1:8" x14ac:dyDescent="0.2">
      <c r="A55" s="426" t="s">
        <v>532</v>
      </c>
      <c r="B55" s="426"/>
      <c r="C55" s="426"/>
      <c r="D55" s="426"/>
      <c r="E55" s="426"/>
      <c r="F55" s="426"/>
      <c r="G55" s="426"/>
      <c r="H55" s="426"/>
    </row>
    <row r="56" spans="1:8" x14ac:dyDescent="0.2">
      <c r="A56" s="426" t="s">
        <v>533</v>
      </c>
      <c r="B56" s="426"/>
      <c r="C56" s="426"/>
      <c r="D56" s="426"/>
      <c r="E56" s="426"/>
      <c r="F56" s="426"/>
      <c r="G56" s="426"/>
      <c r="H56" s="426"/>
    </row>
    <row r="57" spans="1:8" x14ac:dyDescent="0.2">
      <c r="A57" s="426" t="s">
        <v>534</v>
      </c>
      <c r="B57" s="426"/>
      <c r="C57" s="426"/>
      <c r="D57" s="426"/>
      <c r="E57" s="426"/>
      <c r="F57" s="426"/>
      <c r="G57" s="426"/>
      <c r="H57" s="426"/>
    </row>
    <row r="58" spans="1:8" x14ac:dyDescent="0.2">
      <c r="A58" s="426" t="s">
        <v>535</v>
      </c>
      <c r="B58" s="426"/>
      <c r="C58" s="426"/>
      <c r="D58" s="426"/>
      <c r="E58" s="426"/>
      <c r="F58" s="426"/>
      <c r="G58" s="426"/>
      <c r="H58" s="426"/>
    </row>
    <row r="59" spans="1:8" x14ac:dyDescent="0.2">
      <c r="A59" s="426"/>
      <c r="B59" s="426"/>
      <c r="C59" s="426"/>
      <c r="D59" s="426"/>
      <c r="E59" s="426"/>
      <c r="F59" s="426"/>
      <c r="G59" s="426"/>
      <c r="H59" s="426"/>
    </row>
    <row r="60" spans="1:8" x14ac:dyDescent="0.2">
      <c r="A60" s="426" t="s">
        <v>536</v>
      </c>
      <c r="B60" s="426"/>
      <c r="C60" s="426"/>
      <c r="D60" s="426"/>
      <c r="E60" s="426"/>
      <c r="F60" s="426"/>
      <c r="G60" s="426"/>
      <c r="H60" s="426"/>
    </row>
    <row r="61" spans="1:8" x14ac:dyDescent="0.2">
      <c r="A61" s="426" t="s">
        <v>537</v>
      </c>
      <c r="B61" s="426"/>
      <c r="C61" s="426"/>
      <c r="D61" s="426"/>
      <c r="E61" s="426"/>
      <c r="F61" s="426"/>
      <c r="G61" s="426"/>
      <c r="H61" s="426"/>
    </row>
    <row r="62" spans="1:8" x14ac:dyDescent="0.2">
      <c r="A62" s="426" t="s">
        <v>538</v>
      </c>
      <c r="B62" s="426"/>
      <c r="C62" s="426"/>
      <c r="D62" s="426"/>
      <c r="E62" s="426"/>
      <c r="F62" s="426"/>
      <c r="G62" s="426"/>
      <c r="H62" s="426"/>
    </row>
    <row r="63" spans="1:8" x14ac:dyDescent="0.2">
      <c r="A63" s="426" t="s">
        <v>539</v>
      </c>
      <c r="B63" s="426"/>
      <c r="C63" s="426"/>
      <c r="D63" s="426"/>
      <c r="E63" s="426"/>
      <c r="F63" s="426"/>
      <c r="G63" s="426"/>
      <c r="H63" s="426"/>
    </row>
    <row r="64" spans="1:8" x14ac:dyDescent="0.2">
      <c r="A64" s="426" t="s">
        <v>540</v>
      </c>
      <c r="B64" s="426"/>
      <c r="C64" s="426"/>
      <c r="D64" s="426"/>
      <c r="E64" s="426"/>
      <c r="F64" s="426"/>
      <c r="G64" s="426"/>
      <c r="H64" s="426"/>
    </row>
    <row r="65" spans="1:8" x14ac:dyDescent="0.2">
      <c r="A65" s="426" t="s">
        <v>541</v>
      </c>
      <c r="B65" s="426"/>
      <c r="C65" s="426"/>
      <c r="D65" s="426"/>
      <c r="E65" s="426"/>
      <c r="F65" s="426"/>
      <c r="G65" s="426"/>
      <c r="H65" s="426"/>
    </row>
    <row r="66" spans="1:8" x14ac:dyDescent="0.2">
      <c r="A66" s="426"/>
      <c r="B66" s="426"/>
      <c r="C66" s="426"/>
      <c r="D66" s="426"/>
      <c r="E66" s="426"/>
      <c r="F66" s="426"/>
      <c r="G66" s="426"/>
      <c r="H66" s="426"/>
    </row>
    <row r="67" spans="1:8" x14ac:dyDescent="0.2">
      <c r="A67" s="426" t="s">
        <v>542</v>
      </c>
      <c r="B67" s="426"/>
      <c r="C67" s="426"/>
      <c r="D67" s="426"/>
      <c r="E67" s="426"/>
      <c r="F67" s="426"/>
      <c r="G67" s="426"/>
      <c r="H67" s="426"/>
    </row>
    <row r="68" spans="1:8" x14ac:dyDescent="0.2">
      <c r="A68" s="426" t="s">
        <v>543</v>
      </c>
      <c r="B68" s="426"/>
      <c r="C68" s="426"/>
      <c r="D68" s="426"/>
      <c r="E68" s="426"/>
      <c r="F68" s="426"/>
      <c r="G68" s="426"/>
      <c r="H68" s="426"/>
    </row>
    <row r="69" spans="1:8" x14ac:dyDescent="0.2">
      <c r="A69" s="426" t="s">
        <v>544</v>
      </c>
      <c r="B69" s="426"/>
      <c r="C69" s="426"/>
      <c r="D69" s="426"/>
      <c r="E69" s="426"/>
      <c r="F69" s="426"/>
      <c r="G69" s="426"/>
      <c r="H69" s="426"/>
    </row>
    <row r="70" spans="1:8" x14ac:dyDescent="0.2">
      <c r="A70" s="426" t="s">
        <v>545</v>
      </c>
      <c r="B70" s="426"/>
      <c r="C70" s="426"/>
      <c r="D70" s="426"/>
      <c r="E70" s="426"/>
      <c r="F70" s="426"/>
      <c r="G70" s="426"/>
      <c r="H70" s="426"/>
    </row>
    <row r="71" spans="1:8" x14ac:dyDescent="0.2">
      <c r="A71" s="426" t="s">
        <v>546</v>
      </c>
      <c r="B71" s="426"/>
      <c r="C71" s="426"/>
      <c r="D71" s="426"/>
      <c r="E71" s="426"/>
      <c r="F71" s="426"/>
      <c r="G71" s="426"/>
      <c r="H71" s="426"/>
    </row>
    <row r="72" spans="1:8" x14ac:dyDescent="0.2">
      <c r="A72" s="426" t="s">
        <v>547</v>
      </c>
      <c r="B72" s="426"/>
      <c r="C72" s="426"/>
      <c r="D72" s="426"/>
      <c r="E72" s="426"/>
      <c r="F72" s="426"/>
      <c r="G72" s="426"/>
      <c r="H72" s="426"/>
    </row>
    <row r="73" spans="1:8" x14ac:dyDescent="0.2">
      <c r="A73" s="426" t="s">
        <v>548</v>
      </c>
      <c r="B73" s="426"/>
      <c r="C73" s="426"/>
      <c r="D73" s="426"/>
      <c r="E73" s="426"/>
      <c r="F73" s="426"/>
      <c r="G73" s="426"/>
      <c r="H73" s="426"/>
    </row>
    <row r="74" spans="1:8" x14ac:dyDescent="0.2">
      <c r="A74" s="426"/>
      <c r="B74" s="426"/>
      <c r="C74" s="426"/>
      <c r="D74" s="426"/>
      <c r="E74" s="426"/>
      <c r="F74" s="426"/>
      <c r="G74" s="426"/>
      <c r="H74" s="426"/>
    </row>
    <row r="75" spans="1:8" x14ac:dyDescent="0.2">
      <c r="A75" s="426" t="s">
        <v>549</v>
      </c>
      <c r="B75" s="426"/>
      <c r="C75" s="426"/>
      <c r="D75" s="426"/>
      <c r="E75" s="426"/>
      <c r="F75" s="426"/>
      <c r="G75" s="426"/>
      <c r="H75" s="426"/>
    </row>
    <row r="76" spans="1:8" x14ac:dyDescent="0.2">
      <c r="A76" s="426" t="s">
        <v>550</v>
      </c>
      <c r="B76" s="426"/>
      <c r="C76" s="426"/>
      <c r="D76" s="426"/>
      <c r="E76" s="426"/>
      <c r="F76" s="426"/>
      <c r="G76" s="426"/>
      <c r="H76" s="426"/>
    </row>
    <row r="77" spans="1:8" x14ac:dyDescent="0.2">
      <c r="A77" s="426" t="s">
        <v>551</v>
      </c>
      <c r="B77" s="426"/>
      <c r="C77" s="426"/>
      <c r="D77" s="426"/>
      <c r="E77" s="426"/>
      <c r="F77" s="426"/>
      <c r="G77" s="426"/>
      <c r="H77" s="426"/>
    </row>
    <row r="78" spans="1:8" x14ac:dyDescent="0.2">
      <c r="A78" s="426"/>
      <c r="B78" s="426"/>
      <c r="C78" s="426"/>
      <c r="D78" s="426"/>
      <c r="E78" s="426"/>
      <c r="F78" s="426"/>
      <c r="G78" s="426"/>
      <c r="H78" s="426"/>
    </row>
    <row r="79" spans="1:8" x14ac:dyDescent="0.2">
      <c r="A79" s="426" t="s">
        <v>496</v>
      </c>
    </row>
    <row r="80" spans="1:8" x14ac:dyDescent="0.2">
      <c r="A80" s="427"/>
    </row>
    <row r="81" spans="1:1" x14ac:dyDescent="0.2">
      <c r="A81" s="426"/>
    </row>
    <row r="82" spans="1:1" x14ac:dyDescent="0.2">
      <c r="A82" s="426"/>
    </row>
    <row r="83" spans="1:1" x14ac:dyDescent="0.2">
      <c r="A83" s="426"/>
    </row>
    <row r="84" spans="1:1" x14ac:dyDescent="0.2">
      <c r="A84" s="426"/>
    </row>
    <row r="85" spans="1:1" x14ac:dyDescent="0.2">
      <c r="A85" s="426"/>
    </row>
    <row r="86" spans="1:1" x14ac:dyDescent="0.2">
      <c r="A86" s="426"/>
    </row>
    <row r="87" spans="1:1" x14ac:dyDescent="0.2">
      <c r="A87" s="426"/>
    </row>
    <row r="88" spans="1:1" x14ac:dyDescent="0.2">
      <c r="A88" s="426"/>
    </row>
    <row r="89" spans="1:1" x14ac:dyDescent="0.2">
      <c r="A89" s="426"/>
    </row>
    <row r="90" spans="1:1" x14ac:dyDescent="0.2">
      <c r="A90" s="426"/>
    </row>
    <row r="91" spans="1:1" x14ac:dyDescent="0.2">
      <c r="A91" s="426"/>
    </row>
    <row r="92" spans="1:1" x14ac:dyDescent="0.2">
      <c r="A92" s="426"/>
    </row>
    <row r="93" spans="1:1" x14ac:dyDescent="0.2">
      <c r="A93" s="426"/>
    </row>
    <row r="94" spans="1:1" x14ac:dyDescent="0.2">
      <c r="A94" s="426"/>
    </row>
    <row r="95" spans="1:1" x14ac:dyDescent="0.2">
      <c r="A95" s="426"/>
    </row>
    <row r="96" spans="1:1" x14ac:dyDescent="0.2">
      <c r="A96" s="426"/>
    </row>
    <row r="97" spans="1:1" x14ac:dyDescent="0.2">
      <c r="A97" s="426"/>
    </row>
    <row r="98" spans="1:1" x14ac:dyDescent="0.2">
      <c r="A98" s="426"/>
    </row>
    <row r="99" spans="1:1" x14ac:dyDescent="0.2">
      <c r="A99" s="426"/>
    </row>
    <row r="100" spans="1:1" x14ac:dyDescent="0.2">
      <c r="A100" s="426"/>
    </row>
    <row r="101" spans="1:1" x14ac:dyDescent="0.2">
      <c r="A101" s="426"/>
    </row>
    <row r="103" spans="1:1" x14ac:dyDescent="0.2">
      <c r="A103" s="426"/>
    </row>
    <row r="104" spans="1:1" x14ac:dyDescent="0.2">
      <c r="A104" s="426"/>
    </row>
    <row r="105" spans="1:1" x14ac:dyDescent="0.2">
      <c r="A105" s="426"/>
    </row>
    <row r="107" spans="1:1" x14ac:dyDescent="0.2">
      <c r="A107" s="427"/>
    </row>
    <row r="108" spans="1:1" x14ac:dyDescent="0.2">
      <c r="A108" s="427"/>
    </row>
    <row r="109" spans="1:1" x14ac:dyDescent="0.2">
      <c r="A109" s="427"/>
    </row>
  </sheetData>
  <sheetProtection sheet="1"/>
  <pageMargins left="0.7" right="0.7" top="0.75" bottom="0.75" header="0.3" footer="0.3"/>
  <pageSetup orientation="portrait" r:id="rId1"/>
  <headerFooter>
    <oddFooter>&amp;Lrevised 10/02/09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38" sqref="A38"/>
    </sheetView>
  </sheetViews>
  <sheetFormatPr defaultRowHeight="15" x14ac:dyDescent="0.2"/>
  <cols>
    <col min="1" max="1" width="71.33203125" customWidth="1"/>
  </cols>
  <sheetData>
    <row r="3" spans="1:12" x14ac:dyDescent="0.2">
      <c r="A3" s="425" t="s">
        <v>552</v>
      </c>
      <c r="B3" s="425"/>
      <c r="C3" s="425"/>
      <c r="D3" s="425"/>
      <c r="E3" s="425"/>
      <c r="F3" s="425"/>
      <c r="G3" s="425"/>
      <c r="H3" s="425"/>
      <c r="I3" s="425"/>
      <c r="J3" s="425"/>
      <c r="K3" s="425"/>
      <c r="L3" s="425"/>
    </row>
    <row r="4" spans="1:12" x14ac:dyDescent="0.2">
      <c r="A4" s="425"/>
      <c r="B4" s="425"/>
      <c r="C4" s="425"/>
      <c r="D4" s="425"/>
      <c r="E4" s="425"/>
      <c r="F4" s="425"/>
      <c r="G4" s="425"/>
      <c r="H4" s="425"/>
      <c r="I4" s="425"/>
      <c r="J4" s="425"/>
      <c r="K4" s="425"/>
      <c r="L4" s="425"/>
    </row>
    <row r="5" spans="1:12" x14ac:dyDescent="0.2">
      <c r="A5" s="426" t="s">
        <v>441</v>
      </c>
      <c r="I5" s="425"/>
      <c r="J5" s="425"/>
      <c r="K5" s="425"/>
      <c r="L5" s="425"/>
    </row>
    <row r="6" spans="1:12" x14ac:dyDescent="0.2">
      <c r="A6" s="426" t="str">
        <f>CONCATENATE("estimated ",inputPrYr!C10-1," 'total expenditures' exceed your ",inputPrYr!C10-1,"")</f>
        <v>estimated 2012 'total expenditures' exceed your 2012</v>
      </c>
      <c r="I6" s="425"/>
      <c r="J6" s="425"/>
      <c r="K6" s="425"/>
      <c r="L6" s="425"/>
    </row>
    <row r="7" spans="1:12" x14ac:dyDescent="0.2">
      <c r="A7" s="429" t="s">
        <v>553</v>
      </c>
      <c r="I7" s="425"/>
      <c r="J7" s="425"/>
      <c r="K7" s="425"/>
      <c r="L7" s="425"/>
    </row>
    <row r="8" spans="1:12" x14ac:dyDescent="0.2">
      <c r="A8" s="426"/>
      <c r="I8" s="425"/>
      <c r="J8" s="425"/>
      <c r="K8" s="425"/>
      <c r="L8" s="425"/>
    </row>
    <row r="9" spans="1:12" x14ac:dyDescent="0.2">
      <c r="A9" s="426" t="s">
        <v>554</v>
      </c>
      <c r="I9" s="425"/>
      <c r="J9" s="425"/>
      <c r="K9" s="425"/>
      <c r="L9" s="425"/>
    </row>
    <row r="10" spans="1:12" x14ac:dyDescent="0.2">
      <c r="A10" s="426" t="s">
        <v>555</v>
      </c>
      <c r="I10" s="425"/>
      <c r="J10" s="425"/>
      <c r="K10" s="425"/>
      <c r="L10" s="425"/>
    </row>
    <row r="11" spans="1:12" x14ac:dyDescent="0.2">
      <c r="A11" s="426" t="s">
        <v>556</v>
      </c>
      <c r="I11" s="425"/>
      <c r="J11" s="425"/>
      <c r="K11" s="425"/>
      <c r="L11" s="425"/>
    </row>
    <row r="12" spans="1:12" x14ac:dyDescent="0.2">
      <c r="A12" s="426" t="s">
        <v>557</v>
      </c>
      <c r="I12" s="425"/>
      <c r="J12" s="425"/>
      <c r="K12" s="425"/>
      <c r="L12" s="425"/>
    </row>
    <row r="13" spans="1:12" x14ac:dyDescent="0.2">
      <c r="A13" s="426" t="s">
        <v>558</v>
      </c>
      <c r="I13" s="425"/>
      <c r="J13" s="425"/>
      <c r="K13" s="425"/>
      <c r="L13" s="425"/>
    </row>
    <row r="14" spans="1:12" x14ac:dyDescent="0.2">
      <c r="A14" s="425"/>
      <c r="B14" s="425"/>
      <c r="C14" s="425"/>
      <c r="D14" s="425"/>
      <c r="E14" s="425"/>
      <c r="F14" s="425"/>
      <c r="G14" s="425"/>
      <c r="H14" s="425"/>
      <c r="I14" s="425"/>
      <c r="J14" s="425"/>
      <c r="K14" s="425"/>
      <c r="L14" s="425"/>
    </row>
    <row r="15" spans="1:12" x14ac:dyDescent="0.2">
      <c r="A15" s="427" t="s">
        <v>559</v>
      </c>
    </row>
    <row r="16" spans="1:12" x14ac:dyDescent="0.2">
      <c r="A16" s="427" t="s">
        <v>560</v>
      </c>
    </row>
    <row r="17" spans="1:7" x14ac:dyDescent="0.2">
      <c r="A17" s="427"/>
    </row>
    <row r="18" spans="1:7" x14ac:dyDescent="0.2">
      <c r="A18" s="426" t="s">
        <v>561</v>
      </c>
      <c r="B18" s="426"/>
      <c r="C18" s="426"/>
      <c r="D18" s="426"/>
      <c r="E18" s="426"/>
      <c r="F18" s="426"/>
      <c r="G18" s="426"/>
    </row>
    <row r="19" spans="1:7" x14ac:dyDescent="0.2">
      <c r="A19" s="426" t="str">
        <f>CONCATENATE("your ",inputPrYr!C10-1," numbers to see what steps might be necessary to")</f>
        <v>your 2012 numbers to see what steps might be necessary to</v>
      </c>
      <c r="B19" s="426"/>
      <c r="C19" s="426"/>
      <c r="D19" s="426"/>
      <c r="E19" s="426"/>
      <c r="F19" s="426"/>
      <c r="G19" s="426"/>
    </row>
    <row r="20" spans="1:7" x14ac:dyDescent="0.2">
      <c r="A20" s="426" t="s">
        <v>562</v>
      </c>
      <c r="B20" s="426"/>
      <c r="C20" s="426"/>
      <c r="D20" s="426"/>
      <c r="E20" s="426"/>
      <c r="F20" s="426"/>
      <c r="G20" s="426"/>
    </row>
    <row r="21" spans="1:7" x14ac:dyDescent="0.2">
      <c r="A21" s="426" t="s">
        <v>563</v>
      </c>
      <c r="B21" s="426"/>
      <c r="C21" s="426"/>
      <c r="D21" s="426"/>
      <c r="E21" s="426"/>
      <c r="F21" s="426"/>
      <c r="G21" s="426"/>
    </row>
    <row r="22" spans="1:7" x14ac:dyDescent="0.2">
      <c r="A22" s="426"/>
    </row>
    <row r="23" spans="1:7" x14ac:dyDescent="0.2">
      <c r="A23" s="427" t="s">
        <v>564</v>
      </c>
    </row>
    <row r="24" spans="1:7" x14ac:dyDescent="0.2">
      <c r="A24" s="427"/>
    </row>
    <row r="25" spans="1:7" x14ac:dyDescent="0.2">
      <c r="A25" s="426" t="s">
        <v>565</v>
      </c>
    </row>
    <row r="26" spans="1:7" x14ac:dyDescent="0.2">
      <c r="A26" s="426" t="s">
        <v>566</v>
      </c>
      <c r="B26" s="426"/>
      <c r="C26" s="426"/>
      <c r="D26" s="426"/>
      <c r="E26" s="426"/>
      <c r="F26" s="426"/>
    </row>
    <row r="27" spans="1:7" x14ac:dyDescent="0.2">
      <c r="A27" s="426" t="s">
        <v>567</v>
      </c>
      <c r="B27" s="426"/>
      <c r="C27" s="426"/>
      <c r="D27" s="426"/>
      <c r="E27" s="426"/>
      <c r="F27" s="426"/>
    </row>
    <row r="28" spans="1:7" x14ac:dyDescent="0.2">
      <c r="A28" s="426" t="s">
        <v>568</v>
      </c>
      <c r="B28" s="426"/>
      <c r="C28" s="426"/>
      <c r="D28" s="426"/>
      <c r="E28" s="426"/>
      <c r="F28" s="426"/>
    </row>
    <row r="29" spans="1:7" x14ac:dyDescent="0.2">
      <c r="A29" s="426"/>
      <c r="B29" s="426"/>
      <c r="C29" s="426"/>
      <c r="D29" s="426"/>
      <c r="E29" s="426"/>
      <c r="F29" s="426"/>
    </row>
    <row r="30" spans="1:7" x14ac:dyDescent="0.2">
      <c r="A30" s="427" t="s">
        <v>569</v>
      </c>
      <c r="B30" s="427"/>
      <c r="C30" s="427"/>
      <c r="D30" s="427"/>
      <c r="E30" s="427"/>
      <c r="F30" s="427"/>
      <c r="G30" s="427"/>
    </row>
    <row r="31" spans="1:7" x14ac:dyDescent="0.2">
      <c r="A31" s="427" t="s">
        <v>570</v>
      </c>
      <c r="B31" s="427"/>
      <c r="C31" s="427"/>
      <c r="D31" s="427"/>
      <c r="E31" s="427"/>
      <c r="F31" s="427"/>
      <c r="G31" s="427"/>
    </row>
    <row r="32" spans="1:7" x14ac:dyDescent="0.2">
      <c r="A32" s="426"/>
      <c r="B32" s="426"/>
      <c r="C32" s="426"/>
      <c r="D32" s="426"/>
      <c r="E32" s="426"/>
      <c r="F32" s="426"/>
    </row>
    <row r="33" spans="1:6" x14ac:dyDescent="0.2">
      <c r="A33" s="430" t="str">
        <f>CONCATENATE("Well, let's look to see if any of your ",inputPrYr!C10-1," expenditures can")</f>
        <v>Well, let's look to see if any of your 2012 expenditures can</v>
      </c>
      <c r="B33" s="426"/>
      <c r="C33" s="426"/>
      <c r="D33" s="426"/>
      <c r="E33" s="426"/>
      <c r="F33" s="426"/>
    </row>
    <row r="34" spans="1:6" x14ac:dyDescent="0.2">
      <c r="A34" s="430" t="s">
        <v>571</v>
      </c>
      <c r="B34" s="426"/>
      <c r="C34" s="426"/>
      <c r="D34" s="426"/>
      <c r="E34" s="426"/>
      <c r="F34" s="426"/>
    </row>
    <row r="35" spans="1:6" x14ac:dyDescent="0.2">
      <c r="A35" s="430" t="s">
        <v>455</v>
      </c>
      <c r="B35" s="426"/>
      <c r="C35" s="426"/>
      <c r="D35" s="426"/>
      <c r="E35" s="426"/>
      <c r="F35" s="426"/>
    </row>
    <row r="36" spans="1:6" x14ac:dyDescent="0.2">
      <c r="A36" s="430" t="s">
        <v>456</v>
      </c>
      <c r="B36" s="426"/>
      <c r="C36" s="426"/>
      <c r="D36" s="426"/>
      <c r="E36" s="426"/>
      <c r="F36" s="426"/>
    </row>
    <row r="37" spans="1:6" x14ac:dyDescent="0.2">
      <c r="A37" s="430"/>
      <c r="B37" s="426"/>
      <c r="C37" s="426"/>
      <c r="D37" s="426"/>
      <c r="E37" s="426"/>
      <c r="F37" s="426"/>
    </row>
    <row r="38" spans="1:6" x14ac:dyDescent="0.2">
      <c r="A38" s="430" t="str">
        <f>CONCATENATE("Additionally, do your ",inputPrYr!C10-1," receipts contain a reimbursement")</f>
        <v>Additionally, do your 2012 receipts contain a reimbursement</v>
      </c>
      <c r="B38" s="426"/>
      <c r="C38" s="426"/>
      <c r="D38" s="426"/>
      <c r="E38" s="426"/>
      <c r="F38" s="426"/>
    </row>
    <row r="39" spans="1:6" x14ac:dyDescent="0.2">
      <c r="A39" s="430" t="s">
        <v>457</v>
      </c>
      <c r="B39" s="426"/>
      <c r="C39" s="426"/>
      <c r="D39" s="426"/>
      <c r="E39" s="426"/>
      <c r="F39" s="426"/>
    </row>
    <row r="40" spans="1:6" x14ac:dyDescent="0.2">
      <c r="A40" s="430" t="s">
        <v>458</v>
      </c>
      <c r="B40" s="426"/>
      <c r="C40" s="426"/>
      <c r="D40" s="426"/>
      <c r="E40" s="426"/>
      <c r="F40" s="426"/>
    </row>
    <row r="41" spans="1:6" x14ac:dyDescent="0.2">
      <c r="A41" s="430"/>
      <c r="B41" s="426"/>
      <c r="C41" s="426"/>
      <c r="D41" s="426"/>
      <c r="E41" s="426"/>
      <c r="F41" s="426"/>
    </row>
    <row r="42" spans="1:6" x14ac:dyDescent="0.2">
      <c r="A42" s="430" t="s">
        <v>459</v>
      </c>
      <c r="B42" s="426"/>
      <c r="C42" s="426"/>
      <c r="D42" s="426"/>
      <c r="E42" s="426"/>
      <c r="F42" s="426"/>
    </row>
    <row r="43" spans="1:6" x14ac:dyDescent="0.2">
      <c r="A43" s="430" t="s">
        <v>460</v>
      </c>
      <c r="B43" s="426"/>
      <c r="C43" s="426"/>
      <c r="D43" s="426"/>
      <c r="E43" s="426"/>
      <c r="F43" s="426"/>
    </row>
    <row r="44" spans="1:6" x14ac:dyDescent="0.2">
      <c r="A44" s="430" t="s">
        <v>461</v>
      </c>
      <c r="B44" s="426"/>
      <c r="C44" s="426"/>
      <c r="D44" s="426"/>
      <c r="E44" s="426"/>
      <c r="F44" s="426"/>
    </row>
    <row r="45" spans="1:6" x14ac:dyDescent="0.2">
      <c r="A45" s="430" t="s">
        <v>572</v>
      </c>
      <c r="B45" s="426"/>
      <c r="C45" s="426"/>
      <c r="D45" s="426"/>
      <c r="E45" s="426"/>
      <c r="F45" s="426"/>
    </row>
    <row r="46" spans="1:6" x14ac:dyDescent="0.2">
      <c r="A46" s="430" t="s">
        <v>463</v>
      </c>
      <c r="B46" s="426"/>
      <c r="C46" s="426"/>
      <c r="D46" s="426"/>
      <c r="E46" s="426"/>
      <c r="F46" s="426"/>
    </row>
    <row r="47" spans="1:6" x14ac:dyDescent="0.2">
      <c r="A47" s="430" t="s">
        <v>573</v>
      </c>
      <c r="B47" s="426"/>
      <c r="C47" s="426"/>
      <c r="D47" s="426"/>
      <c r="E47" s="426"/>
      <c r="F47" s="426"/>
    </row>
    <row r="48" spans="1:6" x14ac:dyDescent="0.2">
      <c r="A48" s="430" t="s">
        <v>574</v>
      </c>
      <c r="B48" s="426"/>
      <c r="C48" s="426"/>
      <c r="D48" s="426"/>
      <c r="E48" s="426"/>
      <c r="F48" s="426"/>
    </row>
    <row r="49" spans="1:6" x14ac:dyDescent="0.2">
      <c r="A49" s="430" t="s">
        <v>466</v>
      </c>
      <c r="B49" s="426"/>
      <c r="C49" s="426"/>
      <c r="D49" s="426"/>
      <c r="E49" s="426"/>
      <c r="F49" s="426"/>
    </row>
    <row r="50" spans="1:6" x14ac:dyDescent="0.2">
      <c r="A50" s="430"/>
      <c r="B50" s="426"/>
      <c r="C50" s="426"/>
      <c r="D50" s="426"/>
      <c r="E50" s="426"/>
      <c r="F50" s="426"/>
    </row>
    <row r="51" spans="1:6" x14ac:dyDescent="0.2">
      <c r="A51" s="430" t="s">
        <v>467</v>
      </c>
      <c r="B51" s="426"/>
      <c r="C51" s="426"/>
      <c r="D51" s="426"/>
      <c r="E51" s="426"/>
      <c r="F51" s="426"/>
    </row>
    <row r="52" spans="1:6" x14ac:dyDescent="0.2">
      <c r="A52" s="430" t="s">
        <v>468</v>
      </c>
      <c r="B52" s="426"/>
      <c r="C52" s="426"/>
      <c r="D52" s="426"/>
      <c r="E52" s="426"/>
      <c r="F52" s="426"/>
    </row>
    <row r="53" spans="1:6" x14ac:dyDescent="0.2">
      <c r="A53" s="430" t="s">
        <v>469</v>
      </c>
      <c r="B53" s="426"/>
      <c r="C53" s="426"/>
      <c r="D53" s="426"/>
      <c r="E53" s="426"/>
      <c r="F53" s="426"/>
    </row>
    <row r="54" spans="1:6" x14ac:dyDescent="0.2">
      <c r="A54" s="430"/>
      <c r="B54" s="426"/>
      <c r="C54" s="426"/>
      <c r="D54" s="426"/>
      <c r="E54" s="426"/>
      <c r="F54" s="426"/>
    </row>
    <row r="55" spans="1:6" x14ac:dyDescent="0.2">
      <c r="A55" s="430" t="s">
        <v>575</v>
      </c>
      <c r="B55" s="426"/>
      <c r="C55" s="426"/>
      <c r="D55" s="426"/>
      <c r="E55" s="426"/>
      <c r="F55" s="426"/>
    </row>
    <row r="56" spans="1:6" x14ac:dyDescent="0.2">
      <c r="A56" s="430" t="s">
        <v>576</v>
      </c>
      <c r="B56" s="426"/>
      <c r="C56" s="426"/>
      <c r="D56" s="426"/>
      <c r="E56" s="426"/>
      <c r="F56" s="426"/>
    </row>
    <row r="57" spans="1:6" x14ac:dyDescent="0.2">
      <c r="A57" s="430" t="s">
        <v>577</v>
      </c>
      <c r="B57" s="426"/>
      <c r="C57" s="426"/>
      <c r="D57" s="426"/>
      <c r="E57" s="426"/>
      <c r="F57" s="426"/>
    </row>
    <row r="58" spans="1:6" x14ac:dyDescent="0.2">
      <c r="A58" s="430" t="s">
        <v>578</v>
      </c>
      <c r="B58" s="426"/>
      <c r="C58" s="426"/>
      <c r="D58" s="426"/>
      <c r="E58" s="426"/>
      <c r="F58" s="426"/>
    </row>
    <row r="59" spans="1:6" x14ac:dyDescent="0.2">
      <c r="A59" s="430" t="s">
        <v>579</v>
      </c>
      <c r="B59" s="426"/>
      <c r="C59" s="426"/>
      <c r="D59" s="426"/>
      <c r="E59" s="426"/>
      <c r="F59" s="426"/>
    </row>
    <row r="60" spans="1:6" x14ac:dyDescent="0.2">
      <c r="A60" s="430"/>
      <c r="B60" s="426"/>
      <c r="C60" s="426"/>
      <c r="D60" s="426"/>
      <c r="E60" s="426"/>
      <c r="F60" s="426"/>
    </row>
    <row r="61" spans="1:6" x14ac:dyDescent="0.2">
      <c r="A61" s="431" t="s">
        <v>580</v>
      </c>
      <c r="B61" s="426"/>
      <c r="C61" s="426"/>
      <c r="D61" s="426"/>
      <c r="E61" s="426"/>
      <c r="F61" s="426"/>
    </row>
    <row r="62" spans="1:6" x14ac:dyDescent="0.2">
      <c r="A62" s="431" t="s">
        <v>581</v>
      </c>
      <c r="B62" s="426"/>
      <c r="C62" s="426"/>
      <c r="D62" s="426"/>
      <c r="E62" s="426"/>
      <c r="F62" s="426"/>
    </row>
    <row r="63" spans="1:6" x14ac:dyDescent="0.2">
      <c r="A63" s="431" t="s">
        <v>582</v>
      </c>
      <c r="B63" s="426"/>
      <c r="C63" s="426"/>
      <c r="D63" s="426"/>
      <c r="E63" s="426"/>
      <c r="F63" s="426"/>
    </row>
    <row r="64" spans="1:6" x14ac:dyDescent="0.2">
      <c r="A64" s="431" t="s">
        <v>583</v>
      </c>
    </row>
    <row r="65" spans="1:1" x14ac:dyDescent="0.2">
      <c r="A65" s="431" t="s">
        <v>584</v>
      </c>
    </row>
    <row r="66" spans="1:1" x14ac:dyDescent="0.2">
      <c r="A66" s="431" t="s">
        <v>585</v>
      </c>
    </row>
    <row r="68" spans="1:1" x14ac:dyDescent="0.2">
      <c r="A68" s="426" t="s">
        <v>586</v>
      </c>
    </row>
    <row r="69" spans="1:1" x14ac:dyDescent="0.2">
      <c r="A69" s="426" t="s">
        <v>587</v>
      </c>
    </row>
    <row r="70" spans="1:1" x14ac:dyDescent="0.2">
      <c r="A70" s="426" t="s">
        <v>588</v>
      </c>
    </row>
    <row r="71" spans="1:1" x14ac:dyDescent="0.2">
      <c r="A71" s="426" t="s">
        <v>589</v>
      </c>
    </row>
    <row r="72" spans="1:1" x14ac:dyDescent="0.2">
      <c r="A72" s="426" t="s">
        <v>590</v>
      </c>
    </row>
    <row r="73" spans="1:1" x14ac:dyDescent="0.2">
      <c r="A73" s="426" t="s">
        <v>591</v>
      </c>
    </row>
    <row r="75" spans="1:1" x14ac:dyDescent="0.2">
      <c r="A75" s="426" t="s">
        <v>496</v>
      </c>
    </row>
  </sheetData>
  <sheetProtection sheet="1"/>
  <pageMargins left="0.7" right="0.7" top="0.75" bottom="0.75" header="0.3" footer="0.3"/>
  <pageSetup orientation="portrait" r:id="rId1"/>
  <headerFooter>
    <oddFooter>&amp;Lrevised 10/02/09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x14ac:dyDescent="0.2"/>
  <cols>
    <col min="1" max="1" width="71.33203125" customWidth="1"/>
  </cols>
  <sheetData>
    <row r="3" spans="1:7" x14ac:dyDescent="0.2">
      <c r="A3" s="425" t="s">
        <v>592</v>
      </c>
      <c r="B3" s="425"/>
      <c r="C3" s="425"/>
      <c r="D3" s="425"/>
      <c r="E3" s="425"/>
      <c r="F3" s="425"/>
      <c r="G3" s="425"/>
    </row>
    <row r="4" spans="1:7" x14ac:dyDescent="0.2">
      <c r="A4" s="425"/>
      <c r="B4" s="425"/>
      <c r="C4" s="425"/>
      <c r="D4" s="425"/>
      <c r="E4" s="425"/>
      <c r="F4" s="425"/>
      <c r="G4" s="425"/>
    </row>
    <row r="5" spans="1:7" x14ac:dyDescent="0.2">
      <c r="A5" s="426" t="s">
        <v>498</v>
      </c>
    </row>
    <row r="6" spans="1:7" x14ac:dyDescent="0.2">
      <c r="A6" s="426" t="str">
        <f>CONCATENATE(inputPrYr!C10," estimated expenditures show that at the end of this year")</f>
        <v>2013 estimated expenditures show that at the end of this year</v>
      </c>
    </row>
    <row r="7" spans="1:7" x14ac:dyDescent="0.2">
      <c r="A7" s="426" t="s">
        <v>593</v>
      </c>
    </row>
    <row r="8" spans="1:7" x14ac:dyDescent="0.2">
      <c r="A8" s="426" t="s">
        <v>594</v>
      </c>
    </row>
    <row r="10" spans="1:7" x14ac:dyDescent="0.2">
      <c r="A10" t="s">
        <v>500</v>
      </c>
    </row>
    <row r="11" spans="1:7" x14ac:dyDescent="0.2">
      <c r="A11" t="s">
        <v>501</v>
      </c>
    </row>
    <row r="12" spans="1:7" x14ac:dyDescent="0.2">
      <c r="A12" t="s">
        <v>502</v>
      </c>
    </row>
    <row r="13" spans="1:7" x14ac:dyDescent="0.2">
      <c r="A13" s="425"/>
      <c r="B13" s="425"/>
      <c r="C13" s="425"/>
      <c r="D13" s="425"/>
      <c r="E13" s="425"/>
      <c r="F13" s="425"/>
      <c r="G13" s="425"/>
    </row>
    <row r="14" spans="1:7" x14ac:dyDescent="0.2">
      <c r="A14" s="427" t="s">
        <v>595</v>
      </c>
    </row>
    <row r="15" spans="1:7" x14ac:dyDescent="0.2">
      <c r="A15" s="426"/>
    </row>
    <row r="16" spans="1:7" x14ac:dyDescent="0.2">
      <c r="A16" s="426" t="s">
        <v>596</v>
      </c>
    </row>
    <row r="17" spans="1:7" x14ac:dyDescent="0.2">
      <c r="A17" s="426" t="s">
        <v>597</v>
      </c>
    </row>
    <row r="18" spans="1:7" x14ac:dyDescent="0.2">
      <c r="A18" s="426" t="s">
        <v>598</v>
      </c>
    </row>
    <row r="19" spans="1:7" x14ac:dyDescent="0.2">
      <c r="A19" s="426"/>
    </row>
    <row r="20" spans="1:7" x14ac:dyDescent="0.2">
      <c r="A20" s="426" t="s">
        <v>599</v>
      </c>
    </row>
    <row r="21" spans="1:7" x14ac:dyDescent="0.2">
      <c r="A21" s="426" t="s">
        <v>600</v>
      </c>
    </row>
    <row r="22" spans="1:7" x14ac:dyDescent="0.2">
      <c r="A22" s="426" t="s">
        <v>601</v>
      </c>
    </row>
    <row r="23" spans="1:7" x14ac:dyDescent="0.2">
      <c r="A23" s="426" t="s">
        <v>602</v>
      </c>
    </row>
    <row r="24" spans="1:7" x14ac:dyDescent="0.2">
      <c r="A24" s="426"/>
    </row>
    <row r="25" spans="1:7" x14ac:dyDescent="0.2">
      <c r="A25" s="427" t="s">
        <v>564</v>
      </c>
    </row>
    <row r="26" spans="1:7" x14ac:dyDescent="0.2">
      <c r="A26" s="427"/>
    </row>
    <row r="27" spans="1:7" x14ac:dyDescent="0.2">
      <c r="A27" s="426" t="s">
        <v>565</v>
      </c>
    </row>
    <row r="28" spans="1:7" x14ac:dyDescent="0.2">
      <c r="A28" s="426" t="s">
        <v>566</v>
      </c>
      <c r="B28" s="426"/>
      <c r="C28" s="426"/>
      <c r="D28" s="426"/>
      <c r="E28" s="426"/>
      <c r="F28" s="426"/>
    </row>
    <row r="29" spans="1:7" x14ac:dyDescent="0.2">
      <c r="A29" s="426" t="s">
        <v>567</v>
      </c>
      <c r="B29" s="426"/>
      <c r="C29" s="426"/>
      <c r="D29" s="426"/>
      <c r="E29" s="426"/>
      <c r="F29" s="426"/>
    </row>
    <row r="30" spans="1:7" x14ac:dyDescent="0.2">
      <c r="A30" s="426" t="s">
        <v>568</v>
      </c>
      <c r="B30" s="426"/>
      <c r="C30" s="426"/>
      <c r="D30" s="426"/>
      <c r="E30" s="426"/>
      <c r="F30" s="426"/>
    </row>
    <row r="31" spans="1:7" x14ac:dyDescent="0.2">
      <c r="A31" s="426"/>
    </row>
    <row r="32" spans="1:7" x14ac:dyDescent="0.2">
      <c r="A32" s="427" t="s">
        <v>569</v>
      </c>
      <c r="B32" s="427"/>
      <c r="C32" s="427"/>
      <c r="D32" s="427"/>
      <c r="E32" s="427"/>
      <c r="F32" s="427"/>
      <c r="G32" s="427"/>
    </row>
    <row r="33" spans="1:7" x14ac:dyDescent="0.2">
      <c r="A33" s="427" t="s">
        <v>570</v>
      </c>
      <c r="B33" s="427"/>
      <c r="C33" s="427"/>
      <c r="D33" s="427"/>
      <c r="E33" s="427"/>
      <c r="F33" s="427"/>
      <c r="G33" s="427"/>
    </row>
    <row r="34" spans="1:7" x14ac:dyDescent="0.2">
      <c r="A34" s="427"/>
      <c r="B34" s="427"/>
      <c r="C34" s="427"/>
      <c r="D34" s="427"/>
      <c r="E34" s="427"/>
      <c r="F34" s="427"/>
      <c r="G34" s="427"/>
    </row>
    <row r="35" spans="1:7" x14ac:dyDescent="0.2">
      <c r="A35" s="426" t="s">
        <v>603</v>
      </c>
      <c r="B35" s="426"/>
      <c r="C35" s="426"/>
      <c r="D35" s="426"/>
      <c r="E35" s="426"/>
      <c r="F35" s="426"/>
      <c r="G35" s="426"/>
    </row>
    <row r="36" spans="1:7" x14ac:dyDescent="0.2">
      <c r="A36" s="426" t="s">
        <v>604</v>
      </c>
      <c r="B36" s="426"/>
      <c r="C36" s="426"/>
      <c r="D36" s="426"/>
      <c r="E36" s="426"/>
      <c r="F36" s="426"/>
      <c r="G36" s="426"/>
    </row>
    <row r="37" spans="1:7" x14ac:dyDescent="0.2">
      <c r="A37" s="426" t="s">
        <v>605</v>
      </c>
      <c r="B37" s="426"/>
      <c r="C37" s="426"/>
      <c r="D37" s="426"/>
      <c r="E37" s="426"/>
      <c r="F37" s="426"/>
      <c r="G37" s="426"/>
    </row>
    <row r="38" spans="1:7" x14ac:dyDescent="0.2">
      <c r="A38" s="426" t="s">
        <v>606</v>
      </c>
      <c r="B38" s="426"/>
      <c r="C38" s="426"/>
      <c r="D38" s="426"/>
      <c r="E38" s="426"/>
      <c r="F38" s="426"/>
      <c r="G38" s="426"/>
    </row>
    <row r="39" spans="1:7" x14ac:dyDescent="0.2">
      <c r="A39" s="426" t="s">
        <v>607</v>
      </c>
      <c r="B39" s="426"/>
      <c r="C39" s="426"/>
      <c r="D39" s="426"/>
      <c r="E39" s="426"/>
      <c r="F39" s="426"/>
      <c r="G39" s="426"/>
    </row>
    <row r="40" spans="1:7" x14ac:dyDescent="0.2">
      <c r="A40" s="427"/>
      <c r="B40" s="427"/>
      <c r="C40" s="427"/>
      <c r="D40" s="427"/>
      <c r="E40" s="427"/>
      <c r="F40" s="427"/>
      <c r="G40" s="427"/>
    </row>
    <row r="41" spans="1:7" x14ac:dyDescent="0.2">
      <c r="A41" s="430" t="str">
        <f>CONCATENATE("So, let's look to see if any of your ",inputPrYr!C10-1," expenditures can")</f>
        <v>So, let's look to see if any of your 2012 expenditures can</v>
      </c>
      <c r="B41" s="426"/>
      <c r="C41" s="426"/>
      <c r="D41" s="426"/>
      <c r="E41" s="426"/>
      <c r="F41" s="426"/>
    </row>
    <row r="42" spans="1:7" x14ac:dyDescent="0.2">
      <c r="A42" s="430" t="s">
        <v>571</v>
      </c>
      <c r="B42" s="426"/>
      <c r="C42" s="426"/>
      <c r="D42" s="426"/>
      <c r="E42" s="426"/>
      <c r="F42" s="426"/>
    </row>
    <row r="43" spans="1:7" x14ac:dyDescent="0.2">
      <c r="A43" s="430" t="s">
        <v>455</v>
      </c>
      <c r="B43" s="426"/>
      <c r="C43" s="426"/>
      <c r="D43" s="426"/>
      <c r="E43" s="426"/>
      <c r="F43" s="426"/>
    </row>
    <row r="44" spans="1:7" x14ac:dyDescent="0.2">
      <c r="A44" s="430" t="s">
        <v>456</v>
      </c>
      <c r="B44" s="426"/>
      <c r="C44" s="426"/>
      <c r="D44" s="426"/>
      <c r="E44" s="426"/>
      <c r="F44" s="426"/>
    </row>
    <row r="45" spans="1:7" x14ac:dyDescent="0.2">
      <c r="A45" s="426"/>
    </row>
    <row r="46" spans="1:7" x14ac:dyDescent="0.2">
      <c r="A46" s="430" t="str">
        <f>CONCATENATE("Additionally, do your ",inputPrYr!C10-1," receipts contain a reimbursement")</f>
        <v>Additionally, do your 2012 receipts contain a reimbursement</v>
      </c>
      <c r="B46" s="426"/>
      <c r="C46" s="426"/>
      <c r="D46" s="426"/>
      <c r="E46" s="426"/>
      <c r="F46" s="426"/>
    </row>
    <row r="47" spans="1:7" x14ac:dyDescent="0.2">
      <c r="A47" s="430" t="s">
        <v>457</v>
      </c>
      <c r="B47" s="426"/>
      <c r="C47" s="426"/>
      <c r="D47" s="426"/>
      <c r="E47" s="426"/>
      <c r="F47" s="426"/>
    </row>
    <row r="48" spans="1:7" x14ac:dyDescent="0.2">
      <c r="A48" s="430" t="s">
        <v>458</v>
      </c>
      <c r="B48" s="426"/>
      <c r="C48" s="426"/>
      <c r="D48" s="426"/>
      <c r="E48" s="426"/>
      <c r="F48" s="426"/>
    </row>
    <row r="49" spans="1:7" x14ac:dyDescent="0.2">
      <c r="A49" s="426"/>
      <c r="B49" s="426"/>
      <c r="C49" s="426"/>
      <c r="D49" s="426"/>
      <c r="E49" s="426"/>
      <c r="F49" s="426"/>
      <c r="G49" s="426"/>
    </row>
    <row r="50" spans="1:7" x14ac:dyDescent="0.2">
      <c r="A50" s="426" t="s">
        <v>525</v>
      </c>
      <c r="B50" s="426"/>
      <c r="C50" s="426"/>
      <c r="D50" s="426"/>
      <c r="E50" s="426"/>
      <c r="F50" s="426"/>
      <c r="G50" s="426"/>
    </row>
    <row r="51" spans="1:7" x14ac:dyDescent="0.2">
      <c r="A51" s="426" t="s">
        <v>526</v>
      </c>
      <c r="B51" s="426"/>
      <c r="C51" s="426"/>
      <c r="D51" s="426"/>
      <c r="E51" s="426"/>
      <c r="F51" s="426"/>
      <c r="G51" s="426"/>
    </row>
    <row r="52" spans="1:7" x14ac:dyDescent="0.2">
      <c r="A52" s="426" t="s">
        <v>527</v>
      </c>
      <c r="B52" s="426"/>
      <c r="C52" s="426"/>
      <c r="D52" s="426"/>
      <c r="E52" s="426"/>
      <c r="F52" s="426"/>
      <c r="G52" s="426"/>
    </row>
    <row r="53" spans="1:7" x14ac:dyDescent="0.2">
      <c r="A53" s="426" t="s">
        <v>528</v>
      </c>
      <c r="B53" s="426"/>
      <c r="C53" s="426"/>
      <c r="D53" s="426"/>
      <c r="E53" s="426"/>
      <c r="F53" s="426"/>
      <c r="G53" s="426"/>
    </row>
    <row r="54" spans="1:7" x14ac:dyDescent="0.2">
      <c r="A54" s="426" t="s">
        <v>529</v>
      </c>
      <c r="B54" s="426"/>
      <c r="C54" s="426"/>
      <c r="D54" s="426"/>
      <c r="E54" s="426"/>
      <c r="F54" s="426"/>
      <c r="G54" s="426"/>
    </row>
    <row r="55" spans="1:7" x14ac:dyDescent="0.2">
      <c r="A55" s="426"/>
      <c r="B55" s="426"/>
      <c r="C55" s="426"/>
      <c r="D55" s="426"/>
      <c r="E55" s="426"/>
      <c r="F55" s="426"/>
      <c r="G55" s="426"/>
    </row>
    <row r="56" spans="1:7" x14ac:dyDescent="0.2">
      <c r="A56" s="430" t="s">
        <v>467</v>
      </c>
      <c r="B56" s="426"/>
      <c r="C56" s="426"/>
      <c r="D56" s="426"/>
      <c r="E56" s="426"/>
      <c r="F56" s="426"/>
    </row>
    <row r="57" spans="1:7" x14ac:dyDescent="0.2">
      <c r="A57" s="430" t="s">
        <v>468</v>
      </c>
      <c r="B57" s="426"/>
      <c r="C57" s="426"/>
      <c r="D57" s="426"/>
      <c r="E57" s="426"/>
      <c r="F57" s="426"/>
    </row>
    <row r="58" spans="1:7" x14ac:dyDescent="0.2">
      <c r="A58" s="430" t="s">
        <v>469</v>
      </c>
      <c r="B58" s="426"/>
      <c r="C58" s="426"/>
      <c r="D58" s="426"/>
      <c r="E58" s="426"/>
      <c r="F58" s="426"/>
    </row>
    <row r="59" spans="1:7" x14ac:dyDescent="0.2">
      <c r="A59" s="430"/>
      <c r="B59" s="426"/>
      <c r="C59" s="426"/>
      <c r="D59" s="426"/>
      <c r="E59" s="426"/>
      <c r="F59" s="426"/>
    </row>
    <row r="60" spans="1:7" x14ac:dyDescent="0.2">
      <c r="A60" s="426" t="s">
        <v>608</v>
      </c>
      <c r="B60" s="426"/>
      <c r="C60" s="426"/>
      <c r="D60" s="426"/>
      <c r="E60" s="426"/>
      <c r="F60" s="426"/>
      <c r="G60" s="426"/>
    </row>
    <row r="61" spans="1:7" x14ac:dyDescent="0.2">
      <c r="A61" s="426" t="s">
        <v>609</v>
      </c>
      <c r="B61" s="426"/>
      <c r="C61" s="426"/>
      <c r="D61" s="426"/>
      <c r="E61" s="426"/>
      <c r="F61" s="426"/>
      <c r="G61" s="426"/>
    </row>
    <row r="62" spans="1:7" x14ac:dyDescent="0.2">
      <c r="A62" s="426" t="s">
        <v>610</v>
      </c>
      <c r="B62" s="426"/>
      <c r="C62" s="426"/>
      <c r="D62" s="426"/>
      <c r="E62" s="426"/>
      <c r="F62" s="426"/>
      <c r="G62" s="426"/>
    </row>
    <row r="63" spans="1:7" x14ac:dyDescent="0.2">
      <c r="A63" s="426" t="s">
        <v>611</v>
      </c>
      <c r="B63" s="426"/>
      <c r="C63" s="426"/>
      <c r="D63" s="426"/>
      <c r="E63" s="426"/>
      <c r="F63" s="426"/>
      <c r="G63" s="426"/>
    </row>
    <row r="64" spans="1:7" x14ac:dyDescent="0.2">
      <c r="A64" s="426" t="s">
        <v>612</v>
      </c>
      <c r="B64" s="426"/>
      <c r="C64" s="426"/>
      <c r="D64" s="426"/>
      <c r="E64" s="426"/>
      <c r="F64" s="426"/>
      <c r="G64" s="426"/>
    </row>
    <row r="66" spans="1:6" x14ac:dyDescent="0.2">
      <c r="A66" s="430" t="s">
        <v>575</v>
      </c>
      <c r="B66" s="426"/>
      <c r="C66" s="426"/>
      <c r="D66" s="426"/>
      <c r="E66" s="426"/>
      <c r="F66" s="426"/>
    </row>
    <row r="67" spans="1:6" x14ac:dyDescent="0.2">
      <c r="A67" s="430" t="s">
        <v>576</v>
      </c>
      <c r="B67" s="426"/>
      <c r="C67" s="426"/>
      <c r="D67" s="426"/>
      <c r="E67" s="426"/>
      <c r="F67" s="426"/>
    </row>
    <row r="68" spans="1:6" x14ac:dyDescent="0.2">
      <c r="A68" s="430" t="s">
        <v>577</v>
      </c>
      <c r="B68" s="426"/>
      <c r="C68" s="426"/>
      <c r="D68" s="426"/>
      <c r="E68" s="426"/>
      <c r="F68" s="426"/>
    </row>
    <row r="69" spans="1:6" x14ac:dyDescent="0.2">
      <c r="A69" s="430" t="s">
        <v>578</v>
      </c>
      <c r="B69" s="426"/>
      <c r="C69" s="426"/>
      <c r="D69" s="426"/>
      <c r="E69" s="426"/>
      <c r="F69" s="426"/>
    </row>
    <row r="70" spans="1:6" x14ac:dyDescent="0.2">
      <c r="A70" s="430" t="s">
        <v>579</v>
      </c>
      <c r="B70" s="426"/>
      <c r="C70" s="426"/>
      <c r="D70" s="426"/>
      <c r="E70" s="426"/>
      <c r="F70" s="426"/>
    </row>
    <row r="71" spans="1:6" x14ac:dyDescent="0.2">
      <c r="A71" s="426"/>
    </row>
    <row r="72" spans="1:6" x14ac:dyDescent="0.2">
      <c r="A72" s="426" t="s">
        <v>496</v>
      </c>
    </row>
    <row r="73" spans="1:6" x14ac:dyDescent="0.2">
      <c r="A73" s="426"/>
    </row>
    <row r="74" spans="1:6" x14ac:dyDescent="0.2">
      <c r="A74" s="426"/>
    </row>
    <row r="75" spans="1:6" x14ac:dyDescent="0.2">
      <c r="A75" s="426"/>
    </row>
    <row r="78" spans="1:6" x14ac:dyDescent="0.2">
      <c r="A78" s="427"/>
    </row>
    <row r="80" spans="1:6" x14ac:dyDescent="0.2">
      <c r="A80" s="426"/>
    </row>
    <row r="81" spans="1:1" x14ac:dyDescent="0.2">
      <c r="A81" s="426"/>
    </row>
    <row r="82" spans="1:1" x14ac:dyDescent="0.2">
      <c r="A82" s="426"/>
    </row>
    <row r="83" spans="1:1" x14ac:dyDescent="0.2">
      <c r="A83" s="426"/>
    </row>
    <row r="84" spans="1:1" x14ac:dyDescent="0.2">
      <c r="A84" s="426"/>
    </row>
    <row r="85" spans="1:1" x14ac:dyDescent="0.2">
      <c r="A85" s="426"/>
    </row>
    <row r="86" spans="1:1" x14ac:dyDescent="0.2">
      <c r="A86" s="426"/>
    </row>
    <row r="87" spans="1:1" x14ac:dyDescent="0.2">
      <c r="A87" s="426"/>
    </row>
    <row r="88" spans="1:1" x14ac:dyDescent="0.2">
      <c r="A88" s="426"/>
    </row>
    <row r="89" spans="1:1" x14ac:dyDescent="0.2">
      <c r="A89" s="426"/>
    </row>
    <row r="90" spans="1:1" x14ac:dyDescent="0.2">
      <c r="A90" s="426"/>
    </row>
    <row r="92" spans="1:1" x14ac:dyDescent="0.2">
      <c r="A92" s="426"/>
    </row>
    <row r="93" spans="1:1" x14ac:dyDescent="0.2">
      <c r="A93" s="426"/>
    </row>
    <row r="94" spans="1:1" x14ac:dyDescent="0.2">
      <c r="A94" s="426"/>
    </row>
    <row r="95" spans="1:1" x14ac:dyDescent="0.2">
      <c r="A95" s="426"/>
    </row>
    <row r="96" spans="1:1" x14ac:dyDescent="0.2">
      <c r="A96" s="426"/>
    </row>
    <row r="97" spans="1:1" x14ac:dyDescent="0.2">
      <c r="A97" s="426"/>
    </row>
    <row r="98" spans="1:1" x14ac:dyDescent="0.2">
      <c r="A98" s="426"/>
    </row>
    <row r="99" spans="1:1" x14ac:dyDescent="0.2">
      <c r="A99" s="426"/>
    </row>
    <row r="100" spans="1:1" x14ac:dyDescent="0.2">
      <c r="A100" s="426"/>
    </row>
    <row r="101" spans="1:1" x14ac:dyDescent="0.2">
      <c r="A101" s="426"/>
    </row>
    <row r="102" spans="1:1" x14ac:dyDescent="0.2">
      <c r="A102" s="426"/>
    </row>
    <row r="103" spans="1:1" x14ac:dyDescent="0.2">
      <c r="A103" s="426"/>
    </row>
    <row r="104" spans="1:1" x14ac:dyDescent="0.2">
      <c r="A104" s="426"/>
    </row>
    <row r="105" spans="1:1" x14ac:dyDescent="0.2">
      <c r="A105" s="426"/>
    </row>
    <row r="106" spans="1:1" x14ac:dyDescent="0.2">
      <c r="A106" s="426"/>
    </row>
  </sheetData>
  <sheetProtection sheet="1" objects="1" scenarios="1"/>
  <pageMargins left="0.7" right="0.7" top="0.75" bottom="0.75" header="0.3" footer="0.3"/>
  <pageSetup orientation="portrait" r:id="rId1"/>
  <headerFooter>
    <oddFooter>&amp;Lrevised 10/02/09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6"/>
  <sheetViews>
    <sheetView workbookViewId="0">
      <selection activeCell="D37" sqref="D37"/>
    </sheetView>
  </sheetViews>
  <sheetFormatPr defaultRowHeight="15.75" x14ac:dyDescent="0.2"/>
  <cols>
    <col min="1" max="1" width="8.88671875" style="146"/>
    <col min="2" max="2" width="24.33203125" style="82" customWidth="1"/>
    <col min="3" max="3" width="10.77734375" style="82" customWidth="1"/>
    <col min="4" max="4" width="5.77734375" style="82" customWidth="1"/>
    <col min="5" max="5" width="14" style="82" customWidth="1"/>
    <col min="6" max="6" width="13.33203125" style="82" customWidth="1"/>
    <col min="7" max="7" width="12.33203125" style="82" customWidth="1"/>
    <col min="8" max="16384" width="8.88671875" style="146"/>
  </cols>
  <sheetData>
    <row r="1" spans="2:9" x14ac:dyDescent="0.2">
      <c r="B1" s="86"/>
      <c r="C1" s="86"/>
      <c r="D1" s="85" t="s">
        <v>1</v>
      </c>
      <c r="E1" s="86"/>
      <c r="F1" s="86"/>
      <c r="G1" s="199"/>
      <c r="I1" s="69">
        <f>inputPrYr!C10</f>
        <v>2013</v>
      </c>
    </row>
    <row r="2" spans="2:9" x14ac:dyDescent="0.2">
      <c r="B2" s="880" t="str">
        <f>CONCATENATE("To the Clerk of ",(inputPrYr!D4),", State of Kansas")</f>
        <v>To the Clerk of Dickinson County, State of Kansas</v>
      </c>
      <c r="C2" s="842"/>
      <c r="D2" s="842"/>
      <c r="E2" s="842"/>
      <c r="F2" s="842"/>
      <c r="G2" s="842"/>
    </row>
    <row r="3" spans="2:9" x14ac:dyDescent="0.2">
      <c r="B3" s="200" t="s">
        <v>679</v>
      </c>
      <c r="C3" s="96"/>
      <c r="D3" s="96"/>
      <c r="E3" s="96"/>
      <c r="F3" s="96"/>
      <c r="G3" s="96"/>
    </row>
    <row r="4" spans="2:9" x14ac:dyDescent="0.2">
      <c r="B4" s="841" t="str">
        <f>(inputPrYr!D3)</f>
        <v>City of Herington</v>
      </c>
      <c r="C4" s="879"/>
      <c r="D4" s="879"/>
      <c r="E4" s="879"/>
      <c r="F4" s="879"/>
      <c r="G4" s="879"/>
    </row>
    <row r="5" spans="2:9" x14ac:dyDescent="0.2">
      <c r="B5" s="880" t="s">
        <v>181</v>
      </c>
      <c r="C5" s="842"/>
      <c r="D5" s="842"/>
      <c r="E5" s="842"/>
      <c r="F5" s="842"/>
      <c r="G5" s="842"/>
    </row>
    <row r="6" spans="2:9" x14ac:dyDescent="0.2">
      <c r="B6" s="880" t="str">
        <f>CONCATENATE("was duly approved and adopted as the maximum expenditures for the various funds for the year ",I1,"; and")</f>
        <v>was duly approved and adopted as the maximum expenditures for the various funds for the year 2013; and</v>
      </c>
      <c r="C6" s="842"/>
      <c r="D6" s="842"/>
      <c r="E6" s="842"/>
      <c r="F6" s="842"/>
      <c r="G6" s="842"/>
    </row>
    <row r="7" spans="2:9" x14ac:dyDescent="0.2">
      <c r="B7" s="200" t="str">
        <f>CONCATENATE("(3) the Amounts(s) of ",I1-1," Ad Valorem Tax are within statutory limitations.")</f>
        <v>(3) the Amounts(s) of 2012 Ad Valorem Tax are within statutory limitations.</v>
      </c>
      <c r="C7" s="96"/>
      <c r="D7" s="96"/>
      <c r="E7" s="96"/>
      <c r="F7" s="96"/>
      <c r="G7" s="96"/>
    </row>
    <row r="8" spans="2:9" x14ac:dyDescent="0.2">
      <c r="B8" s="86"/>
      <c r="C8" s="86"/>
      <c r="D8" s="86"/>
      <c r="E8" s="201" t="str">
        <f>CONCATENATE("",I1," Adopted Budget")</f>
        <v>2013 Adopted Budget</v>
      </c>
      <c r="F8" s="202"/>
      <c r="G8" s="203"/>
    </row>
    <row r="9" spans="2:9" ht="21" customHeight="1" x14ac:dyDescent="0.2">
      <c r="B9" s="86"/>
      <c r="C9" s="86"/>
      <c r="D9" s="204"/>
      <c r="E9" s="205" t="s">
        <v>278</v>
      </c>
      <c r="F9" s="206" t="str">
        <f>CONCATENATE("Amount of ",I1-1,"")</f>
        <v>Amount of 2012</v>
      </c>
      <c r="G9" s="206" t="s">
        <v>279</v>
      </c>
    </row>
    <row r="10" spans="2:9" x14ac:dyDescent="0.2">
      <c r="B10" s="93"/>
      <c r="C10" s="86"/>
      <c r="D10" s="206" t="s">
        <v>280</v>
      </c>
      <c r="E10" s="207" t="s">
        <v>685</v>
      </c>
      <c r="F10" s="208" t="s">
        <v>107</v>
      </c>
      <c r="G10" s="207" t="s">
        <v>281</v>
      </c>
    </row>
    <row r="11" spans="2:9" x14ac:dyDescent="0.2">
      <c r="B11" s="209" t="s">
        <v>282</v>
      </c>
      <c r="C11" s="101"/>
      <c r="D11" s="210" t="s">
        <v>283</v>
      </c>
      <c r="E11" s="210" t="s">
        <v>686</v>
      </c>
      <c r="F11" s="211" t="s">
        <v>108</v>
      </c>
      <c r="G11" s="210" t="s">
        <v>284</v>
      </c>
    </row>
    <row r="12" spans="2:9" x14ac:dyDescent="0.2">
      <c r="B12" s="169" t="str">
        <f>CONCATENATE("Computation to Determine Limit for ",I1,"")</f>
        <v>Computation to Determine Limit for 2013</v>
      </c>
      <c r="C12" s="134"/>
      <c r="D12" s="212">
        <v>2</v>
      </c>
      <c r="E12" s="213"/>
      <c r="F12" s="213"/>
      <c r="G12" s="213"/>
    </row>
    <row r="13" spans="2:9" x14ac:dyDescent="0.2">
      <c r="B13" s="169" t="s">
        <v>995</v>
      </c>
      <c r="C13" s="101"/>
      <c r="D13" s="210">
        <v>3</v>
      </c>
      <c r="E13" s="207"/>
      <c r="F13" s="207"/>
      <c r="G13" s="207"/>
    </row>
    <row r="14" spans="2:9" x14ac:dyDescent="0.2">
      <c r="B14" s="169" t="s">
        <v>65</v>
      </c>
      <c r="C14" s="101"/>
      <c r="D14" s="210">
        <v>4</v>
      </c>
      <c r="E14" s="207"/>
      <c r="F14" s="207"/>
      <c r="G14" s="207"/>
    </row>
    <row r="15" spans="2:9" x14ac:dyDescent="0.2">
      <c r="B15" s="169" t="s">
        <v>285</v>
      </c>
      <c r="C15" s="134"/>
      <c r="D15" s="212">
        <v>5</v>
      </c>
      <c r="E15" s="214"/>
      <c r="F15" s="214"/>
      <c r="G15" s="214"/>
    </row>
    <row r="16" spans="2:9" x14ac:dyDescent="0.2">
      <c r="B16" s="169" t="s">
        <v>286</v>
      </c>
      <c r="C16" s="134"/>
      <c r="D16" s="212">
        <v>6</v>
      </c>
      <c r="E16" s="214"/>
      <c r="F16" s="214"/>
      <c r="G16" s="214"/>
    </row>
    <row r="17" spans="2:7" x14ac:dyDescent="0.2">
      <c r="B17" s="352" t="str">
        <f>IF(inputPrYr!D24="","","Computation to Determine State Library Grant")</f>
        <v>Computation to Determine State Library Grant</v>
      </c>
      <c r="C17" s="134"/>
      <c r="D17" s="222">
        <f>IF(inputPrYr!D24="","",'Library Grant '!F40)</f>
        <v>7</v>
      </c>
      <c r="E17" s="214"/>
      <c r="F17" s="214"/>
      <c r="G17" s="214"/>
    </row>
    <row r="18" spans="2:7" x14ac:dyDescent="0.2">
      <c r="B18" s="215" t="s">
        <v>287</v>
      </c>
      <c r="C18" s="216" t="s">
        <v>288</v>
      </c>
      <c r="D18" s="217"/>
      <c r="E18" s="218"/>
      <c r="F18" s="218"/>
      <c r="G18" s="218"/>
    </row>
    <row r="19" spans="2:7" x14ac:dyDescent="0.2">
      <c r="B19" s="106" t="s">
        <v>275</v>
      </c>
      <c r="C19" s="219" t="str">
        <f>IF(inputPrYr!C22&gt;0,(inputPrYr!C22),"  ")</f>
        <v>12-101a</v>
      </c>
      <c r="D19" s="212">
        <f>general!D59</f>
        <v>8</v>
      </c>
      <c r="E19" s="380">
        <f>IF(general!$E$111&lt;&gt;0,general!$E$111,"  ")</f>
        <v>1717047</v>
      </c>
      <c r="F19" s="778">
        <f>IF(general!$E$118&lt;&gt;0,general!$E$118,0)</f>
        <v>244695</v>
      </c>
      <c r="G19" s="779" t="str">
        <f>IF($C$65=0,"",ROUND(F19/$C$65*1000,3))</f>
        <v/>
      </c>
    </row>
    <row r="20" spans="2:7" x14ac:dyDescent="0.2">
      <c r="B20" s="126" t="str">
        <f>IF(inputPrYr!$B23&gt;"  ",(inputPrYr!$B23),"  ")</f>
        <v>Debt Service</v>
      </c>
      <c r="C20" s="219" t="str">
        <f>IF(inputPrYr!C23&gt;0,(inputPrYr!C23),"  ")</f>
        <v>10-113</v>
      </c>
      <c r="D20" s="212">
        <f>IF('DebtSvs-Library'!C82&gt;0,'DebtSvs-Library'!C82,"  ")</f>
        <v>9</v>
      </c>
      <c r="E20" s="380">
        <f>IF('DebtSvs-Library'!$E$33&lt;&gt;0,'DebtSvs-Library'!$E$33,"  ")</f>
        <v>187180</v>
      </c>
      <c r="F20" s="778">
        <f>IF('DebtSvs-Library'!$E$40&lt;&gt;0,'DebtSvs-Library'!$E$40,0)</f>
        <v>27798.619999999995</v>
      </c>
      <c r="G20" s="779" t="str">
        <f t="shared" ref="G20:G31" si="0">IF($C$65=0,"",ROUND(F20/$C$65*1000,3))</f>
        <v/>
      </c>
    </row>
    <row r="21" spans="2:7" x14ac:dyDescent="0.2">
      <c r="B21" s="126" t="str">
        <f>IF(inputPrYr!$B24&gt;"  ",(inputPrYr!$B24),"  ")</f>
        <v>Library</v>
      </c>
      <c r="C21" s="219" t="str">
        <f>IF(inputPrYr!C24&gt;0,(inputPrYr!C24),"  ")</f>
        <v>12-1220</v>
      </c>
      <c r="D21" s="212">
        <f>IF('DebtSvs-Library'!C82&gt;0,'DebtSvs-Library'!C82,"  ")</f>
        <v>9</v>
      </c>
      <c r="E21" s="380">
        <f>IF('DebtSvs-Library'!$E$73&lt;&gt;0,'DebtSvs-Library'!$E$73,"  ")</f>
        <v>86216</v>
      </c>
      <c r="F21" s="778">
        <f>IF('DebtSvs-Library'!$E$80&lt;&gt;0,'DebtSvs-Library'!$E$80,0)</f>
        <v>75734</v>
      </c>
      <c r="G21" s="779" t="str">
        <f>IF($C$65=0,"",ROUND(F21/$C$65*1000,3))</f>
        <v/>
      </c>
    </row>
    <row r="22" spans="2:7" x14ac:dyDescent="0.2">
      <c r="B22" s="126" t="str">
        <f>IF(inputPrYr!$B26&gt;"  ",(inputPrYr!$B26),"  ")</f>
        <v>Employee Benefit</v>
      </c>
      <c r="C22" s="219" t="str">
        <f>IF(inputPrYr!C26&gt;0,(inputPrYr!C26),"  ")</f>
        <v>12-16,102</v>
      </c>
      <c r="D22" s="212">
        <f>IF('levy page9'!C82&gt;0,'levy page9'!C82,"  ")</f>
        <v>10</v>
      </c>
      <c r="E22" s="380">
        <f>IF('levy page9'!$E$33&gt;0,'levy page9'!$E$33,"  ")</f>
        <v>378300</v>
      </c>
      <c r="F22" s="778">
        <f>IF('levy page9'!$E$40&lt;&gt;0,'levy page9'!$E$40,0)</f>
        <v>332498</v>
      </c>
      <c r="G22" s="779" t="str">
        <f t="shared" si="0"/>
        <v/>
      </c>
    </row>
    <row r="23" spans="2:7" x14ac:dyDescent="0.2">
      <c r="B23" s="126" t="str">
        <f>IF(inputPrYr!$B27&gt;"  ",(inputPrYr!$B27),"  ")</f>
        <v>Hospital</v>
      </c>
      <c r="C23" s="219" t="str">
        <f>IF(inputPrYr!C27&gt;0,(inputPrYr!C27),"  ")</f>
        <v>14-696</v>
      </c>
      <c r="D23" s="212">
        <f>IF('levy page9'!C82&gt;0,'levy page9'!C82,"  ")</f>
        <v>10</v>
      </c>
      <c r="E23" s="380">
        <f>IF('levy page9'!$E$73&gt;0,'levy page9'!$E$73,"  ")</f>
        <v>31250</v>
      </c>
      <c r="F23" s="778">
        <f>IF('levy page9'!$E$80&lt;&gt;0,'levy page9'!$E$80,0)</f>
        <v>30502</v>
      </c>
      <c r="G23" s="779" t="str">
        <f t="shared" si="0"/>
        <v/>
      </c>
    </row>
    <row r="24" spans="2:7" x14ac:dyDescent="0.2">
      <c r="B24" s="126" t="str">
        <f>IF(inputPrYr!$B28&gt;"  ",(inputPrYr!$B28),"  ")</f>
        <v xml:space="preserve">  </v>
      </c>
      <c r="C24" s="219" t="str">
        <f>IF(inputPrYr!C28&gt;0,(inputPrYr!C28),"  ")</f>
        <v xml:space="preserve">  </v>
      </c>
      <c r="D24" s="212" t="str">
        <f>IF('levy page10'!C82&gt;0,'levy page10'!C82,"  ")</f>
        <v xml:space="preserve">  </v>
      </c>
      <c r="E24" s="380" t="str">
        <f>IF('levy page10'!$E$33&gt;0,'levy page10'!$E$33,"  ")</f>
        <v xml:space="preserve">  </v>
      </c>
      <c r="F24" s="778">
        <f>IF('levy page10'!$E$40&lt;&gt;0,'levy page10'!$E$40,0)</f>
        <v>0</v>
      </c>
      <c r="G24" s="779" t="str">
        <f t="shared" si="0"/>
        <v/>
      </c>
    </row>
    <row r="25" spans="2:7" x14ac:dyDescent="0.2">
      <c r="B25" s="126" t="str">
        <f>IF(inputPrYr!$B29&gt;"  ",(inputPrYr!$B29),"  ")</f>
        <v xml:space="preserve">  </v>
      </c>
      <c r="C25" s="219" t="str">
        <f>IF(inputPrYr!C29&gt;0,(inputPrYr!C29),"  ")</f>
        <v xml:space="preserve">  </v>
      </c>
      <c r="D25" s="212" t="str">
        <f>IF('levy page10'!C82&gt;0,'levy page10'!C82,"  ")</f>
        <v xml:space="preserve">  </v>
      </c>
      <c r="E25" s="380" t="str">
        <f>IF('levy page10'!$E$73&gt;0,'levy page10'!$E$73,"  ")</f>
        <v xml:space="preserve">  </v>
      </c>
      <c r="F25" s="778">
        <f>IF('levy page10'!$E$80&lt;&gt;0,'levy page10'!$E$80,0)</f>
        <v>0</v>
      </c>
      <c r="G25" s="779" t="str">
        <f t="shared" si="0"/>
        <v/>
      </c>
    </row>
    <row r="26" spans="2:7" x14ac:dyDescent="0.2">
      <c r="B26" s="126" t="str">
        <f>IF(inputPrYr!$B30&gt;"  ",(inputPrYr!$B30),"  ")</f>
        <v xml:space="preserve">  </v>
      </c>
      <c r="C26" s="219" t="str">
        <f>IF(inputPrYr!C30&gt;0,(inputPrYr!C30),"  ")</f>
        <v xml:space="preserve">  </v>
      </c>
      <c r="D26" s="212" t="str">
        <f>IF('levy page11'!C82&gt;0,'levy page11'!C82,"  ")</f>
        <v xml:space="preserve">  </v>
      </c>
      <c r="E26" s="380" t="str">
        <f>IF('levy page11'!$E$33&gt;0,'levy page11'!$E$33,"  ")</f>
        <v xml:space="preserve">  </v>
      </c>
      <c r="F26" s="778">
        <f>IF('levy page11'!$E$40&lt;&gt;0,'levy page11'!$E$40,0)</f>
        <v>0</v>
      </c>
      <c r="G26" s="779" t="str">
        <f t="shared" si="0"/>
        <v/>
      </c>
    </row>
    <row r="27" spans="2:7" x14ac:dyDescent="0.2">
      <c r="B27" s="126" t="str">
        <f>IF(inputPrYr!$B31&gt;"  ",(inputPrYr!$B31),"  ")</f>
        <v xml:space="preserve">  </v>
      </c>
      <c r="C27" s="219" t="str">
        <f>IF(inputPrYr!C31&gt;0,(inputPrYr!C31),"  ")</f>
        <v xml:space="preserve">  </v>
      </c>
      <c r="D27" s="212" t="str">
        <f>IF('levy page11'!C82&gt;0,'levy page11'!C82,"  ")</f>
        <v xml:space="preserve">  </v>
      </c>
      <c r="E27" s="380" t="str">
        <f>IF('levy page11'!$E$73&gt;0,'levy page11'!$E$73,"  ")</f>
        <v xml:space="preserve">  </v>
      </c>
      <c r="F27" s="778">
        <f>IF('levy page11'!$E$80&lt;&gt;0,'levy page11'!$E$80,0)</f>
        <v>0</v>
      </c>
      <c r="G27" s="779" t="str">
        <f t="shared" si="0"/>
        <v/>
      </c>
    </row>
    <row r="28" spans="2:7" x14ac:dyDescent="0.2">
      <c r="B28" s="126" t="str">
        <f>IF(inputPrYr!$B32&gt;"  ",(inputPrYr!$B32),"  ")</f>
        <v xml:space="preserve">  </v>
      </c>
      <c r="C28" s="219" t="str">
        <f>IF(inputPrYr!C32&gt;0,(inputPrYr!C32),"  ")</f>
        <v xml:space="preserve">  </v>
      </c>
      <c r="D28" s="212" t="str">
        <f>IF('levy page12'!C82&gt;0,'levy page12'!C82,"  ")</f>
        <v xml:space="preserve">  </v>
      </c>
      <c r="E28" s="380" t="str">
        <f>IF('levy page12'!$E$33&gt;0,'levy page12'!$E$33,"  ")</f>
        <v xml:space="preserve">  </v>
      </c>
      <c r="F28" s="778">
        <f>IF('levy page12'!$E$40&lt;&gt;0,'levy page12'!$E$40,0)</f>
        <v>0</v>
      </c>
      <c r="G28" s="779" t="str">
        <f t="shared" si="0"/>
        <v/>
      </c>
    </row>
    <row r="29" spans="2:7" x14ac:dyDescent="0.2">
      <c r="B29" s="126" t="str">
        <f>IF(inputPrYr!$B33&gt;"  ",(inputPrYr!$B33),"  ")</f>
        <v xml:space="preserve">  </v>
      </c>
      <c r="C29" s="219" t="str">
        <f>IF(inputPrYr!C33&gt;0,(inputPrYr!C33),"  ")</f>
        <v xml:space="preserve">  </v>
      </c>
      <c r="D29" s="212" t="str">
        <f>IF('levy page12'!C82&gt;0,'levy page12'!C82,"  ")</f>
        <v xml:space="preserve">  </v>
      </c>
      <c r="E29" s="380" t="str">
        <f>IF('levy page12'!$E$73&gt;0,'levy page12'!$E$73,"  ")</f>
        <v xml:space="preserve">  </v>
      </c>
      <c r="F29" s="778">
        <f>IF('levy page12'!$E$80&lt;&gt;0,'levy page12'!$E$80,0)</f>
        <v>0</v>
      </c>
      <c r="G29" s="779" t="str">
        <f t="shared" si="0"/>
        <v/>
      </c>
    </row>
    <row r="30" spans="2:7" x14ac:dyDescent="0.2">
      <c r="B30" s="126" t="str">
        <f>IF(inputPrYr!$B34&gt;"  ",(inputPrYr!$B34),"  ")</f>
        <v xml:space="preserve">  </v>
      </c>
      <c r="C30" s="219" t="str">
        <f>IF(inputPrYr!C34&gt;0,(inputPrYr!C34),"  ")</f>
        <v xml:space="preserve">  </v>
      </c>
      <c r="D30" s="212" t="str">
        <f>IF('levy page13'!C82&gt;0,'levy page13'!C82,"  ")</f>
        <v xml:space="preserve">  </v>
      </c>
      <c r="E30" s="380" t="str">
        <f>IF('levy page13'!$E$33&gt;0,'levy page13'!$E$33,"  ")</f>
        <v xml:space="preserve">  </v>
      </c>
      <c r="F30" s="778">
        <f>IF('levy page13'!$E$40&lt;&gt;0,'levy page13'!$E$40,0)</f>
        <v>0</v>
      </c>
      <c r="G30" s="779" t="str">
        <f t="shared" si="0"/>
        <v/>
      </c>
    </row>
    <row r="31" spans="2:7" x14ac:dyDescent="0.2">
      <c r="B31" s="126" t="str">
        <f>IF(inputPrYr!$B35&gt;"  ",(inputPrYr!$B35),"  ")</f>
        <v xml:space="preserve">  </v>
      </c>
      <c r="C31" s="219" t="str">
        <f>IF(inputPrYr!C35&gt;0,(inputPrYr!C35),"  ")</f>
        <v xml:space="preserve">  </v>
      </c>
      <c r="D31" s="212" t="str">
        <f>IF('levy page13'!C82&gt;0,'levy page13'!C82,"  ")</f>
        <v xml:space="preserve">  </v>
      </c>
      <c r="E31" s="380" t="str">
        <f>IF('levy page13'!$E$73&gt;0,'levy page13'!$E$73,"  ")</f>
        <v xml:space="preserve">  </v>
      </c>
      <c r="F31" s="778">
        <f>IF('levy page13'!$E$80&lt;&gt;0,'levy page13'!$E$80,0)</f>
        <v>0</v>
      </c>
      <c r="G31" s="779" t="str">
        <f t="shared" si="0"/>
        <v/>
      </c>
    </row>
    <row r="32" spans="2:7" x14ac:dyDescent="0.2">
      <c r="B32" s="220" t="str">
        <f>IF(inputPrYr!$B39&gt;"  ",(inputPrYr!$B39),"  ")</f>
        <v>Special Highway</v>
      </c>
      <c r="C32" s="221"/>
      <c r="D32" s="222">
        <f>IF('Sp Hiway'!C69&gt;0,'Sp Hiway'!C69,"  ")</f>
        <v>11</v>
      </c>
      <c r="E32" s="380">
        <f>IF('Sp Hiway'!$E$30&gt;0,'Sp Hiway'!$E$30,"  ")</f>
        <v>85500</v>
      </c>
      <c r="F32" s="380"/>
      <c r="G32" s="780"/>
    </row>
    <row r="33" spans="2:7" x14ac:dyDescent="0.2">
      <c r="B33" s="220" t="str">
        <f>IF(inputPrYr!$B40&gt;"  ",(inputPrYr!$B40),"  ")</f>
        <v>Convention &amp; Tourism</v>
      </c>
      <c r="C33" s="223"/>
      <c r="D33" s="222">
        <f>IF('Sp Hiway'!C69&gt;0,'Sp Hiway'!C69,"  ")</f>
        <v>11</v>
      </c>
      <c r="E33" s="380">
        <f>IF('Sp Hiway'!$E$63&gt;0,'Sp Hiway'!$E$63,"  ")</f>
        <v>16000</v>
      </c>
      <c r="F33" s="380"/>
      <c r="G33" s="780"/>
    </row>
    <row r="34" spans="2:7" x14ac:dyDescent="0.2">
      <c r="B34" s="220" t="str">
        <f>IF(inputPrYr!$B41&gt;"  ",(inputPrYr!$B41),"  ")</f>
        <v>Special Park</v>
      </c>
      <c r="C34" s="224"/>
      <c r="D34" s="222">
        <f>IF('no levy page15'!C69&gt;0,'no levy page15'!C69,"  ")</f>
        <v>12</v>
      </c>
      <c r="E34" s="380">
        <f>IF('no levy page15'!$E$30&gt;0,'no levy page15'!$E$30,"  ")</f>
        <v>30000</v>
      </c>
      <c r="F34" s="380"/>
      <c r="G34" s="780"/>
    </row>
    <row r="35" spans="2:7" x14ac:dyDescent="0.2">
      <c r="B35" s="220" t="str">
        <f>IF(inputPrYr!$B42&gt;"  ",(inputPrYr!$B42),"  ")</f>
        <v>Solid Waste</v>
      </c>
      <c r="C35" s="224"/>
      <c r="D35" s="222">
        <f>IF('no levy page15'!C69&gt;0,'no levy page15'!C69,"  ")</f>
        <v>12</v>
      </c>
      <c r="E35" s="380">
        <f>IF('no levy page15'!$E$63&gt;0,'no levy page15'!$E$63,"  ")</f>
        <v>232000</v>
      </c>
      <c r="F35" s="380"/>
      <c r="G35" s="780"/>
    </row>
    <row r="36" spans="2:7" x14ac:dyDescent="0.2">
      <c r="B36" s="220" t="str">
        <f>IF(inputPrYr!$B43&gt;"  ",(inputPrYr!$B43),"  ")</f>
        <v>Airport</v>
      </c>
      <c r="C36" s="224"/>
      <c r="D36" s="222">
        <f>IF('no levy page16'!C69&gt;0,'no levy page16'!C69,"  ")</f>
        <v>13</v>
      </c>
      <c r="E36" s="380">
        <f>IF('no levy page16'!$E$30&gt;0,'no levy page16'!$E$30,"  ")</f>
        <v>156300</v>
      </c>
      <c r="F36" s="380"/>
      <c r="G36" s="780"/>
    </row>
    <row r="37" spans="2:7" x14ac:dyDescent="0.2">
      <c r="B37" s="220" t="str">
        <f>IF(inputPrYr!$B44&gt;"  ",(inputPrYr!$B44),"  ")</f>
        <v>2006 Sales Tax</v>
      </c>
      <c r="C37" s="224"/>
      <c r="D37" s="222">
        <f>IF('no levy page16'!C69&gt;0,'no levy page16'!C69,"  ")</f>
        <v>13</v>
      </c>
      <c r="E37" s="380">
        <f>IF('no levy page16'!$E$63&gt;0,'no levy page16'!$E$63,"  ")</f>
        <v>114000</v>
      </c>
      <c r="F37" s="380"/>
      <c r="G37" s="780"/>
    </row>
    <row r="38" spans="2:7" x14ac:dyDescent="0.2">
      <c r="B38" s="220" t="str">
        <f>IF(inputPrYr!$B45&gt;"  ",(inputPrYr!$B45),"  ")</f>
        <v>2010 Sales Tax</v>
      </c>
      <c r="C38" s="224"/>
      <c r="D38" s="222">
        <f>IF('no levy page17'!C69&gt;0,'no levy page17'!C69,"  ")</f>
        <v>14</v>
      </c>
      <c r="E38" s="380">
        <f>IF('no levy page17'!$E$30&gt;0,'no levy page17'!$E$30,"  ")</f>
        <v>110500</v>
      </c>
      <c r="F38" s="380"/>
      <c r="G38" s="780"/>
    </row>
    <row r="39" spans="2:7" x14ac:dyDescent="0.2">
      <c r="B39" s="220" t="str">
        <f>IF(inputPrYr!$B46&gt;"  ",(inputPrYr!$B46),"  ")</f>
        <v>Storm Water</v>
      </c>
      <c r="C39" s="224"/>
      <c r="D39" s="222">
        <f>IF('no levy page17'!C69&gt;0,'no levy page17'!C69,"  ")</f>
        <v>14</v>
      </c>
      <c r="E39" s="380">
        <f>IF('no levy page17'!$E$63&gt;0,'no levy page17'!$E$63,"  ")</f>
        <v>75000</v>
      </c>
      <c r="F39" s="380"/>
      <c r="G39" s="780"/>
    </row>
    <row r="40" spans="2:7" x14ac:dyDescent="0.2">
      <c r="B40" s="220" t="str">
        <f>IF(inputPrYr!$B47&gt;"  ",(inputPrYr!$B47),"  ")</f>
        <v xml:space="preserve">  </v>
      </c>
      <c r="C40" s="221"/>
      <c r="D40" s="222" t="str">
        <f>IF('no levy page18'!C69&gt;0,'no levy page18'!C69,"  ")</f>
        <v xml:space="preserve">  </v>
      </c>
      <c r="E40" s="380" t="str">
        <f>IF('no levy page18'!$E$30&gt;0,'no levy page18'!$E$30,"  ")</f>
        <v xml:space="preserve">  </v>
      </c>
      <c r="F40" s="380"/>
      <c r="G40" s="780"/>
    </row>
    <row r="41" spans="2:7" x14ac:dyDescent="0.2">
      <c r="B41" s="220" t="str">
        <f>IF(inputPrYr!$B48&gt;"  ",(inputPrYr!$B48),"  ")</f>
        <v xml:space="preserve">  </v>
      </c>
      <c r="C41" s="221"/>
      <c r="D41" s="222" t="str">
        <f>IF('no levy page18'!C69&gt;0,'no levy page18'!C69,"  ")</f>
        <v xml:space="preserve">  </v>
      </c>
      <c r="E41" s="380" t="str">
        <f>IF('no levy page18'!$E$63&gt;0,'no levy page18'!$E$63,"  ")</f>
        <v xml:space="preserve">  </v>
      </c>
      <c r="F41" s="380"/>
      <c r="G41" s="780"/>
    </row>
    <row r="42" spans="2:7" x14ac:dyDescent="0.2">
      <c r="B42" s="220" t="str">
        <f>IF(inputPrYr!$B49&gt;"  ",(inputPrYr!$B49),"  ")</f>
        <v xml:space="preserve">  </v>
      </c>
      <c r="C42" s="221"/>
      <c r="D42" s="222" t="str">
        <f>IF('no levy page19'!C69&gt;0,'no levy page19'!C69,"  ")</f>
        <v xml:space="preserve">  </v>
      </c>
      <c r="E42" s="380" t="str">
        <f>IF('no levy page19'!$E$30&gt;0,'no levy page19'!$E$30,"  ")</f>
        <v xml:space="preserve">  </v>
      </c>
      <c r="F42" s="380"/>
      <c r="G42" s="780"/>
    </row>
    <row r="43" spans="2:7" x14ac:dyDescent="0.2">
      <c r="B43" s="220" t="str">
        <f>IF(inputPrYr!$B50&gt;"  ",(inputPrYr!$B50),"  ")</f>
        <v xml:space="preserve">  </v>
      </c>
      <c r="C43" s="221"/>
      <c r="D43" s="222" t="str">
        <f>IF('no levy page19'!C69&gt;0,'no levy page19'!C69,"  ")</f>
        <v xml:space="preserve">  </v>
      </c>
      <c r="E43" s="380" t="str">
        <f>IF('no levy page19'!$E$63&gt;0,'no levy page19'!$E$63,"  ")</f>
        <v xml:space="preserve">  </v>
      </c>
      <c r="F43" s="380"/>
      <c r="G43" s="780"/>
    </row>
    <row r="44" spans="2:7" x14ac:dyDescent="0.2">
      <c r="B44" s="220" t="str">
        <f>IF(inputPrYr!$B51&gt;"  ",(inputPrYr!$B51),"  ")</f>
        <v xml:space="preserve">  </v>
      </c>
      <c r="C44" s="221"/>
      <c r="D44" s="222" t="str">
        <f>IF('no levy page20'!C69&gt;0,'no levy page20'!C69,"  ")</f>
        <v xml:space="preserve">  </v>
      </c>
      <c r="E44" s="380" t="str">
        <f>IF('no levy page20'!$E$30&gt;0,'no levy page20'!$E$30,"  ")</f>
        <v xml:space="preserve">  </v>
      </c>
      <c r="F44" s="380"/>
      <c r="G44" s="780"/>
    </row>
    <row r="45" spans="2:7" x14ac:dyDescent="0.2">
      <c r="B45" s="220" t="str">
        <f>IF(inputPrYr!$B52&gt;"  ",(inputPrYr!$B52),"  ")</f>
        <v xml:space="preserve">  </v>
      </c>
      <c r="C45" s="221"/>
      <c r="D45" s="222" t="str">
        <f>IF('no levy page20'!C69&gt;0,'no levy page20'!C69,"  ")</f>
        <v xml:space="preserve">  </v>
      </c>
      <c r="E45" s="380" t="str">
        <f>IF('no levy page20'!$E$63&gt;0,'no levy page20'!$E$63,"  ")</f>
        <v xml:space="preserve">  </v>
      </c>
      <c r="F45" s="380"/>
      <c r="G45" s="780"/>
    </row>
    <row r="46" spans="2:7" x14ac:dyDescent="0.2">
      <c r="B46" s="220" t="str">
        <f>IF(inputPrYr!$B53&gt;"  ",(inputPrYr!$B53),"  ")</f>
        <v xml:space="preserve">  </v>
      </c>
      <c r="C46" s="221"/>
      <c r="D46" s="222" t="str">
        <f>IF('no levy page21'!C69&gt;0,'no levy page21'!C69,"  ")</f>
        <v xml:space="preserve">  </v>
      </c>
      <c r="E46" s="380" t="str">
        <f>IF('no levy page21'!$E$30&gt;0,'no levy page21'!$E$30,"  ")</f>
        <v xml:space="preserve">  </v>
      </c>
      <c r="F46" s="380"/>
      <c r="G46" s="780"/>
    </row>
    <row r="47" spans="2:7" x14ac:dyDescent="0.2">
      <c r="B47" s="220" t="str">
        <f>IF(inputPrYr!$B54&gt;"  ",(inputPrYr!$B54),"  ")</f>
        <v xml:space="preserve">  </v>
      </c>
      <c r="C47" s="223"/>
      <c r="D47" s="222" t="str">
        <f>IF('no levy page21'!C69&gt;0,'no levy page21'!C69,"  ")</f>
        <v xml:space="preserve">  </v>
      </c>
      <c r="E47" s="380" t="str">
        <f>IF('no levy page21'!$E$63&gt;0,'no levy page21'!$E$63,"  ")</f>
        <v xml:space="preserve">  </v>
      </c>
      <c r="F47" s="380"/>
      <c r="G47" s="780"/>
    </row>
    <row r="48" spans="2:7" x14ac:dyDescent="0.2">
      <c r="B48" s="220" t="str">
        <f>IF(inputPrYr!$B56&gt;"  ",(inputPrYr!$B56),"  ")</f>
        <v>Light</v>
      </c>
      <c r="C48" s="224"/>
      <c r="D48" s="222">
        <f>IF(SinNoLevy22!C53&gt;0,SinNoLevy22!C53,"  ")</f>
        <v>15</v>
      </c>
      <c r="E48" s="380">
        <f>IF(SinNoLevy22!$E$47&gt;0,SinNoLevy22!$E$47,"  ")</f>
        <v>3073080</v>
      </c>
      <c r="F48" s="380"/>
      <c r="G48" s="780"/>
    </row>
    <row r="49" spans="2:7" x14ac:dyDescent="0.2">
      <c r="B49" s="220" t="str">
        <f>IF(inputPrYr!$B57&gt;"  ",(inputPrYr!$B57),"  ")</f>
        <v>Water</v>
      </c>
      <c r="C49" s="224"/>
      <c r="D49" s="222">
        <f>IF(SinNoLevy23!C53&gt;0,SinNoLevy23!C53,"  ")</f>
        <v>17</v>
      </c>
      <c r="E49" s="380">
        <f>IF(SinNoLevy23!$E$47&gt;0,SinNoLevy23!$E$47,"  ")</f>
        <v>683764</v>
      </c>
      <c r="F49" s="380"/>
      <c r="G49" s="780"/>
    </row>
    <row r="50" spans="2:7" x14ac:dyDescent="0.2">
      <c r="B50" s="220" t="str">
        <f>IF(inputPrYr!$B58&gt;"  ",(inputPrYr!$B58),"  ")</f>
        <v>Sewer</v>
      </c>
      <c r="C50" s="224"/>
      <c r="D50" s="222">
        <f>IF(SinNoLevy24!C53&gt;0,SinNoLevy24!C53,"  ")</f>
        <v>19</v>
      </c>
      <c r="E50" s="380">
        <f>IF(SinNoLevy24!$E$47&gt;0,SinNoLevy24!$E$47,"  ")</f>
        <v>232765</v>
      </c>
      <c r="F50" s="380"/>
      <c r="G50" s="780"/>
    </row>
    <row r="51" spans="2:7" x14ac:dyDescent="0.2">
      <c r="B51" s="220" t="str">
        <f>IF(inputPrYr!$B59&gt;"  ",(inputPrYr!$B59),"  ")</f>
        <v xml:space="preserve">  </v>
      </c>
      <c r="C51" s="224"/>
      <c r="D51" s="222" t="str">
        <f>IF(SinNoLevy25!C53&gt;0,SinNoLevy25!C53,"  ")</f>
        <v xml:space="preserve">  </v>
      </c>
      <c r="E51" s="380" t="str">
        <f>IF(SinNoLevy25!$E$47&gt;0,SinNoLevy25!$E$47,"  ")</f>
        <v xml:space="preserve">  </v>
      </c>
      <c r="F51" s="380"/>
      <c r="G51" s="780"/>
    </row>
    <row r="52" spans="2:7" x14ac:dyDescent="0.2">
      <c r="B52" s="220" t="str">
        <f>IF(inputPrYr!$B62&gt;"  ",(NonBudA!$A3),"  ")</f>
        <v>Non-Budgeted Funds-A</v>
      </c>
      <c r="C52" s="224"/>
      <c r="D52" s="222">
        <f>IF(NonBudA!F33&gt;0,NonBudA!F33,"  ")</f>
        <v>20</v>
      </c>
      <c r="E52" s="380"/>
      <c r="F52" s="380"/>
      <c r="G52" s="780"/>
    </row>
    <row r="53" spans="2:7" x14ac:dyDescent="0.2">
      <c r="B53" s="220" t="str">
        <f>IF(inputPrYr!$B68&gt;"  ",(NonBudB!$A3),"  ")</f>
        <v>Non-Budgeted Funds-B</v>
      </c>
      <c r="C53" s="224"/>
      <c r="D53" s="222">
        <f>IF(NonBudB!F33&gt;0,NonBudB!F33,"  ")</f>
        <v>21</v>
      </c>
      <c r="E53" s="380"/>
      <c r="F53" s="380"/>
      <c r="G53" s="780"/>
    </row>
    <row r="54" spans="2:7" x14ac:dyDescent="0.2">
      <c r="B54" s="220" t="str">
        <f>IF(inputPrYr!$B74&gt;"  ",(NonBudC!$A3),"  ")</f>
        <v xml:space="preserve">  </v>
      </c>
      <c r="C54" s="224"/>
      <c r="D54" s="222" t="str">
        <f>IF(NonBudC!F33&gt;0,NonBudC!F33,"  ")</f>
        <v xml:space="preserve">  </v>
      </c>
      <c r="E54" s="380"/>
      <c r="F54" s="380"/>
      <c r="G54" s="780"/>
    </row>
    <row r="55" spans="2:7" ht="16.5" thickBot="1" x14ac:dyDescent="0.25">
      <c r="B55" s="220" t="str">
        <f>IF(inputPrYr!$B80&gt;"  ",(NonBudD!$A3),"  ")</f>
        <v xml:space="preserve">  </v>
      </c>
      <c r="C55" s="221"/>
      <c r="D55" s="222" t="str">
        <f>IF(NonBudD!F33&gt;0,NonBudD!F33,"  ")</f>
        <v xml:space="preserve">  </v>
      </c>
      <c r="E55" s="781"/>
      <c r="F55" s="781"/>
      <c r="G55" s="782"/>
    </row>
    <row r="56" spans="2:7" ht="16.5" thickBot="1" x14ac:dyDescent="0.25">
      <c r="B56" s="359" t="s">
        <v>788</v>
      </c>
      <c r="C56" s="127"/>
      <c r="D56" s="389" t="s">
        <v>290</v>
      </c>
      <c r="E56" s="783">
        <f>SUM(E19:E55)</f>
        <v>7208902</v>
      </c>
      <c r="F56" s="783">
        <f>SUM(F19:F55)</f>
        <v>711227.62</v>
      </c>
      <c r="G56" s="784" t="str">
        <f>IF(SUM(G19:G55)=0,"",SUM(G19:G55))</f>
        <v/>
      </c>
    </row>
    <row r="57" spans="2:7" ht="16.5" thickTop="1" x14ac:dyDescent="0.2">
      <c r="B57" s="225" t="s">
        <v>162</v>
      </c>
      <c r="C57" s="226"/>
      <c r="D57" s="227"/>
      <c r="E57" s="580"/>
      <c r="F57" s="581" t="str">
        <f>IF(F56&gt;computation!J40,"Yes","No")</f>
        <v>No</v>
      </c>
      <c r="G57" s="459"/>
    </row>
    <row r="58" spans="2:7" x14ac:dyDescent="0.2">
      <c r="B58" s="169" t="s">
        <v>161</v>
      </c>
      <c r="C58" s="134"/>
      <c r="D58" s="212">
        <f>summ!D70</f>
        <v>22</v>
      </c>
      <c r="E58" s="86"/>
      <c r="F58" s="86"/>
      <c r="G58" s="86"/>
    </row>
    <row r="59" spans="2:7" x14ac:dyDescent="0.2">
      <c r="B59" s="169" t="s">
        <v>196</v>
      </c>
      <c r="C59" s="134"/>
      <c r="D59" s="212">
        <f>IF(nhood!C40&gt;0,nhood!C40,"")</f>
        <v>23</v>
      </c>
      <c r="E59" s="86"/>
      <c r="F59" s="86"/>
      <c r="G59" s="86"/>
    </row>
    <row r="60" spans="2:7" x14ac:dyDescent="0.2">
      <c r="B60" s="228" t="s">
        <v>179</v>
      </c>
      <c r="C60" s="881" t="s">
        <v>69</v>
      </c>
      <c r="D60" s="882"/>
      <c r="E60" s="460"/>
      <c r="F60" s="115"/>
      <c r="G60" s="115"/>
    </row>
    <row r="61" spans="2:7" x14ac:dyDescent="0.2">
      <c r="B61" s="229" t="str">
        <f>inputPrYr!D4</f>
        <v>Dickinson County</v>
      </c>
      <c r="C61" s="883"/>
      <c r="D61" s="884"/>
      <c r="E61" s="461"/>
      <c r="F61" s="115"/>
      <c r="G61" s="115"/>
    </row>
    <row r="62" spans="2:7" x14ac:dyDescent="0.2">
      <c r="B62" s="106" t="str">
        <f>inputPrYr!D6</f>
        <v>Morris County</v>
      </c>
      <c r="C62" s="883"/>
      <c r="D62" s="884"/>
      <c r="E62" s="461"/>
      <c r="F62" s="115"/>
      <c r="G62" s="115"/>
    </row>
    <row r="63" spans="2:7" x14ac:dyDescent="0.2">
      <c r="B63" s="106">
        <f>inputPrYr!D7</f>
        <v>0</v>
      </c>
      <c r="C63" s="883"/>
      <c r="D63" s="884"/>
      <c r="E63" s="461"/>
      <c r="F63" s="115"/>
      <c r="G63" s="115"/>
    </row>
    <row r="64" spans="2:7" x14ac:dyDescent="0.2">
      <c r="B64" s="106">
        <f>inputPrYr!D8</f>
        <v>0</v>
      </c>
      <c r="C64" s="886"/>
      <c r="D64" s="887"/>
      <c r="E64" s="461"/>
      <c r="F64" s="115"/>
      <c r="G64" s="115"/>
    </row>
    <row r="65" spans="2:7" x14ac:dyDescent="0.2">
      <c r="B65" s="229" t="s">
        <v>180</v>
      </c>
      <c r="C65" s="888">
        <f>SUM(C61:D64)</f>
        <v>0</v>
      </c>
      <c r="D65" s="889"/>
      <c r="E65" s="697"/>
      <c r="F65" s="115"/>
      <c r="G65" s="115"/>
    </row>
    <row r="66" spans="2:7" x14ac:dyDescent="0.2">
      <c r="B66" s="86" t="s">
        <v>291</v>
      </c>
      <c r="C66" s="890" t="str">
        <f>CONCATENATE("Nov 1, ",I1-1," Total Accessed Valuation")</f>
        <v>Nov 1, 2012 Total Accessed Valuation</v>
      </c>
      <c r="D66" s="891"/>
      <c r="E66" s="115" t="s">
        <v>918</v>
      </c>
      <c r="F66" s="115"/>
      <c r="G66" s="115"/>
    </row>
    <row r="67" spans="2:7" x14ac:dyDescent="0.2">
      <c r="B67" s="231"/>
      <c r="C67" s="892"/>
      <c r="D67" s="893"/>
      <c r="E67" s="698"/>
      <c r="F67" s="295"/>
      <c r="G67" s="295"/>
    </row>
    <row r="68" spans="2:7" x14ac:dyDescent="0.2">
      <c r="B68" s="232"/>
      <c r="C68" s="115"/>
      <c r="D68" s="86"/>
      <c r="E68" s="115" t="s">
        <v>918</v>
      </c>
      <c r="F68" s="295"/>
      <c r="G68" s="295"/>
    </row>
    <row r="69" spans="2:7" x14ac:dyDescent="0.2">
      <c r="B69" s="114" t="s">
        <v>81</v>
      </c>
      <c r="C69" s="230"/>
      <c r="D69" s="115"/>
      <c r="E69" s="115"/>
      <c r="F69" s="695"/>
      <c r="G69" s="695"/>
    </row>
    <row r="70" spans="2:7" x14ac:dyDescent="0.2">
      <c r="B70" s="231"/>
      <c r="C70" s="230"/>
      <c r="D70" s="115"/>
      <c r="E70" s="115" t="s">
        <v>918</v>
      </c>
      <c r="F70" s="695"/>
      <c r="G70" s="695"/>
    </row>
    <row r="71" spans="2:7" x14ac:dyDescent="0.2">
      <c r="B71" s="232"/>
      <c r="C71" s="230"/>
      <c r="D71" s="115"/>
      <c r="E71" s="115"/>
      <c r="F71" s="699"/>
      <c r="G71" s="699"/>
    </row>
    <row r="72" spans="2:7" x14ac:dyDescent="0.2">
      <c r="B72" s="696" t="s">
        <v>917</v>
      </c>
      <c r="C72" s="233"/>
      <c r="D72" s="115"/>
      <c r="E72" s="115" t="s">
        <v>918</v>
      </c>
      <c r="F72" s="695"/>
      <c r="G72" s="695"/>
    </row>
    <row r="73" spans="2:7" x14ac:dyDescent="0.2">
      <c r="B73" s="231"/>
      <c r="C73" s="233"/>
      <c r="D73" s="115"/>
      <c r="E73" s="115"/>
      <c r="F73" s="699"/>
      <c r="G73" s="699"/>
    </row>
    <row r="74" spans="2:7" x14ac:dyDescent="0.2">
      <c r="B74" s="583" t="s">
        <v>182</v>
      </c>
      <c r="C74" s="234">
        <f>I1-1</f>
        <v>2012</v>
      </c>
      <c r="D74" s="115"/>
      <c r="E74" s="115" t="s">
        <v>918</v>
      </c>
      <c r="F74" s="700"/>
      <c r="G74" s="115"/>
    </row>
    <row r="75" spans="2:7" x14ac:dyDescent="0.2">
      <c r="B75" s="701"/>
      <c r="C75" s="86"/>
      <c r="D75" s="115"/>
      <c r="E75" s="115"/>
      <c r="F75" s="115"/>
      <c r="G75" s="115"/>
    </row>
    <row r="76" spans="2:7" x14ac:dyDescent="0.2">
      <c r="B76" s="582"/>
      <c r="C76" s="86"/>
      <c r="D76" s="115"/>
      <c r="E76" s="115" t="s">
        <v>918</v>
      </c>
      <c r="F76" s="115"/>
      <c r="G76" s="115"/>
    </row>
    <row r="77" spans="2:7" x14ac:dyDescent="0.2">
      <c r="B77" s="104" t="s">
        <v>293</v>
      </c>
      <c r="C77" s="86"/>
      <c r="D77" s="699"/>
      <c r="E77" s="885" t="s">
        <v>292</v>
      </c>
      <c r="F77" s="860"/>
      <c r="G77" s="860"/>
    </row>
    <row r="78" spans="2:7" x14ac:dyDescent="0.2">
      <c r="B78" s="69"/>
    </row>
    <row r="84" spans="2:7" hidden="1" x14ac:dyDescent="0.2">
      <c r="C84" s="82" t="e">
        <f>inputOth!#REF!</f>
        <v>#REF!</v>
      </c>
    </row>
    <row r="88" spans="2:7" ht="15" x14ac:dyDescent="0.2">
      <c r="B88" s="146"/>
      <c r="C88" s="146"/>
      <c r="D88" s="146"/>
      <c r="E88" s="146"/>
      <c r="F88" s="146"/>
      <c r="G88" s="146"/>
    </row>
    <row r="89" spans="2:7" ht="15" x14ac:dyDescent="0.2">
      <c r="B89" s="146"/>
      <c r="C89" s="146"/>
      <c r="D89" s="146"/>
      <c r="E89" s="146"/>
      <c r="F89" s="146"/>
      <c r="G89" s="146"/>
    </row>
    <row r="90" spans="2:7" ht="15" x14ac:dyDescent="0.2">
      <c r="B90" s="146"/>
      <c r="C90" s="146"/>
      <c r="D90" s="146"/>
      <c r="E90" s="146"/>
      <c r="F90" s="146"/>
      <c r="G90" s="146"/>
    </row>
    <row r="91" spans="2:7" ht="15" x14ac:dyDescent="0.2">
      <c r="B91" s="146"/>
      <c r="C91" s="146"/>
      <c r="D91" s="146"/>
      <c r="E91" s="146"/>
      <c r="F91" s="146"/>
      <c r="G91" s="146"/>
    </row>
    <row r="92" spans="2:7" ht="15" x14ac:dyDescent="0.2">
      <c r="B92" s="146"/>
      <c r="C92" s="146"/>
      <c r="D92" s="146"/>
      <c r="E92" s="146"/>
      <c r="F92" s="146"/>
      <c r="G92" s="146"/>
    </row>
    <row r="93" spans="2:7" ht="15" x14ac:dyDescent="0.2">
      <c r="B93" s="146"/>
      <c r="C93" s="146"/>
      <c r="D93" s="146"/>
      <c r="E93" s="146"/>
      <c r="F93" s="146"/>
      <c r="G93" s="146"/>
    </row>
    <row r="94" spans="2:7" ht="15" x14ac:dyDescent="0.2">
      <c r="B94" s="146"/>
      <c r="C94" s="146"/>
      <c r="D94" s="146"/>
      <c r="E94" s="146"/>
      <c r="F94" s="146"/>
      <c r="G94" s="146"/>
    </row>
    <row r="95" spans="2:7" ht="15" x14ac:dyDescent="0.2">
      <c r="B95" s="146"/>
      <c r="C95" s="146"/>
      <c r="D95" s="146"/>
      <c r="E95" s="146"/>
      <c r="F95" s="146"/>
      <c r="G95" s="146"/>
    </row>
    <row r="96" spans="2:7" ht="15" x14ac:dyDescent="0.2">
      <c r="B96" s="146"/>
      <c r="C96" s="146"/>
      <c r="D96" s="146"/>
      <c r="E96" s="146"/>
      <c r="F96" s="146"/>
      <c r="G96" s="146"/>
    </row>
    <row r="97" spans="2:7" ht="15" x14ac:dyDescent="0.2">
      <c r="B97" s="146"/>
      <c r="C97" s="146"/>
      <c r="D97" s="146"/>
      <c r="E97" s="146"/>
      <c r="F97" s="146"/>
      <c r="G97" s="146"/>
    </row>
    <row r="98" spans="2:7" ht="15" x14ac:dyDescent="0.2">
      <c r="B98" s="146"/>
      <c r="C98" s="146"/>
      <c r="D98" s="146"/>
      <c r="E98" s="146"/>
      <c r="F98" s="146"/>
      <c r="G98" s="146"/>
    </row>
    <row r="99" spans="2:7" ht="15" x14ac:dyDescent="0.2">
      <c r="B99" s="146"/>
      <c r="C99" s="146"/>
      <c r="D99" s="146"/>
      <c r="E99" s="146"/>
      <c r="F99" s="146"/>
      <c r="G99" s="146"/>
    </row>
    <row r="100" spans="2:7" ht="15" x14ac:dyDescent="0.2">
      <c r="B100" s="146"/>
      <c r="C100" s="146"/>
      <c r="D100" s="146"/>
      <c r="E100" s="146"/>
      <c r="F100" s="146"/>
      <c r="G100" s="146"/>
    </row>
    <row r="101" spans="2:7" ht="15" x14ac:dyDescent="0.2">
      <c r="B101" s="146"/>
      <c r="C101" s="146"/>
      <c r="D101" s="146"/>
      <c r="E101" s="146"/>
      <c r="F101" s="146"/>
      <c r="G101" s="146"/>
    </row>
    <row r="102" spans="2:7" ht="15" x14ac:dyDescent="0.2">
      <c r="B102" s="146"/>
      <c r="C102" s="146"/>
      <c r="D102" s="146"/>
      <c r="E102" s="146"/>
      <c r="F102" s="146"/>
      <c r="G102" s="146"/>
    </row>
    <row r="103" spans="2:7" ht="15" x14ac:dyDescent="0.2">
      <c r="B103" s="146"/>
      <c r="C103" s="146"/>
      <c r="D103" s="146"/>
      <c r="E103" s="146"/>
      <c r="F103" s="146"/>
      <c r="G103" s="146"/>
    </row>
    <row r="106" spans="2:7" x14ac:dyDescent="0.2">
      <c r="B106" s="69"/>
      <c r="C106" s="69"/>
      <c r="D106" s="69"/>
      <c r="E106" s="69"/>
      <c r="F106" s="69"/>
      <c r="G106" s="69"/>
    </row>
  </sheetData>
  <sheetProtection sheet="1"/>
  <mergeCells count="12">
    <mergeCell ref="C61:D61"/>
    <mergeCell ref="E77:G77"/>
    <mergeCell ref="C62:D62"/>
    <mergeCell ref="C63:D63"/>
    <mergeCell ref="C64:D64"/>
    <mergeCell ref="C65:D65"/>
    <mergeCell ref="C66:D67"/>
    <mergeCell ref="B4:G4"/>
    <mergeCell ref="B2:G2"/>
    <mergeCell ref="B5:G5"/>
    <mergeCell ref="B6:G6"/>
    <mergeCell ref="C60:D60"/>
  </mergeCells>
  <phoneticPr fontId="0" type="noConversion"/>
  <pageMargins left="1.25" right="0.5" top="0.5" bottom="0.5" header="0.25" footer="0.25"/>
  <pageSetup scale="60" orientation="portrait" blackAndWhite="1" horizontalDpi="120" verticalDpi="144" r:id="rId1"/>
  <headerFooter alignWithMargins="0">
    <oddHeader>&amp;RState of KansasCity</oddHeader>
    <oddFooter>&amp;C   Page No. 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8" sqref="A8"/>
    </sheetView>
  </sheetViews>
  <sheetFormatPr defaultRowHeight="15" x14ac:dyDescent="0.2"/>
  <cols>
    <col min="1" max="1" width="71.33203125" customWidth="1"/>
  </cols>
  <sheetData>
    <row r="3" spans="1:7" x14ac:dyDescent="0.2">
      <c r="A3" s="425" t="s">
        <v>613</v>
      </c>
      <c r="B3" s="425"/>
      <c r="C3" s="425"/>
      <c r="D3" s="425"/>
      <c r="E3" s="425"/>
      <c r="F3" s="425"/>
      <c r="G3" s="425"/>
    </row>
    <row r="4" spans="1:7" x14ac:dyDescent="0.2">
      <c r="A4" s="425" t="s">
        <v>614</v>
      </c>
      <c r="B4" s="425"/>
      <c r="C4" s="425"/>
      <c r="D4" s="425"/>
      <c r="E4" s="425"/>
      <c r="F4" s="425"/>
      <c r="G4" s="425"/>
    </row>
    <row r="5" spans="1:7" x14ac:dyDescent="0.2">
      <c r="A5" s="425"/>
      <c r="B5" s="425"/>
      <c r="C5" s="425"/>
      <c r="D5" s="425"/>
      <c r="E5" s="425"/>
      <c r="F5" s="425"/>
      <c r="G5" s="425"/>
    </row>
    <row r="6" spans="1:7" x14ac:dyDescent="0.2">
      <c r="A6" s="425"/>
      <c r="B6" s="425"/>
      <c r="C6" s="425"/>
      <c r="D6" s="425"/>
      <c r="E6" s="425"/>
      <c r="F6" s="425"/>
      <c r="G6" s="425"/>
    </row>
    <row r="7" spans="1:7" x14ac:dyDescent="0.2">
      <c r="A7" s="426" t="s">
        <v>441</v>
      </c>
    </row>
    <row r="8" spans="1:7" x14ac:dyDescent="0.2">
      <c r="A8" s="426" t="str">
        <f>CONCATENATE("estimated ",inputPrYr!C10," 'total expenditures' exceed your ",inputPrYr!C10,"")</f>
        <v>estimated 2013 'total expenditures' exceed your 2013</v>
      </c>
    </row>
    <row r="9" spans="1:7" x14ac:dyDescent="0.2">
      <c r="A9" s="429" t="s">
        <v>615</v>
      </c>
    </row>
    <row r="10" spans="1:7" x14ac:dyDescent="0.2">
      <c r="A10" s="426"/>
    </row>
    <row r="11" spans="1:7" x14ac:dyDescent="0.2">
      <c r="A11" s="426" t="s">
        <v>616</v>
      </c>
    </row>
    <row r="12" spans="1:7" x14ac:dyDescent="0.2">
      <c r="A12" s="426" t="s">
        <v>617</v>
      </c>
    </row>
    <row r="13" spans="1:7" x14ac:dyDescent="0.2">
      <c r="A13" s="426" t="s">
        <v>618</v>
      </c>
    </row>
    <row r="14" spans="1:7" x14ac:dyDescent="0.2">
      <c r="A14" s="426"/>
    </row>
    <row r="15" spans="1:7" x14ac:dyDescent="0.2">
      <c r="A15" s="427" t="s">
        <v>619</v>
      </c>
    </row>
    <row r="16" spans="1:7" x14ac:dyDescent="0.2">
      <c r="A16" s="425"/>
      <c r="B16" s="425"/>
      <c r="C16" s="425"/>
      <c r="D16" s="425"/>
      <c r="E16" s="425"/>
      <c r="F16" s="425"/>
      <c r="G16" s="425"/>
    </row>
    <row r="17" spans="1:8" x14ac:dyDescent="0.2">
      <c r="A17" s="432" t="s">
        <v>620</v>
      </c>
      <c r="B17" s="433"/>
      <c r="C17" s="433"/>
      <c r="D17" s="433"/>
      <c r="E17" s="433"/>
      <c r="F17" s="433"/>
      <c r="G17" s="433"/>
      <c r="H17" s="433"/>
    </row>
    <row r="18" spans="1:8" x14ac:dyDescent="0.2">
      <c r="A18" s="426" t="s">
        <v>621</v>
      </c>
      <c r="B18" s="434"/>
      <c r="C18" s="434"/>
      <c r="D18" s="434"/>
      <c r="E18" s="434"/>
      <c r="F18" s="434"/>
      <c r="G18" s="434"/>
    </row>
    <row r="19" spans="1:8" x14ac:dyDescent="0.2">
      <c r="A19" s="426" t="s">
        <v>622</v>
      </c>
    </row>
    <row r="20" spans="1:8" x14ac:dyDescent="0.2">
      <c r="A20" s="426" t="s">
        <v>623</v>
      </c>
    </row>
    <row r="22" spans="1:8" x14ac:dyDescent="0.2">
      <c r="A22" s="427" t="s">
        <v>624</v>
      </c>
    </row>
    <row r="24" spans="1:8" x14ac:dyDescent="0.2">
      <c r="A24" s="426" t="s">
        <v>625</v>
      </c>
    </row>
    <row r="25" spans="1:8" x14ac:dyDescent="0.2">
      <c r="A25" s="426" t="s">
        <v>626</v>
      </c>
    </row>
    <row r="26" spans="1:8" x14ac:dyDescent="0.2">
      <c r="A26" s="426" t="s">
        <v>627</v>
      </c>
    </row>
    <row r="28" spans="1:8" x14ac:dyDescent="0.2">
      <c r="A28" s="427" t="s">
        <v>628</v>
      </c>
    </row>
    <row r="30" spans="1:8" x14ac:dyDescent="0.2">
      <c r="A30" t="s">
        <v>629</v>
      </c>
    </row>
    <row r="31" spans="1:8" x14ac:dyDescent="0.2">
      <c r="A31" t="s">
        <v>630</v>
      </c>
    </row>
    <row r="32" spans="1:8" x14ac:dyDescent="0.2">
      <c r="A32" t="s">
        <v>631</v>
      </c>
    </row>
    <row r="33" spans="1:1" x14ac:dyDescent="0.2">
      <c r="A33" s="426" t="s">
        <v>632</v>
      </c>
    </row>
    <row r="35" spans="1:1" x14ac:dyDescent="0.2">
      <c r="A35" t="s">
        <v>633</v>
      </c>
    </row>
    <row r="36" spans="1:1" x14ac:dyDescent="0.2">
      <c r="A36" t="s">
        <v>634</v>
      </c>
    </row>
    <row r="37" spans="1:1" x14ac:dyDescent="0.2">
      <c r="A37" t="s">
        <v>635</v>
      </c>
    </row>
    <row r="38" spans="1:1" x14ac:dyDescent="0.2">
      <c r="A38" t="s">
        <v>636</v>
      </c>
    </row>
    <row r="40" spans="1:1" x14ac:dyDescent="0.2">
      <c r="A40" t="s">
        <v>637</v>
      </c>
    </row>
    <row r="41" spans="1:1" x14ac:dyDescent="0.2">
      <c r="A41" t="s">
        <v>638</v>
      </c>
    </row>
    <row r="42" spans="1:1" x14ac:dyDescent="0.2">
      <c r="A42" t="s">
        <v>639</v>
      </c>
    </row>
    <row r="43" spans="1:1" x14ac:dyDescent="0.2">
      <c r="A43" t="s">
        <v>640</v>
      </c>
    </row>
    <row r="44" spans="1:1" x14ac:dyDescent="0.2">
      <c r="A44" t="s">
        <v>641</v>
      </c>
    </row>
    <row r="45" spans="1:1" x14ac:dyDescent="0.2">
      <c r="A45" t="s">
        <v>642</v>
      </c>
    </row>
    <row r="47" spans="1:1" x14ac:dyDescent="0.2">
      <c r="A47" t="s">
        <v>643</v>
      </c>
    </row>
    <row r="48" spans="1:1" x14ac:dyDescent="0.2">
      <c r="A48" t="s">
        <v>644</v>
      </c>
    </row>
    <row r="49" spans="1:1" x14ac:dyDescent="0.2">
      <c r="A49" s="426" t="s">
        <v>645</v>
      </c>
    </row>
    <row r="50" spans="1:1" x14ac:dyDescent="0.2">
      <c r="A50" s="426" t="s">
        <v>646</v>
      </c>
    </row>
    <row r="52" spans="1:1" x14ac:dyDescent="0.2">
      <c r="A52" t="s">
        <v>496</v>
      </c>
    </row>
  </sheetData>
  <sheetProtection sheet="1"/>
  <pageMargins left="0.7" right="0.7" top="0.75" bottom="0.75" header="0.3" footer="0.3"/>
  <pageSetup orientation="portrait" r:id="rId1"/>
  <headerFooter>
    <oddFooter>&amp;Lrevised 10/02/09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workbookViewId="0">
      <selection sqref="A1:IV65536"/>
    </sheetView>
  </sheetViews>
  <sheetFormatPr defaultRowHeight="14.25" x14ac:dyDescent="0.2"/>
  <cols>
    <col min="1" max="1" width="7.5546875" style="524" customWidth="1"/>
    <col min="2" max="2" width="11.21875" style="523" customWidth="1"/>
    <col min="3" max="3" width="7.44140625" style="523" customWidth="1"/>
    <col min="4" max="4" width="8.88671875" style="523"/>
    <col min="5" max="5" width="1.5546875" style="523" customWidth="1"/>
    <col min="6" max="6" width="14.33203125" style="523" customWidth="1"/>
    <col min="7" max="7" width="2.5546875" style="523" customWidth="1"/>
    <col min="8" max="8" width="9.77734375" style="523" customWidth="1"/>
    <col min="9" max="9" width="2" style="523" customWidth="1"/>
    <col min="10" max="10" width="8.5546875" style="523" customWidth="1"/>
    <col min="11" max="11" width="11.6640625" style="523" customWidth="1"/>
    <col min="12" max="12" width="7.5546875" style="524" customWidth="1"/>
    <col min="13" max="14" width="8.88671875" style="524"/>
    <col min="15" max="15" width="9.88671875" style="524" bestFit="1" customWidth="1"/>
    <col min="16" max="16384" width="8.88671875" style="524"/>
  </cols>
  <sheetData>
    <row r="1" spans="1:12" x14ac:dyDescent="0.2">
      <c r="A1" s="525"/>
      <c r="B1" s="525"/>
      <c r="C1" s="525"/>
      <c r="D1" s="525"/>
      <c r="E1" s="525"/>
      <c r="F1" s="525"/>
      <c r="G1" s="525"/>
      <c r="H1" s="525"/>
      <c r="I1" s="525"/>
      <c r="J1" s="525"/>
      <c r="K1" s="525"/>
      <c r="L1" s="525"/>
    </row>
    <row r="2" spans="1:12" x14ac:dyDescent="0.2">
      <c r="A2" s="525"/>
      <c r="B2" s="525"/>
      <c r="C2" s="525"/>
      <c r="D2" s="525"/>
      <c r="E2" s="525"/>
      <c r="F2" s="525"/>
      <c r="G2" s="525"/>
      <c r="H2" s="525"/>
      <c r="I2" s="525"/>
      <c r="J2" s="525"/>
      <c r="K2" s="525"/>
      <c r="L2" s="525"/>
    </row>
    <row r="3" spans="1:12" x14ac:dyDescent="0.2">
      <c r="A3" s="525"/>
      <c r="B3" s="525"/>
      <c r="C3" s="525"/>
      <c r="D3" s="525"/>
      <c r="E3" s="525"/>
      <c r="F3" s="525"/>
      <c r="G3" s="525"/>
      <c r="H3" s="525"/>
      <c r="I3" s="525"/>
      <c r="J3" s="525"/>
      <c r="K3" s="525"/>
      <c r="L3" s="525"/>
    </row>
    <row r="4" spans="1:12" x14ac:dyDescent="0.2">
      <c r="A4" s="525"/>
      <c r="L4" s="525"/>
    </row>
    <row r="5" spans="1:12" ht="15" customHeight="1" x14ac:dyDescent="0.2">
      <c r="A5" s="525"/>
      <c r="L5" s="525"/>
    </row>
    <row r="6" spans="1:12" ht="33" customHeight="1" x14ac:dyDescent="0.2">
      <c r="A6" s="525"/>
      <c r="B6" s="954" t="s">
        <v>723</v>
      </c>
      <c r="C6" s="955"/>
      <c r="D6" s="955"/>
      <c r="E6" s="955"/>
      <c r="F6" s="955"/>
      <c r="G6" s="955"/>
      <c r="H6" s="955"/>
      <c r="I6" s="955"/>
      <c r="J6" s="955"/>
      <c r="K6" s="955"/>
      <c r="L6" s="522"/>
    </row>
    <row r="7" spans="1:12" ht="40.5" customHeight="1" x14ac:dyDescent="0.2">
      <c r="A7" s="525"/>
      <c r="B7" s="956" t="s">
        <v>724</v>
      </c>
      <c r="C7" s="957"/>
      <c r="D7" s="957"/>
      <c r="E7" s="957"/>
      <c r="F7" s="957"/>
      <c r="G7" s="957"/>
      <c r="H7" s="957"/>
      <c r="I7" s="957"/>
      <c r="J7" s="957"/>
      <c r="K7" s="957"/>
      <c r="L7" s="525"/>
    </row>
    <row r="8" spans="1:12" x14ac:dyDescent="0.2">
      <c r="A8" s="525"/>
      <c r="B8" s="958" t="s">
        <v>725</v>
      </c>
      <c r="C8" s="958"/>
      <c r="D8" s="958"/>
      <c r="E8" s="958"/>
      <c r="F8" s="958"/>
      <c r="G8" s="958"/>
      <c r="H8" s="958"/>
      <c r="I8" s="958"/>
      <c r="J8" s="958"/>
      <c r="K8" s="958"/>
      <c r="L8" s="525"/>
    </row>
    <row r="9" spans="1:12" x14ac:dyDescent="0.2">
      <c r="A9" s="525"/>
      <c r="L9" s="525"/>
    </row>
    <row r="10" spans="1:12" x14ac:dyDescent="0.2">
      <c r="A10" s="525"/>
      <c r="B10" s="958" t="s">
        <v>726</v>
      </c>
      <c r="C10" s="958"/>
      <c r="D10" s="958"/>
      <c r="E10" s="958"/>
      <c r="F10" s="958"/>
      <c r="G10" s="958"/>
      <c r="H10" s="958"/>
      <c r="I10" s="958"/>
      <c r="J10" s="958"/>
      <c r="K10" s="958"/>
      <c r="L10" s="525"/>
    </row>
    <row r="11" spans="1:12" x14ac:dyDescent="0.2">
      <c r="A11" s="525"/>
      <c r="B11" s="628"/>
      <c r="C11" s="628"/>
      <c r="D11" s="628"/>
      <c r="E11" s="628"/>
      <c r="F11" s="628"/>
      <c r="G11" s="628"/>
      <c r="H11" s="628"/>
      <c r="I11" s="628"/>
      <c r="J11" s="628"/>
      <c r="K11" s="628"/>
      <c r="L11" s="525"/>
    </row>
    <row r="12" spans="1:12" ht="32.25" customHeight="1" x14ac:dyDescent="0.2">
      <c r="A12" s="525"/>
      <c r="B12" s="959" t="s">
        <v>727</v>
      </c>
      <c r="C12" s="959"/>
      <c r="D12" s="959"/>
      <c r="E12" s="959"/>
      <c r="F12" s="959"/>
      <c r="G12" s="959"/>
      <c r="H12" s="959"/>
      <c r="I12" s="959"/>
      <c r="J12" s="959"/>
      <c r="K12" s="959"/>
      <c r="L12" s="525"/>
    </row>
    <row r="13" spans="1:12" x14ac:dyDescent="0.2">
      <c r="A13" s="525"/>
      <c r="L13" s="525"/>
    </row>
    <row r="14" spans="1:12" x14ac:dyDescent="0.2">
      <c r="A14" s="525"/>
      <c r="B14" s="521" t="s">
        <v>728</v>
      </c>
      <c r="L14" s="525"/>
    </row>
    <row r="15" spans="1:12" x14ac:dyDescent="0.2">
      <c r="A15" s="525"/>
      <c r="L15" s="525"/>
    </row>
    <row r="16" spans="1:12" x14ac:dyDescent="0.2">
      <c r="A16" s="525"/>
      <c r="B16" s="523" t="s">
        <v>729</v>
      </c>
      <c r="L16" s="525"/>
    </row>
    <row r="17" spans="1:12" x14ac:dyDescent="0.2">
      <c r="A17" s="525"/>
      <c r="B17" s="523" t="s">
        <v>730</v>
      </c>
      <c r="L17" s="525"/>
    </row>
    <row r="18" spans="1:12" x14ac:dyDescent="0.2">
      <c r="A18" s="525"/>
      <c r="L18" s="525"/>
    </row>
    <row r="19" spans="1:12" x14ac:dyDescent="0.2">
      <c r="A19" s="525"/>
      <c r="B19" s="521" t="s">
        <v>910</v>
      </c>
      <c r="L19" s="525"/>
    </row>
    <row r="20" spans="1:12" x14ac:dyDescent="0.2">
      <c r="A20" s="525"/>
      <c r="B20" s="521"/>
      <c r="L20" s="525"/>
    </row>
    <row r="21" spans="1:12" x14ac:dyDescent="0.2">
      <c r="A21" s="525"/>
      <c r="B21" s="523" t="s">
        <v>911</v>
      </c>
      <c r="L21" s="525"/>
    </row>
    <row r="22" spans="1:12" x14ac:dyDescent="0.2">
      <c r="A22" s="525"/>
      <c r="L22" s="525"/>
    </row>
    <row r="23" spans="1:12" x14ac:dyDescent="0.2">
      <c r="A23" s="525"/>
      <c r="B23" s="523" t="s">
        <v>731</v>
      </c>
      <c r="E23" s="523" t="s">
        <v>732</v>
      </c>
      <c r="F23" s="961">
        <v>312000000</v>
      </c>
      <c r="G23" s="961"/>
      <c r="L23" s="525"/>
    </row>
    <row r="24" spans="1:12" x14ac:dyDescent="0.2">
      <c r="A24" s="525"/>
      <c r="L24" s="525"/>
    </row>
    <row r="25" spans="1:12" x14ac:dyDescent="0.2">
      <c r="A25" s="525"/>
      <c r="C25" s="960">
        <f>F23</f>
        <v>312000000</v>
      </c>
      <c r="D25" s="960"/>
      <c r="E25" s="523" t="s">
        <v>733</v>
      </c>
      <c r="F25" s="520">
        <v>1000</v>
      </c>
      <c r="G25" s="520" t="s">
        <v>732</v>
      </c>
      <c r="H25" s="629">
        <f>F23/F25</f>
        <v>312000</v>
      </c>
      <c r="L25" s="525"/>
    </row>
    <row r="26" spans="1:12" ht="15" thickBot="1" x14ac:dyDescent="0.25">
      <c r="A26" s="525"/>
      <c r="L26" s="525"/>
    </row>
    <row r="27" spans="1:12" x14ac:dyDescent="0.2">
      <c r="A27" s="525"/>
      <c r="B27" s="519" t="s">
        <v>728</v>
      </c>
      <c r="C27" s="518"/>
      <c r="D27" s="518"/>
      <c r="E27" s="518"/>
      <c r="F27" s="518"/>
      <c r="G27" s="518"/>
      <c r="H27" s="518"/>
      <c r="I27" s="518"/>
      <c r="J27" s="518"/>
      <c r="K27" s="517"/>
      <c r="L27" s="525"/>
    </row>
    <row r="28" spans="1:12" x14ac:dyDescent="0.2">
      <c r="A28" s="525"/>
      <c r="B28" s="516">
        <f>F23</f>
        <v>312000000</v>
      </c>
      <c r="C28" s="515" t="s">
        <v>734</v>
      </c>
      <c r="D28" s="515"/>
      <c r="E28" s="515" t="s">
        <v>733</v>
      </c>
      <c r="F28" s="631">
        <v>1000</v>
      </c>
      <c r="G28" s="631" t="s">
        <v>732</v>
      </c>
      <c r="H28" s="514">
        <f>B28/F28</f>
        <v>312000</v>
      </c>
      <c r="I28" s="515" t="s">
        <v>735</v>
      </c>
      <c r="J28" s="515"/>
      <c r="K28" s="513"/>
      <c r="L28" s="525"/>
    </row>
    <row r="29" spans="1:12" ht="15" thickBot="1" x14ac:dyDescent="0.25">
      <c r="A29" s="525"/>
      <c r="B29" s="464"/>
      <c r="C29" s="510"/>
      <c r="D29" s="510"/>
      <c r="E29" s="510"/>
      <c r="F29" s="510"/>
      <c r="G29" s="510"/>
      <c r="H29" s="510"/>
      <c r="I29" s="510"/>
      <c r="J29" s="510"/>
      <c r="K29" s="509"/>
      <c r="L29" s="525"/>
    </row>
    <row r="30" spans="1:12" ht="40.5" customHeight="1" x14ac:dyDescent="0.2">
      <c r="A30" s="525"/>
      <c r="B30" s="965" t="s">
        <v>724</v>
      </c>
      <c r="C30" s="965"/>
      <c r="D30" s="965"/>
      <c r="E30" s="965"/>
      <c r="F30" s="965"/>
      <c r="G30" s="965"/>
      <c r="H30" s="965"/>
      <c r="I30" s="965"/>
      <c r="J30" s="965"/>
      <c r="K30" s="965"/>
      <c r="L30" s="525"/>
    </row>
    <row r="31" spans="1:12" x14ac:dyDescent="0.2">
      <c r="A31" s="525"/>
      <c r="B31" s="958" t="s">
        <v>736</v>
      </c>
      <c r="C31" s="958"/>
      <c r="D31" s="958"/>
      <c r="E31" s="958"/>
      <c r="F31" s="958"/>
      <c r="G31" s="958"/>
      <c r="H31" s="958"/>
      <c r="I31" s="958"/>
      <c r="J31" s="958"/>
      <c r="K31" s="958"/>
      <c r="L31" s="525"/>
    </row>
    <row r="32" spans="1:12" x14ac:dyDescent="0.2">
      <c r="A32" s="525"/>
      <c r="L32" s="525"/>
    </row>
    <row r="33" spans="1:12" x14ac:dyDescent="0.2">
      <c r="A33" s="525"/>
      <c r="B33" s="958" t="s">
        <v>737</v>
      </c>
      <c r="C33" s="958"/>
      <c r="D33" s="958"/>
      <c r="E33" s="958"/>
      <c r="F33" s="958"/>
      <c r="G33" s="958"/>
      <c r="H33" s="958"/>
      <c r="I33" s="958"/>
      <c r="J33" s="958"/>
      <c r="K33" s="958"/>
      <c r="L33" s="525"/>
    </row>
    <row r="34" spans="1:12" x14ac:dyDescent="0.2">
      <c r="A34" s="525"/>
      <c r="L34" s="525"/>
    </row>
    <row r="35" spans="1:12" ht="89.25" customHeight="1" x14ac:dyDescent="0.2">
      <c r="A35" s="525"/>
      <c r="B35" s="959" t="s">
        <v>738</v>
      </c>
      <c r="C35" s="962"/>
      <c r="D35" s="962"/>
      <c r="E35" s="962"/>
      <c r="F35" s="962"/>
      <c r="G35" s="962"/>
      <c r="H35" s="962"/>
      <c r="I35" s="962"/>
      <c r="J35" s="962"/>
      <c r="K35" s="962"/>
      <c r="L35" s="525"/>
    </row>
    <row r="36" spans="1:12" x14ac:dyDescent="0.2">
      <c r="A36" s="525"/>
      <c r="L36" s="525"/>
    </row>
    <row r="37" spans="1:12" x14ac:dyDescent="0.2">
      <c r="A37" s="525"/>
      <c r="B37" s="521" t="s">
        <v>739</v>
      </c>
      <c r="L37" s="525"/>
    </row>
    <row r="38" spans="1:12" x14ac:dyDescent="0.2">
      <c r="A38" s="525"/>
      <c r="L38" s="525"/>
    </row>
    <row r="39" spans="1:12" x14ac:dyDescent="0.2">
      <c r="A39" s="525"/>
      <c r="B39" s="523" t="s">
        <v>740</v>
      </c>
      <c r="L39" s="525"/>
    </row>
    <row r="40" spans="1:12" x14ac:dyDescent="0.2">
      <c r="A40" s="525"/>
      <c r="L40" s="525"/>
    </row>
    <row r="41" spans="1:12" x14ac:dyDescent="0.2">
      <c r="A41" s="525"/>
      <c r="C41" s="966">
        <v>312000000</v>
      </c>
      <c r="D41" s="966"/>
      <c r="E41" s="523" t="s">
        <v>733</v>
      </c>
      <c r="F41" s="520">
        <v>1000</v>
      </c>
      <c r="G41" s="520" t="s">
        <v>732</v>
      </c>
      <c r="H41" s="465">
        <f>C41/F41</f>
        <v>312000</v>
      </c>
      <c r="L41" s="525"/>
    </row>
    <row r="42" spans="1:12" x14ac:dyDescent="0.2">
      <c r="A42" s="525"/>
      <c r="L42" s="525"/>
    </row>
    <row r="43" spans="1:12" x14ac:dyDescent="0.2">
      <c r="A43" s="525"/>
      <c r="B43" s="523" t="s">
        <v>741</v>
      </c>
      <c r="L43" s="525"/>
    </row>
    <row r="44" spans="1:12" x14ac:dyDescent="0.2">
      <c r="A44" s="525"/>
      <c r="L44" s="525"/>
    </row>
    <row r="45" spans="1:12" x14ac:dyDescent="0.2">
      <c r="A45" s="525"/>
      <c r="B45" s="523" t="s">
        <v>742</v>
      </c>
      <c r="L45" s="525"/>
    </row>
    <row r="46" spans="1:12" ht="15" thickBot="1" x14ac:dyDescent="0.25">
      <c r="A46" s="525"/>
      <c r="L46" s="525"/>
    </row>
    <row r="47" spans="1:12" x14ac:dyDescent="0.2">
      <c r="A47" s="525"/>
      <c r="B47" s="466" t="s">
        <v>728</v>
      </c>
      <c r="C47" s="518"/>
      <c r="D47" s="518"/>
      <c r="E47" s="518"/>
      <c r="F47" s="518"/>
      <c r="G47" s="518"/>
      <c r="H47" s="518"/>
      <c r="I47" s="518"/>
      <c r="J47" s="518"/>
      <c r="K47" s="517"/>
      <c r="L47" s="525"/>
    </row>
    <row r="48" spans="1:12" x14ac:dyDescent="0.2">
      <c r="A48" s="525"/>
      <c r="B48" s="967">
        <v>312000000</v>
      </c>
      <c r="C48" s="961"/>
      <c r="D48" s="515" t="s">
        <v>743</v>
      </c>
      <c r="E48" s="515" t="s">
        <v>733</v>
      </c>
      <c r="F48" s="631">
        <v>1000</v>
      </c>
      <c r="G48" s="631" t="s">
        <v>732</v>
      </c>
      <c r="H48" s="514">
        <f>B48/F48</f>
        <v>312000</v>
      </c>
      <c r="I48" s="515" t="s">
        <v>744</v>
      </c>
      <c r="J48" s="515"/>
      <c r="K48" s="513"/>
      <c r="L48" s="525"/>
    </row>
    <row r="49" spans="1:24" x14ac:dyDescent="0.2">
      <c r="A49" s="525"/>
      <c r="B49" s="467"/>
      <c r="C49" s="515"/>
      <c r="D49" s="515"/>
      <c r="E49" s="515"/>
      <c r="F49" s="515"/>
      <c r="G49" s="515"/>
      <c r="H49" s="515"/>
      <c r="I49" s="515"/>
      <c r="J49" s="515"/>
      <c r="K49" s="513"/>
      <c r="L49" s="525"/>
    </row>
    <row r="50" spans="1:24" x14ac:dyDescent="0.2">
      <c r="A50" s="525"/>
      <c r="B50" s="468">
        <v>50000</v>
      </c>
      <c r="C50" s="515" t="s">
        <v>745</v>
      </c>
      <c r="D50" s="515"/>
      <c r="E50" s="515" t="s">
        <v>733</v>
      </c>
      <c r="F50" s="514">
        <f>H48</f>
        <v>312000</v>
      </c>
      <c r="G50" s="968" t="s">
        <v>746</v>
      </c>
      <c r="H50" s="969"/>
      <c r="I50" s="631" t="s">
        <v>732</v>
      </c>
      <c r="J50" s="469">
        <f>B50/F50</f>
        <v>0.16025641025641027</v>
      </c>
      <c r="K50" s="513"/>
      <c r="L50" s="525"/>
    </row>
    <row r="51" spans="1:24" ht="15" thickBot="1" x14ac:dyDescent="0.25">
      <c r="A51" s="525"/>
      <c r="B51" s="464"/>
      <c r="C51" s="510"/>
      <c r="D51" s="510"/>
      <c r="E51" s="510"/>
      <c r="F51" s="510"/>
      <c r="G51" s="510"/>
      <c r="H51" s="510"/>
      <c r="I51" s="963" t="s">
        <v>747</v>
      </c>
      <c r="J51" s="963"/>
      <c r="K51" s="964"/>
      <c r="L51" s="525"/>
      <c r="O51" s="609"/>
    </row>
    <row r="52" spans="1:24" ht="40.5" customHeight="1" x14ac:dyDescent="0.2">
      <c r="A52" s="525"/>
      <c r="B52" s="965" t="s">
        <v>724</v>
      </c>
      <c r="C52" s="965"/>
      <c r="D52" s="965"/>
      <c r="E52" s="965"/>
      <c r="F52" s="965"/>
      <c r="G52" s="965"/>
      <c r="H52" s="965"/>
      <c r="I52" s="965"/>
      <c r="J52" s="965"/>
      <c r="K52" s="965"/>
      <c r="L52" s="525"/>
    </row>
    <row r="53" spans="1:24" x14ac:dyDescent="0.2">
      <c r="A53" s="525"/>
      <c r="B53" s="958" t="s">
        <v>748</v>
      </c>
      <c r="C53" s="958"/>
      <c r="D53" s="958"/>
      <c r="E53" s="958"/>
      <c r="F53" s="958"/>
      <c r="G53" s="958"/>
      <c r="H53" s="958"/>
      <c r="I53" s="958"/>
      <c r="J53" s="958"/>
      <c r="K53" s="958"/>
      <c r="L53" s="525"/>
    </row>
    <row r="54" spans="1:24" x14ac:dyDescent="0.2">
      <c r="A54" s="525"/>
      <c r="B54" s="628"/>
      <c r="C54" s="628"/>
      <c r="D54" s="628"/>
      <c r="E54" s="628"/>
      <c r="F54" s="628"/>
      <c r="G54" s="628"/>
      <c r="H54" s="628"/>
      <c r="I54" s="628"/>
      <c r="J54" s="628"/>
      <c r="K54" s="628"/>
      <c r="L54" s="525"/>
    </row>
    <row r="55" spans="1:24" x14ac:dyDescent="0.2">
      <c r="A55" s="525"/>
      <c r="B55" s="954" t="s">
        <v>749</v>
      </c>
      <c r="C55" s="954"/>
      <c r="D55" s="954"/>
      <c r="E55" s="954"/>
      <c r="F55" s="954"/>
      <c r="G55" s="954"/>
      <c r="H55" s="954"/>
      <c r="I55" s="954"/>
      <c r="J55" s="954"/>
      <c r="K55" s="954"/>
      <c r="L55" s="525"/>
    </row>
    <row r="56" spans="1:24" ht="15" customHeight="1" x14ac:dyDescent="0.2">
      <c r="A56" s="525"/>
      <c r="L56" s="525"/>
    </row>
    <row r="57" spans="1:24" ht="74.25" customHeight="1" x14ac:dyDescent="0.2">
      <c r="A57" s="525"/>
      <c r="B57" s="959" t="s">
        <v>750</v>
      </c>
      <c r="C57" s="962"/>
      <c r="D57" s="962"/>
      <c r="E57" s="962"/>
      <c r="F57" s="962"/>
      <c r="G57" s="962"/>
      <c r="H57" s="962"/>
      <c r="I57" s="962"/>
      <c r="J57" s="962"/>
      <c r="K57" s="962"/>
      <c r="L57" s="525"/>
      <c r="M57" s="470"/>
      <c r="N57" s="471"/>
      <c r="O57" s="471"/>
      <c r="P57" s="471"/>
      <c r="Q57" s="471"/>
      <c r="R57" s="471"/>
      <c r="S57" s="471"/>
      <c r="T57" s="471"/>
      <c r="U57" s="471"/>
      <c r="V57" s="471"/>
      <c r="W57" s="471"/>
      <c r="X57" s="471"/>
    </row>
    <row r="58" spans="1:24" ht="15" customHeight="1" x14ac:dyDescent="0.2">
      <c r="A58" s="525"/>
      <c r="B58" s="959"/>
      <c r="C58" s="962"/>
      <c r="D58" s="962"/>
      <c r="E58" s="962"/>
      <c r="F58" s="962"/>
      <c r="G58" s="962"/>
      <c r="H58" s="962"/>
      <c r="I58" s="962"/>
      <c r="J58" s="962"/>
      <c r="K58" s="962"/>
      <c r="L58" s="525"/>
      <c r="M58" s="470"/>
      <c r="N58" s="471"/>
      <c r="O58" s="471"/>
      <c r="P58" s="471"/>
      <c r="Q58" s="471"/>
      <c r="R58" s="471"/>
      <c r="S58" s="471"/>
      <c r="T58" s="471"/>
      <c r="U58" s="471"/>
      <c r="V58" s="471"/>
      <c r="W58" s="471"/>
      <c r="X58" s="471"/>
    </row>
    <row r="59" spans="1:24" x14ac:dyDescent="0.2">
      <c r="A59" s="525"/>
      <c r="B59" s="521" t="s">
        <v>739</v>
      </c>
      <c r="L59" s="525"/>
      <c r="M59" s="471"/>
      <c r="N59" s="471"/>
      <c r="O59" s="471"/>
      <c r="P59" s="471"/>
      <c r="Q59" s="471"/>
      <c r="R59" s="471"/>
      <c r="S59" s="471"/>
      <c r="T59" s="471"/>
      <c r="U59" s="471"/>
      <c r="V59" s="471"/>
      <c r="W59" s="471"/>
      <c r="X59" s="471"/>
    </row>
    <row r="60" spans="1:24" x14ac:dyDescent="0.2">
      <c r="A60" s="525"/>
      <c r="L60" s="525"/>
      <c r="M60" s="471"/>
      <c r="N60" s="471"/>
      <c r="O60" s="471"/>
      <c r="P60" s="471"/>
      <c r="Q60" s="471"/>
      <c r="R60" s="471"/>
      <c r="S60" s="471"/>
      <c r="T60" s="471"/>
      <c r="U60" s="471"/>
      <c r="V60" s="471"/>
      <c r="W60" s="471"/>
      <c r="X60" s="471"/>
    </row>
    <row r="61" spans="1:24" x14ac:dyDescent="0.2">
      <c r="A61" s="525"/>
      <c r="B61" s="523" t="s">
        <v>751</v>
      </c>
      <c r="L61" s="525"/>
      <c r="M61" s="471"/>
      <c r="N61" s="471"/>
      <c r="O61" s="471"/>
      <c r="P61" s="471"/>
      <c r="Q61" s="471"/>
      <c r="R61" s="471"/>
      <c r="S61" s="471"/>
      <c r="T61" s="471"/>
      <c r="U61" s="471"/>
      <c r="V61" s="471"/>
      <c r="W61" s="471"/>
      <c r="X61" s="471"/>
    </row>
    <row r="62" spans="1:24" x14ac:dyDescent="0.2">
      <c r="A62" s="525"/>
      <c r="B62" s="523" t="s">
        <v>912</v>
      </c>
      <c r="L62" s="525"/>
      <c r="M62" s="471"/>
      <c r="N62" s="471"/>
      <c r="O62" s="471"/>
      <c r="P62" s="471"/>
      <c r="Q62" s="471"/>
      <c r="R62" s="471"/>
      <c r="S62" s="471"/>
      <c r="T62" s="471"/>
      <c r="U62" s="471"/>
      <c r="V62" s="471"/>
      <c r="W62" s="471"/>
      <c r="X62" s="471"/>
    </row>
    <row r="63" spans="1:24" x14ac:dyDescent="0.2">
      <c r="A63" s="525"/>
      <c r="B63" s="523" t="s">
        <v>913</v>
      </c>
      <c r="L63" s="525"/>
      <c r="M63" s="471"/>
      <c r="N63" s="471"/>
      <c r="O63" s="471"/>
      <c r="P63" s="471"/>
      <c r="Q63" s="471"/>
      <c r="R63" s="471"/>
      <c r="S63" s="471"/>
      <c r="T63" s="471"/>
      <c r="U63" s="471"/>
      <c r="V63" s="471"/>
      <c r="W63" s="471"/>
      <c r="X63" s="471"/>
    </row>
    <row r="64" spans="1:24" x14ac:dyDescent="0.2">
      <c r="A64" s="525"/>
      <c r="L64" s="525"/>
      <c r="M64" s="471"/>
      <c r="N64" s="471"/>
      <c r="O64" s="471"/>
      <c r="P64" s="471"/>
      <c r="Q64" s="471"/>
      <c r="R64" s="471"/>
      <c r="S64" s="471"/>
      <c r="T64" s="471"/>
      <c r="U64" s="471"/>
      <c r="V64" s="471"/>
      <c r="W64" s="471"/>
      <c r="X64" s="471"/>
    </row>
    <row r="65" spans="1:24" x14ac:dyDescent="0.2">
      <c r="A65" s="525"/>
      <c r="B65" s="523" t="s">
        <v>752</v>
      </c>
      <c r="L65" s="525"/>
      <c r="M65" s="471"/>
      <c r="N65" s="471"/>
      <c r="O65" s="471"/>
      <c r="P65" s="471"/>
      <c r="Q65" s="471"/>
      <c r="R65" s="471"/>
      <c r="S65" s="471"/>
      <c r="T65" s="471"/>
      <c r="U65" s="471"/>
      <c r="V65" s="471"/>
      <c r="W65" s="471"/>
      <c r="X65" s="471"/>
    </row>
    <row r="66" spans="1:24" x14ac:dyDescent="0.2">
      <c r="A66" s="525"/>
      <c r="B66" s="523" t="s">
        <v>753</v>
      </c>
      <c r="L66" s="525"/>
      <c r="M66" s="471"/>
      <c r="N66" s="471"/>
      <c r="O66" s="471"/>
      <c r="P66" s="471"/>
      <c r="Q66" s="471"/>
      <c r="R66" s="471"/>
      <c r="S66" s="471"/>
      <c r="T66" s="471"/>
      <c r="U66" s="471"/>
      <c r="V66" s="471"/>
      <c r="W66" s="471"/>
      <c r="X66" s="471"/>
    </row>
    <row r="67" spans="1:24" x14ac:dyDescent="0.2">
      <c r="A67" s="525"/>
      <c r="L67" s="525"/>
      <c r="M67" s="471"/>
      <c r="N67" s="471"/>
      <c r="O67" s="471"/>
      <c r="P67" s="471"/>
      <c r="Q67" s="471"/>
      <c r="R67" s="471"/>
      <c r="S67" s="471"/>
      <c r="T67" s="471"/>
      <c r="U67" s="471"/>
      <c r="V67" s="471"/>
      <c r="W67" s="471"/>
      <c r="X67" s="471"/>
    </row>
    <row r="68" spans="1:24" x14ac:dyDescent="0.2">
      <c r="A68" s="525"/>
      <c r="B68" s="523" t="s">
        <v>754</v>
      </c>
      <c r="L68" s="525"/>
      <c r="M68" s="472"/>
      <c r="N68" s="473"/>
      <c r="O68" s="473"/>
      <c r="P68" s="473"/>
      <c r="Q68" s="473"/>
      <c r="R68" s="473"/>
      <c r="S68" s="473"/>
      <c r="T68" s="473"/>
      <c r="U68" s="473"/>
      <c r="V68" s="473"/>
      <c r="W68" s="473"/>
      <c r="X68" s="471"/>
    </row>
    <row r="69" spans="1:24" x14ac:dyDescent="0.2">
      <c r="A69" s="525"/>
      <c r="B69" s="523" t="s">
        <v>914</v>
      </c>
      <c r="L69" s="525"/>
      <c r="M69" s="471"/>
      <c r="N69" s="471"/>
      <c r="O69" s="471"/>
      <c r="P69" s="471"/>
      <c r="Q69" s="471"/>
      <c r="R69" s="471"/>
      <c r="S69" s="471"/>
      <c r="T69" s="471"/>
      <c r="U69" s="471"/>
      <c r="V69" s="471"/>
      <c r="W69" s="471"/>
      <c r="X69" s="471"/>
    </row>
    <row r="70" spans="1:24" x14ac:dyDescent="0.2">
      <c r="A70" s="525"/>
      <c r="B70" s="523" t="s">
        <v>915</v>
      </c>
      <c r="L70" s="525"/>
      <c r="M70" s="471"/>
      <c r="N70" s="471"/>
      <c r="O70" s="471"/>
      <c r="P70" s="471"/>
      <c r="Q70" s="471"/>
      <c r="R70" s="471"/>
      <c r="S70" s="471"/>
      <c r="T70" s="471"/>
      <c r="U70" s="471"/>
      <c r="V70" s="471"/>
      <c r="W70" s="471"/>
      <c r="X70" s="471"/>
    </row>
    <row r="71" spans="1:24" ht="15" thickBot="1" x14ac:dyDescent="0.25">
      <c r="A71" s="525"/>
      <c r="B71" s="515"/>
      <c r="C71" s="515"/>
      <c r="D71" s="515"/>
      <c r="E71" s="515"/>
      <c r="F71" s="515"/>
      <c r="G71" s="515"/>
      <c r="H71" s="515"/>
      <c r="I71" s="515"/>
      <c r="J71" s="515"/>
      <c r="K71" s="515"/>
      <c r="L71" s="525"/>
    </row>
    <row r="72" spans="1:24" x14ac:dyDescent="0.2">
      <c r="A72" s="525"/>
      <c r="B72" s="519" t="s">
        <v>728</v>
      </c>
      <c r="C72" s="518"/>
      <c r="D72" s="518"/>
      <c r="E72" s="518"/>
      <c r="F72" s="518"/>
      <c r="G72" s="518"/>
      <c r="H72" s="518"/>
      <c r="I72" s="518"/>
      <c r="J72" s="518"/>
      <c r="K72" s="517"/>
      <c r="L72" s="474"/>
    </row>
    <row r="73" spans="1:24" x14ac:dyDescent="0.2">
      <c r="A73" s="525"/>
      <c r="B73" s="467"/>
      <c r="C73" s="515" t="s">
        <v>734</v>
      </c>
      <c r="D73" s="515"/>
      <c r="E73" s="515"/>
      <c r="F73" s="515"/>
      <c r="G73" s="515"/>
      <c r="H73" s="515"/>
      <c r="I73" s="515"/>
      <c r="J73" s="515"/>
      <c r="K73" s="513"/>
      <c r="L73" s="474"/>
    </row>
    <row r="74" spans="1:24" x14ac:dyDescent="0.2">
      <c r="A74" s="525"/>
      <c r="B74" s="467" t="s">
        <v>755</v>
      </c>
      <c r="C74" s="961">
        <v>312000000</v>
      </c>
      <c r="D74" s="961"/>
      <c r="E74" s="631" t="s">
        <v>733</v>
      </c>
      <c r="F74" s="631">
        <v>1000</v>
      </c>
      <c r="G74" s="631" t="s">
        <v>732</v>
      </c>
      <c r="H74" s="623">
        <f>C74/F74</f>
        <v>312000</v>
      </c>
      <c r="I74" s="515" t="s">
        <v>756</v>
      </c>
      <c r="J74" s="515"/>
      <c r="K74" s="513"/>
      <c r="L74" s="474"/>
    </row>
    <row r="75" spans="1:24" x14ac:dyDescent="0.2">
      <c r="A75" s="525"/>
      <c r="B75" s="467"/>
      <c r="C75" s="515"/>
      <c r="D75" s="515"/>
      <c r="E75" s="631"/>
      <c r="F75" s="515"/>
      <c r="G75" s="515"/>
      <c r="H75" s="515"/>
      <c r="I75" s="515"/>
      <c r="J75" s="515"/>
      <c r="K75" s="513"/>
      <c r="L75" s="474"/>
    </row>
    <row r="76" spans="1:24" x14ac:dyDescent="0.2">
      <c r="A76" s="525"/>
      <c r="B76" s="467"/>
      <c r="C76" s="515" t="s">
        <v>757</v>
      </c>
      <c r="D76" s="515"/>
      <c r="E76" s="631"/>
      <c r="F76" s="515" t="s">
        <v>756</v>
      </c>
      <c r="G76" s="515"/>
      <c r="H76" s="515"/>
      <c r="I76" s="515"/>
      <c r="J76" s="515"/>
      <c r="K76" s="513"/>
      <c r="L76" s="474"/>
    </row>
    <row r="77" spans="1:24" x14ac:dyDescent="0.2">
      <c r="A77" s="525"/>
      <c r="B77" s="467" t="s">
        <v>760</v>
      </c>
      <c r="C77" s="961">
        <v>50000</v>
      </c>
      <c r="D77" s="961"/>
      <c r="E77" s="631" t="s">
        <v>733</v>
      </c>
      <c r="F77" s="623">
        <f>H74</f>
        <v>312000</v>
      </c>
      <c r="G77" s="631" t="s">
        <v>732</v>
      </c>
      <c r="H77" s="469">
        <f>C77/F77</f>
        <v>0.16025641025641027</v>
      </c>
      <c r="I77" s="515" t="s">
        <v>758</v>
      </c>
      <c r="J77" s="515"/>
      <c r="K77" s="513"/>
      <c r="L77" s="474"/>
    </row>
    <row r="78" spans="1:24" x14ac:dyDescent="0.2">
      <c r="A78" s="525"/>
      <c r="B78" s="467"/>
      <c r="C78" s="515"/>
      <c r="D78" s="515"/>
      <c r="E78" s="631"/>
      <c r="F78" s="515"/>
      <c r="G78" s="515"/>
      <c r="H78" s="515"/>
      <c r="I78" s="515"/>
      <c r="J78" s="515"/>
      <c r="K78" s="513"/>
      <c r="L78" s="474"/>
    </row>
    <row r="79" spans="1:24" x14ac:dyDescent="0.2">
      <c r="A79" s="525"/>
      <c r="B79" s="475"/>
      <c r="C79" s="476" t="s">
        <v>759</v>
      </c>
      <c r="D79" s="476"/>
      <c r="E79" s="624"/>
      <c r="F79" s="476"/>
      <c r="G79" s="476"/>
      <c r="H79" s="476"/>
      <c r="I79" s="476"/>
      <c r="J79" s="476"/>
      <c r="K79" s="477"/>
      <c r="L79" s="474"/>
    </row>
    <row r="80" spans="1:24" x14ac:dyDescent="0.2">
      <c r="A80" s="525"/>
      <c r="B80" s="467" t="s">
        <v>820</v>
      </c>
      <c r="C80" s="961">
        <v>100000</v>
      </c>
      <c r="D80" s="961"/>
      <c r="E80" s="631" t="s">
        <v>290</v>
      </c>
      <c r="F80" s="631">
        <v>0.115</v>
      </c>
      <c r="G80" s="631" t="s">
        <v>732</v>
      </c>
      <c r="H80" s="623">
        <f>C80*F80</f>
        <v>11500</v>
      </c>
      <c r="I80" s="515" t="s">
        <v>761</v>
      </c>
      <c r="J80" s="515"/>
      <c r="K80" s="513"/>
      <c r="L80" s="474"/>
    </row>
    <row r="81" spans="1:12" x14ac:dyDescent="0.2">
      <c r="A81" s="525"/>
      <c r="B81" s="467"/>
      <c r="C81" s="515"/>
      <c r="D81" s="515"/>
      <c r="E81" s="631"/>
      <c r="F81" s="515"/>
      <c r="G81" s="515"/>
      <c r="H81" s="515"/>
      <c r="I81" s="515"/>
      <c r="J81" s="515"/>
      <c r="K81" s="513"/>
      <c r="L81" s="474"/>
    </row>
    <row r="82" spans="1:12" x14ac:dyDescent="0.2">
      <c r="A82" s="525"/>
      <c r="B82" s="475"/>
      <c r="C82" s="476" t="s">
        <v>762</v>
      </c>
      <c r="D82" s="476"/>
      <c r="E82" s="624"/>
      <c r="F82" s="476" t="s">
        <v>758</v>
      </c>
      <c r="G82" s="476"/>
      <c r="H82" s="476"/>
      <c r="I82" s="476"/>
      <c r="J82" s="476" t="s">
        <v>763</v>
      </c>
      <c r="K82" s="477"/>
      <c r="L82" s="474"/>
    </row>
    <row r="83" spans="1:12" x14ac:dyDescent="0.2">
      <c r="A83" s="525"/>
      <c r="B83" s="467" t="s">
        <v>821</v>
      </c>
      <c r="C83" s="971">
        <f>H80</f>
        <v>11500</v>
      </c>
      <c r="D83" s="971"/>
      <c r="E83" s="631" t="s">
        <v>290</v>
      </c>
      <c r="F83" s="469">
        <f>H77</f>
        <v>0.16025641025641027</v>
      </c>
      <c r="G83" s="631" t="s">
        <v>733</v>
      </c>
      <c r="H83" s="631">
        <v>1000</v>
      </c>
      <c r="I83" s="631" t="s">
        <v>732</v>
      </c>
      <c r="J83" s="625">
        <f>C83*F83/H83</f>
        <v>1.8429487179487181</v>
      </c>
      <c r="K83" s="513"/>
      <c r="L83" s="474"/>
    </row>
    <row r="84" spans="1:12" ht="15" thickBot="1" x14ac:dyDescent="0.25">
      <c r="A84" s="525"/>
      <c r="B84" s="464"/>
      <c r="C84" s="478"/>
      <c r="D84" s="478"/>
      <c r="E84" s="479"/>
      <c r="F84" s="480"/>
      <c r="G84" s="479"/>
      <c r="H84" s="479"/>
      <c r="I84" s="479"/>
      <c r="J84" s="481"/>
      <c r="K84" s="509"/>
      <c r="L84" s="474"/>
    </row>
    <row r="85" spans="1:12" ht="40.5" customHeight="1" x14ac:dyDescent="0.2">
      <c r="A85" s="525"/>
      <c r="B85" s="965" t="s">
        <v>724</v>
      </c>
      <c r="C85" s="965"/>
      <c r="D85" s="965"/>
      <c r="E85" s="965"/>
      <c r="F85" s="965"/>
      <c r="G85" s="965"/>
      <c r="H85" s="965"/>
      <c r="I85" s="965"/>
      <c r="J85" s="965"/>
      <c r="K85" s="965"/>
      <c r="L85" s="525"/>
    </row>
    <row r="86" spans="1:12" x14ac:dyDescent="0.2">
      <c r="A86" s="525"/>
      <c r="B86" s="954" t="s">
        <v>764</v>
      </c>
      <c r="C86" s="954"/>
      <c r="D86" s="954"/>
      <c r="E86" s="954"/>
      <c r="F86" s="954"/>
      <c r="G86" s="954"/>
      <c r="H86" s="954"/>
      <c r="I86" s="954"/>
      <c r="J86" s="954"/>
      <c r="K86" s="954"/>
      <c r="L86" s="525"/>
    </row>
    <row r="87" spans="1:12" x14ac:dyDescent="0.2">
      <c r="A87" s="525"/>
      <c r="B87" s="482"/>
      <c r="C87" s="482"/>
      <c r="D87" s="482"/>
      <c r="E87" s="482"/>
      <c r="F87" s="482"/>
      <c r="G87" s="482"/>
      <c r="H87" s="482"/>
      <c r="I87" s="482"/>
      <c r="J87" s="482"/>
      <c r="K87" s="482"/>
      <c r="L87" s="525"/>
    </row>
    <row r="88" spans="1:12" x14ac:dyDescent="0.2">
      <c r="A88" s="525"/>
      <c r="B88" s="954" t="s">
        <v>765</v>
      </c>
      <c r="C88" s="954"/>
      <c r="D88" s="954"/>
      <c r="E88" s="954"/>
      <c r="F88" s="954"/>
      <c r="G88" s="954"/>
      <c r="H88" s="954"/>
      <c r="I88" s="954"/>
      <c r="J88" s="954"/>
      <c r="K88" s="954"/>
      <c r="L88" s="525"/>
    </row>
    <row r="89" spans="1:12" x14ac:dyDescent="0.2">
      <c r="A89" s="525"/>
      <c r="B89" s="627"/>
      <c r="C89" s="627"/>
      <c r="D89" s="627"/>
      <c r="E89" s="627"/>
      <c r="F89" s="627"/>
      <c r="G89" s="627"/>
      <c r="H89" s="627"/>
      <c r="I89" s="627"/>
      <c r="J89" s="627"/>
      <c r="K89" s="627"/>
      <c r="L89" s="525"/>
    </row>
    <row r="90" spans="1:12" ht="45" customHeight="1" x14ac:dyDescent="0.2">
      <c r="A90" s="525"/>
      <c r="B90" s="959" t="s">
        <v>766</v>
      </c>
      <c r="C90" s="959"/>
      <c r="D90" s="959"/>
      <c r="E90" s="959"/>
      <c r="F90" s="959"/>
      <c r="G90" s="959"/>
      <c r="H90" s="959"/>
      <c r="I90" s="959"/>
      <c r="J90" s="959"/>
      <c r="K90" s="959"/>
      <c r="L90" s="525"/>
    </row>
    <row r="91" spans="1:12" ht="15" customHeight="1" thickBot="1" x14ac:dyDescent="0.25">
      <c r="A91" s="525"/>
      <c r="L91" s="525"/>
    </row>
    <row r="92" spans="1:12" ht="15" customHeight="1" x14ac:dyDescent="0.2">
      <c r="A92" s="525"/>
      <c r="B92" s="483" t="s">
        <v>728</v>
      </c>
      <c r="C92" s="484"/>
      <c r="D92" s="484"/>
      <c r="E92" s="484"/>
      <c r="F92" s="484"/>
      <c r="G92" s="484"/>
      <c r="H92" s="484"/>
      <c r="I92" s="484"/>
      <c r="J92" s="484"/>
      <c r="K92" s="485"/>
      <c r="L92" s="525"/>
    </row>
    <row r="93" spans="1:12" ht="15" customHeight="1" x14ac:dyDescent="0.2">
      <c r="A93" s="525"/>
      <c r="B93" s="486"/>
      <c r="C93" s="630" t="s">
        <v>734</v>
      </c>
      <c r="D93" s="630"/>
      <c r="E93" s="630"/>
      <c r="F93" s="630"/>
      <c r="G93" s="630"/>
      <c r="H93" s="630"/>
      <c r="I93" s="630"/>
      <c r="J93" s="630"/>
      <c r="K93" s="487"/>
      <c r="L93" s="525"/>
    </row>
    <row r="94" spans="1:12" ht="15" customHeight="1" x14ac:dyDescent="0.2">
      <c r="A94" s="525"/>
      <c r="B94" s="486" t="s">
        <v>755</v>
      </c>
      <c r="C94" s="961">
        <v>312000000</v>
      </c>
      <c r="D94" s="961"/>
      <c r="E94" s="631" t="s">
        <v>733</v>
      </c>
      <c r="F94" s="631">
        <v>1000</v>
      </c>
      <c r="G94" s="631" t="s">
        <v>732</v>
      </c>
      <c r="H94" s="623">
        <f>C94/F94</f>
        <v>312000</v>
      </c>
      <c r="I94" s="630" t="s">
        <v>756</v>
      </c>
      <c r="J94" s="630"/>
      <c r="K94" s="487"/>
      <c r="L94" s="525"/>
    </row>
    <row r="95" spans="1:12" ht="15" customHeight="1" x14ac:dyDescent="0.2">
      <c r="A95" s="525"/>
      <c r="B95" s="486"/>
      <c r="C95" s="630"/>
      <c r="D95" s="630"/>
      <c r="E95" s="631"/>
      <c r="F95" s="630"/>
      <c r="G95" s="630"/>
      <c r="H95" s="630"/>
      <c r="I95" s="630"/>
      <c r="J95" s="630"/>
      <c r="K95" s="487"/>
      <c r="L95" s="525"/>
    </row>
    <row r="96" spans="1:12" ht="15" customHeight="1" x14ac:dyDescent="0.2">
      <c r="A96" s="525"/>
      <c r="B96" s="486"/>
      <c r="C96" s="630" t="s">
        <v>757</v>
      </c>
      <c r="D96" s="630"/>
      <c r="E96" s="631"/>
      <c r="F96" s="630" t="s">
        <v>756</v>
      </c>
      <c r="G96" s="630"/>
      <c r="H96" s="630"/>
      <c r="I96" s="630"/>
      <c r="J96" s="630"/>
      <c r="K96" s="487"/>
      <c r="L96" s="525"/>
    </row>
    <row r="97" spans="1:12" ht="15" customHeight="1" x14ac:dyDescent="0.2">
      <c r="A97" s="525"/>
      <c r="B97" s="486" t="s">
        <v>760</v>
      </c>
      <c r="C97" s="961">
        <v>50000</v>
      </c>
      <c r="D97" s="961"/>
      <c r="E97" s="631" t="s">
        <v>733</v>
      </c>
      <c r="F97" s="623">
        <f>H94</f>
        <v>312000</v>
      </c>
      <c r="G97" s="631" t="s">
        <v>732</v>
      </c>
      <c r="H97" s="469">
        <f>C97/F97</f>
        <v>0.16025641025641027</v>
      </c>
      <c r="I97" s="630" t="s">
        <v>758</v>
      </c>
      <c r="J97" s="630"/>
      <c r="K97" s="487"/>
      <c r="L97" s="525"/>
    </row>
    <row r="98" spans="1:12" ht="15" customHeight="1" x14ac:dyDescent="0.2">
      <c r="A98" s="525"/>
      <c r="B98" s="486"/>
      <c r="C98" s="630"/>
      <c r="D98" s="630"/>
      <c r="E98" s="631"/>
      <c r="F98" s="630"/>
      <c r="G98" s="630"/>
      <c r="H98" s="630"/>
      <c r="I98" s="630"/>
      <c r="J98" s="630"/>
      <c r="K98" s="487"/>
      <c r="L98" s="525"/>
    </row>
    <row r="99" spans="1:12" ht="15" customHeight="1" x14ac:dyDescent="0.2">
      <c r="A99" s="525"/>
      <c r="B99" s="488"/>
      <c r="C99" s="489" t="s">
        <v>767</v>
      </c>
      <c r="D99" s="489"/>
      <c r="E99" s="624"/>
      <c r="F99" s="489"/>
      <c r="G99" s="489"/>
      <c r="H99" s="489"/>
      <c r="I99" s="489"/>
      <c r="J99" s="489"/>
      <c r="K99" s="490"/>
      <c r="L99" s="525"/>
    </row>
    <row r="100" spans="1:12" ht="15" customHeight="1" x14ac:dyDescent="0.2">
      <c r="A100" s="525"/>
      <c r="B100" s="486" t="s">
        <v>820</v>
      </c>
      <c r="C100" s="961">
        <v>2500000</v>
      </c>
      <c r="D100" s="961"/>
      <c r="E100" s="631" t="s">
        <v>290</v>
      </c>
      <c r="F100" s="491">
        <v>0.3</v>
      </c>
      <c r="G100" s="631" t="s">
        <v>732</v>
      </c>
      <c r="H100" s="623">
        <f>C100*F100</f>
        <v>750000</v>
      </c>
      <c r="I100" s="630" t="s">
        <v>761</v>
      </c>
      <c r="J100" s="630"/>
      <c r="K100" s="487"/>
      <c r="L100" s="525"/>
    </row>
    <row r="101" spans="1:12" ht="15" customHeight="1" x14ac:dyDescent="0.2">
      <c r="A101" s="525"/>
      <c r="B101" s="486"/>
      <c r="C101" s="630"/>
      <c r="D101" s="630"/>
      <c r="E101" s="631"/>
      <c r="F101" s="630"/>
      <c r="G101" s="630"/>
      <c r="H101" s="630"/>
      <c r="I101" s="630"/>
      <c r="J101" s="630"/>
      <c r="K101" s="487"/>
      <c r="L101" s="525"/>
    </row>
    <row r="102" spans="1:12" ht="15" customHeight="1" x14ac:dyDescent="0.2">
      <c r="A102" s="525"/>
      <c r="B102" s="488"/>
      <c r="C102" s="489" t="s">
        <v>762</v>
      </c>
      <c r="D102" s="489"/>
      <c r="E102" s="624"/>
      <c r="F102" s="489" t="s">
        <v>758</v>
      </c>
      <c r="G102" s="489"/>
      <c r="H102" s="489"/>
      <c r="I102" s="489"/>
      <c r="J102" s="489" t="s">
        <v>763</v>
      </c>
      <c r="K102" s="490"/>
      <c r="L102" s="525"/>
    </row>
    <row r="103" spans="1:12" ht="15" customHeight="1" x14ac:dyDescent="0.2">
      <c r="A103" s="525"/>
      <c r="B103" s="486" t="s">
        <v>821</v>
      </c>
      <c r="C103" s="971">
        <f>H100</f>
        <v>750000</v>
      </c>
      <c r="D103" s="971"/>
      <c r="E103" s="631" t="s">
        <v>290</v>
      </c>
      <c r="F103" s="469">
        <f>H97</f>
        <v>0.16025641025641027</v>
      </c>
      <c r="G103" s="631" t="s">
        <v>733</v>
      </c>
      <c r="H103" s="631">
        <v>1000</v>
      </c>
      <c r="I103" s="631" t="s">
        <v>732</v>
      </c>
      <c r="J103" s="625">
        <f>C103*F103/H103</f>
        <v>120.19230769230771</v>
      </c>
      <c r="K103" s="487"/>
      <c r="L103" s="525"/>
    </row>
    <row r="104" spans="1:12" ht="15" customHeight="1" thickBot="1" x14ac:dyDescent="0.25">
      <c r="A104" s="525"/>
      <c r="B104" s="492"/>
      <c r="C104" s="478"/>
      <c r="D104" s="478"/>
      <c r="E104" s="479"/>
      <c r="F104" s="480"/>
      <c r="G104" s="479"/>
      <c r="H104" s="479"/>
      <c r="I104" s="479"/>
      <c r="J104" s="481"/>
      <c r="K104" s="632"/>
      <c r="L104" s="525"/>
    </row>
    <row r="105" spans="1:12" ht="40.5" customHeight="1" x14ac:dyDescent="0.2">
      <c r="A105" s="525"/>
      <c r="B105" s="965" t="s">
        <v>724</v>
      </c>
      <c r="C105" s="972"/>
      <c r="D105" s="972"/>
      <c r="E105" s="972"/>
      <c r="F105" s="972"/>
      <c r="G105" s="972"/>
      <c r="H105" s="972"/>
      <c r="I105" s="972"/>
      <c r="J105" s="972"/>
      <c r="K105" s="972"/>
      <c r="L105" s="525"/>
    </row>
    <row r="106" spans="1:12" ht="15" customHeight="1" x14ac:dyDescent="0.2">
      <c r="A106" s="525"/>
      <c r="B106" s="973" t="s">
        <v>768</v>
      </c>
      <c r="C106" s="955"/>
      <c r="D106" s="955"/>
      <c r="E106" s="955"/>
      <c r="F106" s="955"/>
      <c r="G106" s="955"/>
      <c r="H106" s="955"/>
      <c r="I106" s="955"/>
      <c r="J106" s="955"/>
      <c r="K106" s="955"/>
      <c r="L106" s="525"/>
    </row>
    <row r="107" spans="1:12" ht="15" customHeight="1" x14ac:dyDescent="0.2">
      <c r="A107" s="525"/>
      <c r="B107" s="630"/>
      <c r="C107" s="493"/>
      <c r="D107" s="493"/>
      <c r="E107" s="631"/>
      <c r="F107" s="469"/>
      <c r="G107" s="631"/>
      <c r="H107" s="631"/>
      <c r="I107" s="631"/>
      <c r="J107" s="625"/>
      <c r="K107" s="630"/>
      <c r="L107" s="525"/>
    </row>
    <row r="108" spans="1:12" ht="15" customHeight="1" x14ac:dyDescent="0.2">
      <c r="A108" s="525"/>
      <c r="B108" s="973" t="s">
        <v>769</v>
      </c>
      <c r="C108" s="974"/>
      <c r="D108" s="974"/>
      <c r="E108" s="974"/>
      <c r="F108" s="974"/>
      <c r="G108" s="974"/>
      <c r="H108" s="974"/>
      <c r="I108" s="974"/>
      <c r="J108" s="974"/>
      <c r="K108" s="974"/>
      <c r="L108" s="525"/>
    </row>
    <row r="109" spans="1:12" ht="15" customHeight="1" x14ac:dyDescent="0.2">
      <c r="A109" s="525"/>
      <c r="B109" s="630"/>
      <c r="C109" s="493"/>
      <c r="D109" s="493"/>
      <c r="E109" s="631"/>
      <c r="F109" s="469"/>
      <c r="G109" s="631"/>
      <c r="H109" s="631"/>
      <c r="I109" s="631"/>
      <c r="J109" s="625"/>
      <c r="K109" s="630"/>
      <c r="L109" s="525"/>
    </row>
    <row r="110" spans="1:12" ht="59.25" customHeight="1" x14ac:dyDescent="0.2">
      <c r="A110" s="525"/>
      <c r="B110" s="975" t="s">
        <v>770</v>
      </c>
      <c r="C110" s="962"/>
      <c r="D110" s="962"/>
      <c r="E110" s="962"/>
      <c r="F110" s="962"/>
      <c r="G110" s="962"/>
      <c r="H110" s="962"/>
      <c r="I110" s="962"/>
      <c r="J110" s="962"/>
      <c r="K110" s="962"/>
      <c r="L110" s="525"/>
    </row>
    <row r="111" spans="1:12" ht="15" thickBot="1" x14ac:dyDescent="0.25">
      <c r="A111" s="525"/>
      <c r="B111" s="628"/>
      <c r="C111" s="628"/>
      <c r="D111" s="628"/>
      <c r="E111" s="628"/>
      <c r="F111" s="628"/>
      <c r="G111" s="628"/>
      <c r="H111" s="628"/>
      <c r="I111" s="628"/>
      <c r="J111" s="628"/>
      <c r="K111" s="628"/>
      <c r="L111" s="494"/>
    </row>
    <row r="112" spans="1:12" x14ac:dyDescent="0.2">
      <c r="A112" s="525"/>
      <c r="B112" s="519" t="s">
        <v>728</v>
      </c>
      <c r="C112" s="518"/>
      <c r="D112" s="518"/>
      <c r="E112" s="518"/>
      <c r="F112" s="518"/>
      <c r="G112" s="518"/>
      <c r="H112" s="518"/>
      <c r="I112" s="518"/>
      <c r="J112" s="518"/>
      <c r="K112" s="517"/>
      <c r="L112" s="525"/>
    </row>
    <row r="113" spans="1:12" x14ac:dyDescent="0.2">
      <c r="A113" s="525"/>
      <c r="B113" s="467"/>
      <c r="C113" s="515" t="s">
        <v>734</v>
      </c>
      <c r="D113" s="515"/>
      <c r="E113" s="515"/>
      <c r="F113" s="515"/>
      <c r="G113" s="515"/>
      <c r="H113" s="515"/>
      <c r="I113" s="515"/>
      <c r="J113" s="515"/>
      <c r="K113" s="513"/>
      <c r="L113" s="525"/>
    </row>
    <row r="114" spans="1:12" x14ac:dyDescent="0.2">
      <c r="A114" s="525"/>
      <c r="B114" s="467" t="s">
        <v>755</v>
      </c>
      <c r="C114" s="961">
        <v>312000000</v>
      </c>
      <c r="D114" s="961"/>
      <c r="E114" s="631" t="s">
        <v>733</v>
      </c>
      <c r="F114" s="631">
        <v>1000</v>
      </c>
      <c r="G114" s="631" t="s">
        <v>732</v>
      </c>
      <c r="H114" s="623">
        <f>C114/F114</f>
        <v>312000</v>
      </c>
      <c r="I114" s="515" t="s">
        <v>756</v>
      </c>
      <c r="J114" s="515"/>
      <c r="K114" s="513"/>
      <c r="L114" s="525"/>
    </row>
    <row r="115" spans="1:12" x14ac:dyDescent="0.2">
      <c r="A115" s="525"/>
      <c r="B115" s="467"/>
      <c r="C115" s="515"/>
      <c r="D115" s="515"/>
      <c r="E115" s="631"/>
      <c r="F115" s="515"/>
      <c r="G115" s="515"/>
      <c r="H115" s="515"/>
      <c r="I115" s="515"/>
      <c r="J115" s="515"/>
      <c r="K115" s="513"/>
      <c r="L115" s="525"/>
    </row>
    <row r="116" spans="1:12" x14ac:dyDescent="0.2">
      <c r="A116" s="525"/>
      <c r="B116" s="467"/>
      <c r="C116" s="515" t="s">
        <v>757</v>
      </c>
      <c r="D116" s="515"/>
      <c r="E116" s="631"/>
      <c r="F116" s="515" t="s">
        <v>756</v>
      </c>
      <c r="G116" s="515"/>
      <c r="H116" s="515"/>
      <c r="I116" s="515"/>
      <c r="J116" s="515"/>
      <c r="K116" s="513"/>
      <c r="L116" s="525"/>
    </row>
    <row r="117" spans="1:12" x14ac:dyDescent="0.2">
      <c r="A117" s="525"/>
      <c r="B117" s="467" t="s">
        <v>760</v>
      </c>
      <c r="C117" s="961">
        <v>50000</v>
      </c>
      <c r="D117" s="961"/>
      <c r="E117" s="631" t="s">
        <v>733</v>
      </c>
      <c r="F117" s="623">
        <f>H114</f>
        <v>312000</v>
      </c>
      <c r="G117" s="631" t="s">
        <v>732</v>
      </c>
      <c r="H117" s="469">
        <f>C117/F117</f>
        <v>0.16025641025641027</v>
      </c>
      <c r="I117" s="515" t="s">
        <v>758</v>
      </c>
      <c r="J117" s="515"/>
      <c r="K117" s="513"/>
      <c r="L117" s="525"/>
    </row>
    <row r="118" spans="1:12" x14ac:dyDescent="0.2">
      <c r="A118" s="525"/>
      <c r="B118" s="467"/>
      <c r="C118" s="515"/>
      <c r="D118" s="515"/>
      <c r="E118" s="631"/>
      <c r="F118" s="515"/>
      <c r="G118" s="515"/>
      <c r="H118" s="515"/>
      <c r="I118" s="515"/>
      <c r="J118" s="515"/>
      <c r="K118" s="513"/>
      <c r="L118" s="525"/>
    </row>
    <row r="119" spans="1:12" x14ac:dyDescent="0.2">
      <c r="A119" s="525"/>
      <c r="B119" s="475"/>
      <c r="C119" s="476" t="s">
        <v>767</v>
      </c>
      <c r="D119" s="476"/>
      <c r="E119" s="624"/>
      <c r="F119" s="476"/>
      <c r="G119" s="476"/>
      <c r="H119" s="476"/>
      <c r="I119" s="476"/>
      <c r="J119" s="476"/>
      <c r="K119" s="477"/>
      <c r="L119" s="525"/>
    </row>
    <row r="120" spans="1:12" x14ac:dyDescent="0.2">
      <c r="A120" s="525"/>
      <c r="B120" s="467" t="s">
        <v>820</v>
      </c>
      <c r="C120" s="961">
        <v>2500000</v>
      </c>
      <c r="D120" s="961"/>
      <c r="E120" s="631" t="s">
        <v>290</v>
      </c>
      <c r="F120" s="491">
        <v>0.25</v>
      </c>
      <c r="G120" s="631" t="s">
        <v>732</v>
      </c>
      <c r="H120" s="623">
        <f>C120*F120</f>
        <v>625000</v>
      </c>
      <c r="I120" s="515" t="s">
        <v>761</v>
      </c>
      <c r="J120" s="515"/>
      <c r="K120" s="513"/>
      <c r="L120" s="525"/>
    </row>
    <row r="121" spans="1:12" x14ac:dyDescent="0.2">
      <c r="A121" s="525"/>
      <c r="B121" s="467"/>
      <c r="C121" s="515"/>
      <c r="D121" s="515"/>
      <c r="E121" s="631"/>
      <c r="F121" s="515"/>
      <c r="G121" s="515"/>
      <c r="H121" s="515"/>
      <c r="I121" s="515"/>
      <c r="J121" s="515"/>
      <c r="K121" s="513"/>
      <c r="L121" s="525"/>
    </row>
    <row r="122" spans="1:12" x14ac:dyDescent="0.2">
      <c r="A122" s="525"/>
      <c r="B122" s="475"/>
      <c r="C122" s="476" t="s">
        <v>762</v>
      </c>
      <c r="D122" s="476"/>
      <c r="E122" s="624"/>
      <c r="F122" s="476" t="s">
        <v>758</v>
      </c>
      <c r="G122" s="476"/>
      <c r="H122" s="476"/>
      <c r="I122" s="476"/>
      <c r="J122" s="476" t="s">
        <v>763</v>
      </c>
      <c r="K122" s="477"/>
      <c r="L122" s="525"/>
    </row>
    <row r="123" spans="1:12" x14ac:dyDescent="0.2">
      <c r="A123" s="525"/>
      <c r="B123" s="467" t="s">
        <v>821</v>
      </c>
      <c r="C123" s="971">
        <f>H120</f>
        <v>625000</v>
      </c>
      <c r="D123" s="971"/>
      <c r="E123" s="631" t="s">
        <v>290</v>
      </c>
      <c r="F123" s="469">
        <f>H117</f>
        <v>0.16025641025641027</v>
      </c>
      <c r="G123" s="631" t="s">
        <v>733</v>
      </c>
      <c r="H123" s="631">
        <v>1000</v>
      </c>
      <c r="I123" s="631" t="s">
        <v>732</v>
      </c>
      <c r="J123" s="625">
        <f>C123*F123/H123</f>
        <v>100.16025641025642</v>
      </c>
      <c r="K123" s="513"/>
      <c r="L123" s="525"/>
    </row>
    <row r="124" spans="1:12" ht="15" thickBot="1" x14ac:dyDescent="0.25">
      <c r="A124" s="525"/>
      <c r="B124" s="464"/>
      <c r="C124" s="478"/>
      <c r="D124" s="478"/>
      <c r="E124" s="479"/>
      <c r="F124" s="480"/>
      <c r="G124" s="479"/>
      <c r="H124" s="479"/>
      <c r="I124" s="479"/>
      <c r="J124" s="481"/>
      <c r="K124" s="509"/>
      <c r="L124" s="525"/>
    </row>
    <row r="125" spans="1:12" ht="40.5" customHeight="1" x14ac:dyDescent="0.2">
      <c r="A125" s="525"/>
      <c r="B125" s="965" t="s">
        <v>724</v>
      </c>
      <c r="C125" s="965"/>
      <c r="D125" s="965"/>
      <c r="E125" s="965"/>
      <c r="F125" s="965"/>
      <c r="G125" s="965"/>
      <c r="H125" s="965"/>
      <c r="I125" s="965"/>
      <c r="J125" s="965"/>
      <c r="K125" s="965"/>
      <c r="L125" s="494"/>
    </row>
    <row r="126" spans="1:12" x14ac:dyDescent="0.2">
      <c r="A126" s="525"/>
      <c r="B126" s="954" t="s">
        <v>771</v>
      </c>
      <c r="C126" s="954"/>
      <c r="D126" s="954"/>
      <c r="E126" s="954"/>
      <c r="F126" s="954"/>
      <c r="G126" s="954"/>
      <c r="H126" s="954"/>
      <c r="I126" s="954"/>
      <c r="J126" s="954"/>
      <c r="K126" s="954"/>
      <c r="L126" s="494"/>
    </row>
    <row r="127" spans="1:12" x14ac:dyDescent="0.2">
      <c r="A127" s="525"/>
      <c r="B127" s="628"/>
      <c r="C127" s="628"/>
      <c r="D127" s="628"/>
      <c r="E127" s="628"/>
      <c r="F127" s="628"/>
      <c r="G127" s="628"/>
      <c r="H127" s="628"/>
      <c r="I127" s="628"/>
      <c r="J127" s="628"/>
      <c r="K127" s="628"/>
      <c r="L127" s="494"/>
    </row>
    <row r="128" spans="1:12" x14ac:dyDescent="0.2">
      <c r="A128" s="525"/>
      <c r="B128" s="954" t="s">
        <v>772</v>
      </c>
      <c r="C128" s="954"/>
      <c r="D128" s="954"/>
      <c r="E128" s="954"/>
      <c r="F128" s="954"/>
      <c r="G128" s="954"/>
      <c r="H128" s="954"/>
      <c r="I128" s="954"/>
      <c r="J128" s="954"/>
      <c r="K128" s="954"/>
      <c r="L128" s="494"/>
    </row>
    <row r="129" spans="1:12" x14ac:dyDescent="0.2">
      <c r="A129" s="525"/>
      <c r="B129" s="627"/>
      <c r="C129" s="627"/>
      <c r="D129" s="627"/>
      <c r="E129" s="627"/>
      <c r="F129" s="627"/>
      <c r="G129" s="627"/>
      <c r="H129" s="627"/>
      <c r="I129" s="627"/>
      <c r="J129" s="627"/>
      <c r="K129" s="627"/>
      <c r="L129" s="494"/>
    </row>
    <row r="130" spans="1:12" ht="74.25" customHeight="1" x14ac:dyDescent="0.2">
      <c r="A130" s="525"/>
      <c r="B130" s="959" t="s">
        <v>822</v>
      </c>
      <c r="C130" s="959"/>
      <c r="D130" s="959"/>
      <c r="E130" s="959"/>
      <c r="F130" s="959"/>
      <c r="G130" s="959"/>
      <c r="H130" s="959"/>
      <c r="I130" s="959"/>
      <c r="J130" s="959"/>
      <c r="K130" s="959"/>
      <c r="L130" s="494"/>
    </row>
    <row r="131" spans="1:12" ht="15" thickBot="1" x14ac:dyDescent="0.25">
      <c r="A131" s="525"/>
      <c r="L131" s="525"/>
    </row>
    <row r="132" spans="1:12" x14ac:dyDescent="0.2">
      <c r="A132" s="525"/>
      <c r="B132" s="519" t="s">
        <v>728</v>
      </c>
      <c r="C132" s="518"/>
      <c r="D132" s="518"/>
      <c r="E132" s="518"/>
      <c r="F132" s="518"/>
      <c r="G132" s="518"/>
      <c r="H132" s="518"/>
      <c r="I132" s="518"/>
      <c r="J132" s="518"/>
      <c r="K132" s="517"/>
      <c r="L132" s="525"/>
    </row>
    <row r="133" spans="1:12" x14ac:dyDescent="0.2">
      <c r="A133" s="525"/>
      <c r="B133" s="467"/>
      <c r="C133" s="970" t="s">
        <v>773</v>
      </c>
      <c r="D133" s="970"/>
      <c r="E133" s="515"/>
      <c r="F133" s="631" t="s">
        <v>774</v>
      </c>
      <c r="G133" s="515"/>
      <c r="H133" s="970" t="s">
        <v>761</v>
      </c>
      <c r="I133" s="970"/>
      <c r="J133" s="515"/>
      <c r="K133" s="513"/>
      <c r="L133" s="525"/>
    </row>
    <row r="134" spans="1:12" x14ac:dyDescent="0.2">
      <c r="A134" s="525"/>
      <c r="B134" s="467" t="s">
        <v>755</v>
      </c>
      <c r="C134" s="961">
        <v>100000</v>
      </c>
      <c r="D134" s="961"/>
      <c r="E134" s="631" t="s">
        <v>290</v>
      </c>
      <c r="F134" s="631">
        <v>0.115</v>
      </c>
      <c r="G134" s="631" t="s">
        <v>732</v>
      </c>
      <c r="H134" s="979">
        <f>C134*F134</f>
        <v>11500</v>
      </c>
      <c r="I134" s="979"/>
      <c r="J134" s="515"/>
      <c r="K134" s="513"/>
      <c r="L134" s="525"/>
    </row>
    <row r="135" spans="1:12" x14ac:dyDescent="0.2">
      <c r="A135" s="525"/>
      <c r="B135" s="467"/>
      <c r="C135" s="515"/>
      <c r="D135" s="515"/>
      <c r="E135" s="515"/>
      <c r="F135" s="515"/>
      <c r="G135" s="515"/>
      <c r="H135" s="515"/>
      <c r="I135" s="515"/>
      <c r="J135" s="515"/>
      <c r="K135" s="513"/>
      <c r="L135" s="525"/>
    </row>
    <row r="136" spans="1:12" x14ac:dyDescent="0.2">
      <c r="A136" s="525"/>
      <c r="B136" s="475"/>
      <c r="C136" s="980" t="s">
        <v>761</v>
      </c>
      <c r="D136" s="980"/>
      <c r="E136" s="476"/>
      <c r="F136" s="624" t="s">
        <v>775</v>
      </c>
      <c r="G136" s="624"/>
      <c r="H136" s="476"/>
      <c r="I136" s="476"/>
      <c r="J136" s="476" t="s">
        <v>776</v>
      </c>
      <c r="K136" s="477"/>
      <c r="L136" s="525"/>
    </row>
    <row r="137" spans="1:12" x14ac:dyDescent="0.2">
      <c r="A137" s="525"/>
      <c r="B137" s="467" t="s">
        <v>760</v>
      </c>
      <c r="C137" s="979">
        <f>H134</f>
        <v>11500</v>
      </c>
      <c r="D137" s="979"/>
      <c r="E137" s="631" t="s">
        <v>290</v>
      </c>
      <c r="F137" s="495">
        <v>52.869</v>
      </c>
      <c r="G137" s="631" t="s">
        <v>733</v>
      </c>
      <c r="H137" s="631">
        <v>1000</v>
      </c>
      <c r="I137" s="631" t="s">
        <v>732</v>
      </c>
      <c r="J137" s="496">
        <f>C137*F137/H137</f>
        <v>607.99350000000004</v>
      </c>
      <c r="K137" s="513"/>
      <c r="L137" s="525"/>
    </row>
    <row r="138" spans="1:12" ht="15" thickBot="1" x14ac:dyDescent="0.25">
      <c r="A138" s="525"/>
      <c r="B138" s="464"/>
      <c r="C138" s="610"/>
      <c r="D138" s="610"/>
      <c r="E138" s="479"/>
      <c r="F138" s="611"/>
      <c r="G138" s="479"/>
      <c r="H138" s="479"/>
      <c r="I138" s="479"/>
      <c r="J138" s="612"/>
      <c r="K138" s="509"/>
      <c r="L138" s="525"/>
    </row>
    <row r="139" spans="1:12" ht="40.5" customHeight="1" x14ac:dyDescent="0.2">
      <c r="A139" s="525"/>
      <c r="B139" s="597" t="s">
        <v>724</v>
      </c>
      <c r="C139" s="598"/>
      <c r="D139" s="598"/>
      <c r="E139" s="599"/>
      <c r="F139" s="600"/>
      <c r="G139" s="599"/>
      <c r="H139" s="599"/>
      <c r="I139" s="599"/>
      <c r="J139" s="601"/>
      <c r="K139" s="602"/>
      <c r="L139" s="525"/>
    </row>
    <row r="140" spans="1:12" x14ac:dyDescent="0.2">
      <c r="A140" s="525"/>
      <c r="B140" s="603" t="s">
        <v>823</v>
      </c>
      <c r="C140" s="604"/>
      <c r="D140" s="604"/>
      <c r="E140" s="605"/>
      <c r="F140" s="606"/>
      <c r="G140" s="605"/>
      <c r="H140" s="605"/>
      <c r="I140" s="605"/>
      <c r="J140" s="607"/>
      <c r="K140" s="608"/>
      <c r="L140" s="525"/>
    </row>
    <row r="141" spans="1:12" x14ac:dyDescent="0.2">
      <c r="A141" s="525"/>
      <c r="B141" s="467"/>
      <c r="C141" s="623"/>
      <c r="D141" s="623"/>
      <c r="E141" s="631"/>
      <c r="F141" s="613"/>
      <c r="G141" s="631"/>
      <c r="H141" s="631"/>
      <c r="I141" s="631"/>
      <c r="J141" s="496"/>
      <c r="K141" s="513"/>
      <c r="L141" s="525"/>
    </row>
    <row r="142" spans="1:12" x14ac:dyDescent="0.2">
      <c r="A142" s="525"/>
      <c r="B142" s="603" t="s">
        <v>824</v>
      </c>
      <c r="C142" s="604"/>
      <c r="D142" s="604"/>
      <c r="E142" s="605"/>
      <c r="F142" s="606"/>
      <c r="G142" s="605"/>
      <c r="H142" s="605"/>
      <c r="I142" s="605"/>
      <c r="J142" s="607"/>
      <c r="K142" s="608"/>
      <c r="L142" s="525"/>
    </row>
    <row r="143" spans="1:12" x14ac:dyDescent="0.2">
      <c r="A143" s="525"/>
      <c r="B143" s="467"/>
      <c r="C143" s="623"/>
      <c r="D143" s="623"/>
      <c r="E143" s="631"/>
      <c r="F143" s="613"/>
      <c r="G143" s="631"/>
      <c r="H143" s="631"/>
      <c r="I143" s="631"/>
      <c r="J143" s="496"/>
      <c r="K143" s="513"/>
      <c r="L143" s="525"/>
    </row>
    <row r="144" spans="1:12" ht="76.5" customHeight="1" x14ac:dyDescent="0.2">
      <c r="A144" s="525"/>
      <c r="B144" s="981" t="s">
        <v>825</v>
      </c>
      <c r="C144" s="982"/>
      <c r="D144" s="982"/>
      <c r="E144" s="982"/>
      <c r="F144" s="982"/>
      <c r="G144" s="982"/>
      <c r="H144" s="982"/>
      <c r="I144" s="982"/>
      <c r="J144" s="982"/>
      <c r="K144" s="983"/>
      <c r="L144" s="525"/>
    </row>
    <row r="145" spans="1:12" ht="15" thickBot="1" x14ac:dyDescent="0.25">
      <c r="A145" s="525"/>
      <c r="B145" s="467"/>
      <c r="C145" s="623"/>
      <c r="D145" s="623"/>
      <c r="E145" s="631"/>
      <c r="F145" s="613"/>
      <c r="G145" s="631"/>
      <c r="H145" s="631"/>
      <c r="I145" s="631"/>
      <c r="J145" s="496"/>
      <c r="K145" s="513"/>
      <c r="L145" s="525"/>
    </row>
    <row r="146" spans="1:12" x14ac:dyDescent="0.2">
      <c r="A146" s="525"/>
      <c r="B146" s="519" t="s">
        <v>728</v>
      </c>
      <c r="C146" s="614"/>
      <c r="D146" s="614"/>
      <c r="E146" s="615"/>
      <c r="F146" s="616"/>
      <c r="G146" s="615"/>
      <c r="H146" s="615"/>
      <c r="I146" s="615"/>
      <c r="J146" s="617"/>
      <c r="K146" s="517"/>
      <c r="L146" s="525"/>
    </row>
    <row r="147" spans="1:12" x14ac:dyDescent="0.2">
      <c r="A147" s="525"/>
      <c r="B147" s="467"/>
      <c r="C147" s="979" t="s">
        <v>826</v>
      </c>
      <c r="D147" s="979"/>
      <c r="E147" s="631"/>
      <c r="F147" s="613" t="s">
        <v>827</v>
      </c>
      <c r="G147" s="631"/>
      <c r="H147" s="631"/>
      <c r="I147" s="631"/>
      <c r="J147" s="977" t="s">
        <v>828</v>
      </c>
      <c r="K147" s="984"/>
      <c r="L147" s="525"/>
    </row>
    <row r="148" spans="1:12" x14ac:dyDescent="0.2">
      <c r="A148" s="525"/>
      <c r="B148" s="467"/>
      <c r="C148" s="976">
        <v>52.869</v>
      </c>
      <c r="D148" s="976"/>
      <c r="E148" s="631" t="s">
        <v>290</v>
      </c>
      <c r="F148" s="626">
        <v>312000000</v>
      </c>
      <c r="G148" s="618" t="s">
        <v>733</v>
      </c>
      <c r="H148" s="631">
        <v>1000</v>
      </c>
      <c r="I148" s="631" t="s">
        <v>732</v>
      </c>
      <c r="J148" s="977">
        <f>C148*(F148/1000)</f>
        <v>16495128</v>
      </c>
      <c r="K148" s="978"/>
      <c r="L148" s="525"/>
    </row>
    <row r="149" spans="1:12" ht="15" thickBot="1" x14ac:dyDescent="0.25">
      <c r="A149" s="525"/>
      <c r="B149" s="464"/>
      <c r="C149" s="610"/>
      <c r="D149" s="610"/>
      <c r="E149" s="479"/>
      <c r="F149" s="611"/>
      <c r="G149" s="479"/>
      <c r="H149" s="479"/>
      <c r="I149" s="479"/>
      <c r="J149" s="612"/>
      <c r="K149" s="509"/>
      <c r="L149" s="525"/>
    </row>
    <row r="150" spans="1:12" ht="15" thickBot="1" x14ac:dyDescent="0.25">
      <c r="A150" s="525"/>
      <c r="B150" s="464"/>
      <c r="C150" s="510"/>
      <c r="D150" s="510"/>
      <c r="E150" s="510"/>
      <c r="F150" s="510"/>
      <c r="G150" s="510"/>
      <c r="H150" s="510"/>
      <c r="I150" s="510"/>
      <c r="J150" s="510"/>
      <c r="K150" s="509"/>
      <c r="L150" s="525"/>
    </row>
    <row r="151" spans="1:12" x14ac:dyDescent="0.2">
      <c r="A151" s="525"/>
      <c r="B151" s="525"/>
      <c r="C151" s="525"/>
      <c r="D151" s="525"/>
      <c r="E151" s="525"/>
      <c r="F151" s="525"/>
      <c r="G151" s="525"/>
      <c r="H151" s="525"/>
      <c r="I151" s="525"/>
      <c r="J151" s="525"/>
      <c r="K151" s="525"/>
      <c r="L151" s="525"/>
    </row>
    <row r="152" spans="1:12" x14ac:dyDescent="0.2">
      <c r="A152" s="525"/>
      <c r="B152" s="525"/>
      <c r="C152" s="525"/>
      <c r="D152" s="525"/>
      <c r="E152" s="525"/>
      <c r="F152" s="525"/>
      <c r="G152" s="525"/>
      <c r="H152" s="525"/>
      <c r="I152" s="525"/>
      <c r="J152" s="525"/>
      <c r="K152" s="525"/>
      <c r="L152" s="525"/>
    </row>
    <row r="153" spans="1:12" x14ac:dyDescent="0.2">
      <c r="A153" s="525"/>
      <c r="B153" s="525"/>
      <c r="C153" s="525"/>
      <c r="D153" s="525"/>
      <c r="E153" s="525"/>
      <c r="F153" s="525"/>
      <c r="G153" s="525"/>
      <c r="H153" s="525"/>
      <c r="I153" s="525"/>
      <c r="J153" s="525"/>
      <c r="K153" s="525"/>
      <c r="L153" s="525"/>
    </row>
    <row r="154" spans="1:12" x14ac:dyDescent="0.2">
      <c r="A154" s="497"/>
      <c r="B154" s="497"/>
      <c r="C154" s="497"/>
      <c r="D154" s="497"/>
      <c r="E154" s="497"/>
      <c r="F154" s="497"/>
      <c r="G154" s="497"/>
      <c r="H154" s="497"/>
      <c r="I154" s="497"/>
      <c r="J154" s="497"/>
      <c r="K154" s="497"/>
      <c r="L154" s="497"/>
    </row>
    <row r="155" spans="1:12" x14ac:dyDescent="0.2">
      <c r="A155" s="497"/>
      <c r="B155" s="497"/>
      <c r="C155" s="497"/>
      <c r="D155" s="497"/>
      <c r="E155" s="497"/>
      <c r="F155" s="497"/>
      <c r="G155" s="497"/>
      <c r="H155" s="497"/>
      <c r="I155" s="497"/>
      <c r="J155" s="497"/>
      <c r="K155" s="497"/>
      <c r="L155" s="497"/>
    </row>
    <row r="156" spans="1:12" x14ac:dyDescent="0.2">
      <c r="A156" s="497"/>
      <c r="B156" s="497"/>
      <c r="C156" s="497"/>
      <c r="D156" s="497"/>
      <c r="E156" s="497"/>
      <c r="F156" s="497"/>
      <c r="G156" s="497"/>
      <c r="H156" s="497"/>
      <c r="I156" s="497"/>
      <c r="J156" s="497"/>
      <c r="K156" s="497"/>
      <c r="L156" s="497"/>
    </row>
    <row r="157" spans="1:12" x14ac:dyDescent="0.2">
      <c r="A157" s="497"/>
      <c r="B157" s="497"/>
      <c r="C157" s="497"/>
      <c r="D157" s="497"/>
      <c r="E157" s="497"/>
      <c r="F157" s="497"/>
      <c r="G157" s="497"/>
      <c r="H157" s="497"/>
      <c r="I157" s="497"/>
      <c r="J157" s="497"/>
      <c r="K157" s="497"/>
      <c r="L157" s="497"/>
    </row>
    <row r="158" spans="1:12" x14ac:dyDescent="0.2">
      <c r="A158" s="497"/>
      <c r="B158" s="497"/>
      <c r="C158" s="497"/>
      <c r="D158" s="497"/>
      <c r="E158" s="497"/>
      <c r="F158" s="497"/>
      <c r="G158" s="497"/>
      <c r="H158" s="497"/>
      <c r="I158" s="497"/>
      <c r="J158" s="497"/>
      <c r="K158" s="497"/>
      <c r="L158" s="497"/>
    </row>
    <row r="159" spans="1:12" x14ac:dyDescent="0.2">
      <c r="A159" s="497"/>
      <c r="B159" s="497"/>
      <c r="C159" s="497"/>
      <c r="D159" s="497"/>
      <c r="E159" s="497"/>
      <c r="F159" s="497"/>
      <c r="G159" s="497"/>
      <c r="H159" s="497"/>
      <c r="I159" s="497"/>
      <c r="J159" s="497"/>
      <c r="K159" s="497"/>
      <c r="L159" s="497"/>
    </row>
    <row r="160" spans="1:12" x14ac:dyDescent="0.2">
      <c r="A160" s="497"/>
      <c r="B160" s="497"/>
      <c r="C160" s="497"/>
      <c r="D160" s="497"/>
      <c r="E160" s="497"/>
      <c r="F160" s="497"/>
      <c r="G160" s="497"/>
      <c r="H160" s="497"/>
      <c r="I160" s="497"/>
      <c r="J160" s="497"/>
      <c r="K160" s="497"/>
      <c r="L160" s="497"/>
    </row>
    <row r="161" spans="1:12" x14ac:dyDescent="0.2">
      <c r="A161" s="497"/>
      <c r="B161" s="497"/>
      <c r="C161" s="497"/>
      <c r="D161" s="497"/>
      <c r="E161" s="497"/>
      <c r="F161" s="497"/>
      <c r="G161" s="497"/>
      <c r="H161" s="497"/>
      <c r="I161" s="497"/>
      <c r="J161" s="497"/>
      <c r="K161" s="497"/>
      <c r="L161" s="497"/>
    </row>
    <row r="162" spans="1:12" x14ac:dyDescent="0.2">
      <c r="A162" s="497"/>
      <c r="B162" s="497"/>
      <c r="C162" s="497"/>
      <c r="D162" s="497"/>
      <c r="E162" s="497"/>
      <c r="F162" s="497"/>
      <c r="G162" s="497"/>
      <c r="H162" s="497"/>
      <c r="I162" s="497"/>
      <c r="J162" s="497"/>
      <c r="K162" s="497"/>
      <c r="L162" s="497"/>
    </row>
    <row r="163" spans="1:12" x14ac:dyDescent="0.2">
      <c r="A163" s="497"/>
      <c r="B163" s="497"/>
      <c r="C163" s="497"/>
      <c r="D163" s="497"/>
      <c r="E163" s="497"/>
      <c r="F163" s="497"/>
      <c r="G163" s="497"/>
      <c r="H163" s="497"/>
      <c r="I163" s="497"/>
      <c r="J163" s="497"/>
      <c r="K163" s="497"/>
      <c r="L163" s="497"/>
    </row>
    <row r="164" spans="1:12" x14ac:dyDescent="0.2">
      <c r="A164" s="497"/>
      <c r="B164" s="497"/>
      <c r="C164" s="497"/>
      <c r="D164" s="497"/>
      <c r="E164" s="497"/>
      <c r="F164" s="497"/>
      <c r="G164" s="497"/>
      <c r="H164" s="497"/>
      <c r="I164" s="497"/>
      <c r="J164" s="497"/>
      <c r="K164" s="497"/>
      <c r="L164" s="497"/>
    </row>
    <row r="165" spans="1:12" x14ac:dyDescent="0.2">
      <c r="A165" s="497"/>
      <c r="B165" s="497"/>
      <c r="C165" s="497"/>
      <c r="D165" s="497"/>
      <c r="E165" s="497"/>
      <c r="F165" s="497"/>
      <c r="G165" s="497"/>
      <c r="H165" s="497"/>
      <c r="I165" s="497"/>
      <c r="J165" s="497"/>
      <c r="K165" s="497"/>
      <c r="L165" s="497"/>
    </row>
    <row r="166" spans="1:12" x14ac:dyDescent="0.2">
      <c r="A166" s="497"/>
      <c r="B166" s="497"/>
      <c r="C166" s="497"/>
      <c r="D166" s="497"/>
      <c r="E166" s="497"/>
      <c r="F166" s="497"/>
      <c r="G166" s="497"/>
      <c r="H166" s="497"/>
      <c r="I166" s="497"/>
      <c r="J166" s="497"/>
      <c r="K166" s="497"/>
      <c r="L166" s="497"/>
    </row>
    <row r="167" spans="1:12" x14ac:dyDescent="0.2">
      <c r="A167" s="497"/>
      <c r="B167" s="497"/>
      <c r="C167" s="497"/>
      <c r="D167" s="497"/>
      <c r="E167" s="497"/>
      <c r="F167" s="497"/>
      <c r="G167" s="497"/>
      <c r="H167" s="497"/>
      <c r="I167" s="497"/>
      <c r="J167" s="497"/>
      <c r="K167" s="497"/>
      <c r="L167" s="497"/>
    </row>
    <row r="168" spans="1:12" x14ac:dyDescent="0.2">
      <c r="A168" s="497"/>
      <c r="B168" s="497"/>
      <c r="C168" s="497"/>
      <c r="D168" s="497"/>
      <c r="E168" s="497"/>
      <c r="F168" s="497"/>
      <c r="G168" s="497"/>
      <c r="H168" s="497"/>
      <c r="I168" s="497"/>
      <c r="J168" s="497"/>
      <c r="K168" s="497"/>
      <c r="L168" s="497"/>
    </row>
    <row r="169" spans="1:12" x14ac:dyDescent="0.2">
      <c r="A169" s="497"/>
      <c r="B169" s="497"/>
      <c r="C169" s="497"/>
      <c r="D169" s="497"/>
      <c r="E169" s="497"/>
      <c r="F169" s="497"/>
      <c r="G169" s="497"/>
      <c r="H169" s="497"/>
      <c r="I169" s="497"/>
      <c r="J169" s="497"/>
      <c r="K169" s="497"/>
      <c r="L169" s="497"/>
    </row>
    <row r="170" spans="1:12" x14ac:dyDescent="0.2">
      <c r="A170" s="497"/>
      <c r="B170" s="497"/>
      <c r="C170" s="497"/>
      <c r="D170" s="497"/>
      <c r="E170" s="497"/>
      <c r="F170" s="497"/>
      <c r="G170" s="497"/>
      <c r="H170" s="497"/>
      <c r="I170" s="497"/>
      <c r="J170" s="497"/>
      <c r="K170" s="497"/>
      <c r="L170" s="497"/>
    </row>
    <row r="171" spans="1:12" x14ac:dyDescent="0.2">
      <c r="A171" s="497"/>
      <c r="B171" s="497"/>
      <c r="C171" s="497"/>
      <c r="D171" s="497"/>
      <c r="E171" s="497"/>
      <c r="F171" s="497"/>
      <c r="G171" s="497"/>
      <c r="H171" s="497"/>
      <c r="I171" s="497"/>
      <c r="J171" s="497"/>
      <c r="K171" s="497"/>
      <c r="L171" s="497"/>
    </row>
    <row r="172" spans="1:12" x14ac:dyDescent="0.2">
      <c r="A172" s="497"/>
      <c r="B172" s="497"/>
      <c r="C172" s="497"/>
      <c r="D172" s="497"/>
      <c r="E172" s="497"/>
      <c r="F172" s="497"/>
      <c r="G172" s="497"/>
      <c r="H172" s="497"/>
      <c r="I172" s="497"/>
      <c r="J172" s="497"/>
      <c r="K172" s="497"/>
      <c r="L172" s="497"/>
    </row>
    <row r="173" spans="1:12" x14ac:dyDescent="0.2">
      <c r="A173" s="497"/>
      <c r="B173" s="497"/>
      <c r="C173" s="497"/>
      <c r="D173" s="497"/>
      <c r="E173" s="497"/>
      <c r="F173" s="497"/>
      <c r="G173" s="497"/>
      <c r="H173" s="497"/>
      <c r="I173" s="497"/>
      <c r="J173" s="497"/>
      <c r="K173" s="497"/>
      <c r="L173" s="497"/>
    </row>
    <row r="174" spans="1:12" x14ac:dyDescent="0.2">
      <c r="A174" s="497"/>
      <c r="B174" s="497"/>
      <c r="C174" s="497"/>
      <c r="D174" s="497"/>
      <c r="E174" s="497"/>
      <c r="F174" s="497"/>
      <c r="G174" s="497"/>
      <c r="H174" s="497"/>
      <c r="I174" s="497"/>
      <c r="J174" s="497"/>
      <c r="K174" s="497"/>
      <c r="L174" s="497"/>
    </row>
    <row r="175" spans="1:12" x14ac:dyDescent="0.2">
      <c r="A175" s="497"/>
      <c r="B175" s="497"/>
      <c r="C175" s="497"/>
      <c r="D175" s="497"/>
      <c r="E175" s="497"/>
      <c r="F175" s="497"/>
      <c r="G175" s="497"/>
      <c r="H175" s="497"/>
      <c r="I175" s="497"/>
      <c r="J175" s="497"/>
      <c r="K175" s="497"/>
      <c r="L175" s="497"/>
    </row>
    <row r="176" spans="1:12" x14ac:dyDescent="0.2">
      <c r="A176" s="497"/>
      <c r="B176" s="497"/>
      <c r="C176" s="497"/>
      <c r="D176" s="497"/>
      <c r="E176" s="497"/>
      <c r="F176" s="497"/>
      <c r="G176" s="497"/>
      <c r="H176" s="497"/>
      <c r="I176" s="497"/>
      <c r="J176" s="497"/>
      <c r="K176" s="497"/>
      <c r="L176" s="497"/>
    </row>
    <row r="177" spans="1:12" x14ac:dyDescent="0.2">
      <c r="A177" s="497"/>
      <c r="B177" s="497"/>
      <c r="C177" s="497"/>
      <c r="D177" s="497"/>
      <c r="E177" s="497"/>
      <c r="F177" s="497"/>
      <c r="G177" s="497"/>
      <c r="H177" s="497"/>
      <c r="I177" s="497"/>
      <c r="J177" s="497"/>
      <c r="K177" s="497"/>
      <c r="L177" s="497"/>
    </row>
    <row r="178" spans="1:12" x14ac:dyDescent="0.2">
      <c r="A178" s="497"/>
      <c r="B178" s="497"/>
      <c r="C178" s="497"/>
      <c r="D178" s="497"/>
      <c r="E178" s="497"/>
      <c r="F178" s="497"/>
      <c r="G178" s="497"/>
      <c r="H178" s="497"/>
      <c r="I178" s="497"/>
      <c r="J178" s="497"/>
      <c r="K178" s="497"/>
      <c r="L178" s="497"/>
    </row>
    <row r="179" spans="1:12" x14ac:dyDescent="0.2">
      <c r="A179" s="497"/>
      <c r="B179" s="497"/>
      <c r="C179" s="497"/>
      <c r="D179" s="497"/>
      <c r="E179" s="497"/>
      <c r="F179" s="497"/>
      <c r="G179" s="497"/>
      <c r="H179" s="497"/>
      <c r="I179" s="497"/>
      <c r="J179" s="497"/>
      <c r="K179" s="497"/>
      <c r="L179" s="497"/>
    </row>
    <row r="180" spans="1:12" x14ac:dyDescent="0.2">
      <c r="A180" s="497"/>
      <c r="B180" s="497"/>
      <c r="C180" s="497"/>
      <c r="D180" s="497"/>
      <c r="E180" s="497"/>
      <c r="F180" s="497"/>
      <c r="G180" s="497"/>
      <c r="H180" s="497"/>
      <c r="I180" s="497"/>
      <c r="J180" s="497"/>
      <c r="K180" s="497"/>
      <c r="L180" s="497"/>
    </row>
    <row r="181" spans="1:12" x14ac:dyDescent="0.2">
      <c r="A181" s="497"/>
      <c r="B181" s="497"/>
      <c r="C181" s="497"/>
      <c r="D181" s="497"/>
      <c r="E181" s="497"/>
      <c r="F181" s="497"/>
      <c r="G181" s="497"/>
      <c r="H181" s="497"/>
      <c r="I181" s="497"/>
      <c r="J181" s="497"/>
      <c r="K181" s="497"/>
      <c r="L181" s="497"/>
    </row>
    <row r="182" spans="1:12" x14ac:dyDescent="0.2">
      <c r="A182" s="497"/>
      <c r="B182" s="497"/>
      <c r="C182" s="497"/>
      <c r="D182" s="497"/>
      <c r="E182" s="497"/>
      <c r="F182" s="497"/>
      <c r="G182" s="497"/>
      <c r="H182" s="497"/>
      <c r="I182" s="497"/>
      <c r="J182" s="497"/>
      <c r="K182" s="497"/>
      <c r="L182" s="497"/>
    </row>
    <row r="183" spans="1:12" x14ac:dyDescent="0.2">
      <c r="A183" s="497"/>
      <c r="B183" s="497"/>
      <c r="C183" s="497"/>
      <c r="D183" s="497"/>
      <c r="E183" s="497"/>
      <c r="F183" s="497"/>
      <c r="G183" s="497"/>
      <c r="H183" s="497"/>
      <c r="I183" s="497"/>
      <c r="J183" s="497"/>
      <c r="K183" s="497"/>
      <c r="L183" s="497"/>
    </row>
    <row r="184" spans="1:12" x14ac:dyDescent="0.2">
      <c r="A184" s="497"/>
      <c r="B184" s="497"/>
      <c r="C184" s="497"/>
      <c r="D184" s="497"/>
      <c r="E184" s="497"/>
      <c r="F184" s="497"/>
      <c r="G184" s="497"/>
      <c r="H184" s="497"/>
      <c r="I184" s="497"/>
      <c r="J184" s="497"/>
      <c r="K184" s="497"/>
      <c r="L184" s="497"/>
    </row>
    <row r="185" spans="1:12" x14ac:dyDescent="0.2">
      <c r="A185" s="497"/>
      <c r="B185" s="497"/>
      <c r="C185" s="497"/>
      <c r="D185" s="497"/>
      <c r="E185" s="497"/>
      <c r="F185" s="497"/>
      <c r="G185" s="497"/>
      <c r="H185" s="497"/>
      <c r="I185" s="497"/>
      <c r="J185" s="497"/>
      <c r="K185" s="497"/>
      <c r="L185" s="497"/>
    </row>
    <row r="186" spans="1:12" x14ac:dyDescent="0.2">
      <c r="A186" s="497"/>
      <c r="B186" s="497"/>
      <c r="C186" s="497"/>
      <c r="D186" s="497"/>
      <c r="E186" s="497"/>
      <c r="F186" s="497"/>
      <c r="G186" s="497"/>
      <c r="H186" s="497"/>
      <c r="I186" s="497"/>
      <c r="J186" s="497"/>
      <c r="K186" s="497"/>
      <c r="L186" s="497"/>
    </row>
    <row r="187" spans="1:12" x14ac:dyDescent="0.2">
      <c r="A187" s="497"/>
      <c r="B187" s="497"/>
      <c r="C187" s="497"/>
      <c r="D187" s="497"/>
      <c r="E187" s="497"/>
      <c r="F187" s="497"/>
      <c r="G187" s="497"/>
      <c r="H187" s="497"/>
      <c r="I187" s="497"/>
      <c r="J187" s="497"/>
      <c r="K187" s="497"/>
      <c r="L187" s="497"/>
    </row>
    <row r="188" spans="1:12" x14ac:dyDescent="0.2">
      <c r="A188" s="497"/>
      <c r="B188" s="497"/>
      <c r="C188" s="497"/>
      <c r="D188" s="497"/>
      <c r="E188" s="497"/>
      <c r="F188" s="497"/>
      <c r="G188" s="497"/>
      <c r="H188" s="497"/>
      <c r="I188" s="497"/>
      <c r="J188" s="497"/>
      <c r="K188" s="497"/>
      <c r="L188" s="497"/>
    </row>
    <row r="189" spans="1:12" x14ac:dyDescent="0.2">
      <c r="A189" s="497"/>
      <c r="B189" s="497"/>
      <c r="C189" s="497"/>
      <c r="D189" s="497"/>
      <c r="E189" s="497"/>
      <c r="F189" s="497"/>
      <c r="G189" s="497"/>
      <c r="H189" s="497"/>
      <c r="I189" s="497"/>
      <c r="J189" s="497"/>
      <c r="K189" s="497"/>
      <c r="L189" s="497"/>
    </row>
    <row r="190" spans="1:12" x14ac:dyDescent="0.2">
      <c r="A190" s="497"/>
      <c r="B190" s="497"/>
      <c r="C190" s="497"/>
      <c r="D190" s="497"/>
      <c r="E190" s="497"/>
      <c r="F190" s="497"/>
      <c r="G190" s="497"/>
      <c r="H190" s="497"/>
      <c r="I190" s="497"/>
      <c r="J190" s="497"/>
      <c r="K190" s="497"/>
      <c r="L190" s="497"/>
    </row>
    <row r="191" spans="1:12" x14ac:dyDescent="0.2">
      <c r="A191" s="497"/>
      <c r="B191" s="497"/>
      <c r="C191" s="497"/>
      <c r="D191" s="497"/>
      <c r="E191" s="497"/>
      <c r="F191" s="497"/>
      <c r="G191" s="497"/>
      <c r="H191" s="497"/>
      <c r="I191" s="497"/>
      <c r="J191" s="497"/>
      <c r="K191" s="497"/>
      <c r="L191" s="497"/>
    </row>
    <row r="192" spans="1:12" x14ac:dyDescent="0.2">
      <c r="A192" s="497"/>
      <c r="B192" s="497"/>
      <c r="C192" s="497"/>
      <c r="D192" s="497"/>
      <c r="E192" s="497"/>
      <c r="F192" s="497"/>
      <c r="G192" s="497"/>
      <c r="H192" s="497"/>
      <c r="I192" s="497"/>
      <c r="J192" s="497"/>
      <c r="K192" s="497"/>
      <c r="L192" s="497"/>
    </row>
    <row r="193" spans="1:12" x14ac:dyDescent="0.2">
      <c r="A193" s="497"/>
      <c r="B193" s="497"/>
      <c r="C193" s="497"/>
      <c r="D193" s="497"/>
      <c r="E193" s="497"/>
      <c r="F193" s="497"/>
      <c r="G193" s="497"/>
      <c r="H193" s="497"/>
      <c r="I193" s="497"/>
      <c r="J193" s="497"/>
      <c r="K193" s="497"/>
      <c r="L193" s="497"/>
    </row>
    <row r="194" spans="1:12" x14ac:dyDescent="0.2">
      <c r="A194" s="497"/>
      <c r="B194" s="497"/>
      <c r="C194" s="497"/>
      <c r="D194" s="497"/>
      <c r="E194" s="497"/>
      <c r="F194" s="497"/>
      <c r="G194" s="497"/>
      <c r="H194" s="497"/>
      <c r="I194" s="497"/>
      <c r="J194" s="497"/>
      <c r="K194" s="497"/>
      <c r="L194" s="497"/>
    </row>
    <row r="195" spans="1:12" x14ac:dyDescent="0.2">
      <c r="A195" s="497"/>
      <c r="B195" s="497"/>
      <c r="C195" s="497"/>
      <c r="D195" s="497"/>
      <c r="E195" s="497"/>
      <c r="F195" s="497"/>
      <c r="G195" s="497"/>
      <c r="H195" s="497"/>
      <c r="I195" s="497"/>
      <c r="J195" s="497"/>
      <c r="K195" s="497"/>
      <c r="L195" s="497"/>
    </row>
    <row r="196" spans="1:12" x14ac:dyDescent="0.2">
      <c r="A196" s="497"/>
      <c r="B196" s="497"/>
      <c r="C196" s="497"/>
      <c r="D196" s="497"/>
      <c r="E196" s="497"/>
      <c r="F196" s="497"/>
      <c r="G196" s="497"/>
      <c r="H196" s="497"/>
      <c r="I196" s="497"/>
      <c r="J196" s="497"/>
      <c r="K196" s="497"/>
      <c r="L196" s="497"/>
    </row>
    <row r="197" spans="1:12" x14ac:dyDescent="0.2">
      <c r="A197" s="497"/>
      <c r="B197" s="497"/>
      <c r="C197" s="497"/>
      <c r="D197" s="497"/>
      <c r="E197" s="497"/>
      <c r="F197" s="497"/>
      <c r="G197" s="497"/>
      <c r="H197" s="497"/>
      <c r="I197" s="497"/>
      <c r="J197" s="497"/>
      <c r="K197" s="497"/>
      <c r="L197" s="497"/>
    </row>
    <row r="198" spans="1:12" x14ac:dyDescent="0.2">
      <c r="A198" s="497"/>
      <c r="B198" s="497"/>
      <c r="C198" s="497"/>
      <c r="D198" s="497"/>
      <c r="E198" s="497"/>
      <c r="F198" s="497"/>
      <c r="G198" s="497"/>
      <c r="H198" s="497"/>
      <c r="I198" s="497"/>
      <c r="J198" s="497"/>
      <c r="K198" s="497"/>
      <c r="L198" s="497"/>
    </row>
    <row r="199" spans="1:12" x14ac:dyDescent="0.2">
      <c r="A199" s="497"/>
      <c r="B199" s="497"/>
      <c r="C199" s="497"/>
      <c r="D199" s="497"/>
      <c r="E199" s="497"/>
      <c r="F199" s="497"/>
      <c r="G199" s="497"/>
      <c r="H199" s="497"/>
      <c r="I199" s="497"/>
      <c r="J199" s="497"/>
      <c r="K199" s="497"/>
      <c r="L199" s="497"/>
    </row>
    <row r="200" spans="1:12" x14ac:dyDescent="0.2">
      <c r="A200" s="497"/>
      <c r="B200" s="497"/>
      <c r="C200" s="497"/>
      <c r="D200" s="497"/>
      <c r="E200" s="497"/>
      <c r="F200" s="497"/>
      <c r="G200" s="497"/>
      <c r="H200" s="497"/>
      <c r="I200" s="497"/>
      <c r="J200" s="497"/>
      <c r="K200" s="497"/>
      <c r="L200" s="497"/>
    </row>
    <row r="201" spans="1:12" x14ac:dyDescent="0.2">
      <c r="A201" s="497"/>
      <c r="B201" s="497"/>
      <c r="C201" s="497"/>
      <c r="D201" s="497"/>
      <c r="E201" s="497"/>
      <c r="F201" s="497"/>
      <c r="G201" s="497"/>
      <c r="H201" s="497"/>
      <c r="I201" s="497"/>
      <c r="J201" s="497"/>
      <c r="K201" s="497"/>
      <c r="L201" s="497"/>
    </row>
    <row r="202" spans="1:12" x14ac:dyDescent="0.2">
      <c r="A202" s="497"/>
      <c r="B202" s="497"/>
      <c r="C202" s="497"/>
      <c r="D202" s="497"/>
      <c r="E202" s="497"/>
      <c r="F202" s="497"/>
      <c r="G202" s="497"/>
      <c r="H202" s="497"/>
      <c r="I202" s="497"/>
      <c r="J202" s="497"/>
      <c r="K202" s="497"/>
      <c r="L202" s="497"/>
    </row>
    <row r="203" spans="1:12" x14ac:dyDescent="0.2">
      <c r="A203" s="497"/>
      <c r="B203" s="497"/>
      <c r="C203" s="497"/>
      <c r="D203" s="497"/>
      <c r="E203" s="497"/>
      <c r="F203" s="497"/>
      <c r="G203" s="497"/>
      <c r="H203" s="497"/>
      <c r="I203" s="497"/>
      <c r="J203" s="497"/>
      <c r="K203" s="497"/>
      <c r="L203" s="497"/>
    </row>
    <row r="204" spans="1:12" x14ac:dyDescent="0.2">
      <c r="A204" s="497"/>
      <c r="B204" s="497"/>
      <c r="C204" s="497"/>
      <c r="D204" s="497"/>
      <c r="E204" s="497"/>
      <c r="F204" s="497"/>
      <c r="G204" s="497"/>
      <c r="H204" s="497"/>
      <c r="I204" s="497"/>
      <c r="J204" s="497"/>
      <c r="K204" s="497"/>
      <c r="L204" s="497"/>
    </row>
    <row r="205" spans="1:12" x14ac:dyDescent="0.2">
      <c r="A205" s="497"/>
      <c r="B205" s="497"/>
      <c r="C205" s="497"/>
      <c r="D205" s="497"/>
      <c r="E205" s="497"/>
      <c r="F205" s="497"/>
      <c r="G205" s="497"/>
      <c r="H205" s="497"/>
      <c r="I205" s="497"/>
      <c r="J205" s="497"/>
      <c r="K205" s="497"/>
      <c r="L205" s="497"/>
    </row>
    <row r="206" spans="1:12" x14ac:dyDescent="0.2">
      <c r="A206" s="497"/>
      <c r="B206" s="497"/>
      <c r="C206" s="497"/>
      <c r="D206" s="497"/>
      <c r="E206" s="497"/>
      <c r="F206" s="497"/>
      <c r="G206" s="497"/>
      <c r="H206" s="497"/>
      <c r="I206" s="497"/>
      <c r="J206" s="497"/>
      <c r="K206" s="497"/>
      <c r="L206" s="497"/>
    </row>
    <row r="207" spans="1:12" x14ac:dyDescent="0.2">
      <c r="A207" s="497"/>
      <c r="B207" s="497"/>
      <c r="C207" s="497"/>
      <c r="D207" s="497"/>
      <c r="E207" s="497"/>
      <c r="F207" s="497"/>
      <c r="G207" s="497"/>
      <c r="H207" s="497"/>
      <c r="I207" s="497"/>
      <c r="J207" s="497"/>
      <c r="K207" s="497"/>
      <c r="L207" s="497"/>
    </row>
    <row r="208" spans="1:12" x14ac:dyDescent="0.2">
      <c r="A208" s="497"/>
      <c r="B208" s="497"/>
      <c r="C208" s="497"/>
      <c r="D208" s="497"/>
      <c r="E208" s="497"/>
      <c r="F208" s="497"/>
      <c r="G208" s="497"/>
      <c r="H208" s="497"/>
      <c r="I208" s="497"/>
      <c r="J208" s="497"/>
      <c r="K208" s="497"/>
      <c r="L208" s="497"/>
    </row>
    <row r="209" spans="1:12" x14ac:dyDescent="0.2">
      <c r="A209" s="497"/>
      <c r="B209" s="497"/>
      <c r="C209" s="497"/>
      <c r="D209" s="497"/>
      <c r="E209" s="497"/>
      <c r="F209" s="497"/>
      <c r="G209" s="497"/>
      <c r="H209" s="497"/>
      <c r="I209" s="497"/>
      <c r="J209" s="497"/>
      <c r="K209" s="497"/>
      <c r="L209" s="497"/>
    </row>
    <row r="210" spans="1:12" x14ac:dyDescent="0.2">
      <c r="A210" s="497"/>
      <c r="B210" s="497"/>
      <c r="C210" s="497"/>
      <c r="D210" s="497"/>
      <c r="E210" s="497"/>
      <c r="F210" s="497"/>
      <c r="G210" s="497"/>
      <c r="H210" s="497"/>
      <c r="I210" s="497"/>
      <c r="J210" s="497"/>
      <c r="K210" s="497"/>
      <c r="L210" s="497"/>
    </row>
    <row r="211" spans="1:12" x14ac:dyDescent="0.2">
      <c r="A211" s="497"/>
      <c r="B211" s="497"/>
      <c r="C211" s="497"/>
      <c r="D211" s="497"/>
      <c r="E211" s="497"/>
      <c r="F211" s="497"/>
      <c r="G211" s="497"/>
      <c r="H211" s="497"/>
      <c r="I211" s="497"/>
      <c r="J211" s="497"/>
      <c r="K211" s="497"/>
      <c r="L211" s="497"/>
    </row>
    <row r="212" spans="1:12" x14ac:dyDescent="0.2">
      <c r="A212" s="497"/>
      <c r="B212" s="497"/>
      <c r="C212" s="497"/>
      <c r="D212" s="497"/>
      <c r="E212" s="497"/>
      <c r="F212" s="497"/>
      <c r="G212" s="497"/>
      <c r="H212" s="497"/>
      <c r="I212" s="497"/>
      <c r="J212" s="497"/>
      <c r="K212" s="497"/>
      <c r="L212" s="497"/>
    </row>
    <row r="213" spans="1:12" x14ac:dyDescent="0.2">
      <c r="A213" s="497"/>
      <c r="B213" s="497"/>
      <c r="C213" s="497"/>
      <c r="D213" s="497"/>
      <c r="E213" s="497"/>
      <c r="F213" s="497"/>
      <c r="G213" s="497"/>
      <c r="H213" s="497"/>
      <c r="I213" s="497"/>
      <c r="J213" s="497"/>
      <c r="K213" s="497"/>
      <c r="L213" s="497"/>
    </row>
    <row r="214" spans="1:12" x14ac:dyDescent="0.2">
      <c r="A214" s="497"/>
      <c r="B214" s="497"/>
      <c r="C214" s="497"/>
      <c r="D214" s="497"/>
      <c r="E214" s="497"/>
      <c r="F214" s="497"/>
      <c r="G214" s="497"/>
      <c r="H214" s="497"/>
      <c r="I214" s="497"/>
      <c r="J214" s="497"/>
      <c r="K214" s="497"/>
      <c r="L214" s="497"/>
    </row>
    <row r="215" spans="1:12" x14ac:dyDescent="0.2">
      <c r="A215" s="497"/>
      <c r="B215" s="497"/>
      <c r="C215" s="497"/>
      <c r="D215" s="497"/>
      <c r="E215" s="497"/>
      <c r="F215" s="497"/>
      <c r="G215" s="497"/>
      <c r="H215" s="497"/>
      <c r="I215" s="497"/>
      <c r="J215" s="497"/>
      <c r="K215" s="497"/>
      <c r="L215" s="497"/>
    </row>
    <row r="216" spans="1:12" x14ac:dyDescent="0.2">
      <c r="A216" s="497"/>
      <c r="B216" s="497"/>
      <c r="C216" s="497"/>
      <c r="D216" s="497"/>
      <c r="E216" s="497"/>
      <c r="F216" s="497"/>
      <c r="G216" s="497"/>
      <c r="H216" s="497"/>
      <c r="I216" s="497"/>
      <c r="J216" s="497"/>
      <c r="K216" s="497"/>
      <c r="L216" s="497"/>
    </row>
    <row r="217" spans="1:12" x14ac:dyDescent="0.2">
      <c r="A217" s="497"/>
      <c r="B217" s="497"/>
      <c r="C217" s="497"/>
      <c r="D217" s="497"/>
      <c r="E217" s="497"/>
      <c r="F217" s="497"/>
      <c r="G217" s="497"/>
      <c r="H217" s="497"/>
      <c r="I217" s="497"/>
      <c r="J217" s="497"/>
      <c r="K217" s="497"/>
      <c r="L217" s="497"/>
    </row>
    <row r="218" spans="1:12" x14ac:dyDescent="0.2">
      <c r="A218" s="497"/>
      <c r="B218" s="497"/>
      <c r="C218" s="497"/>
      <c r="D218" s="497"/>
      <c r="E218" s="497"/>
      <c r="F218" s="497"/>
      <c r="G218" s="497"/>
      <c r="H218" s="497"/>
      <c r="I218" s="497"/>
      <c r="J218" s="497"/>
      <c r="K218" s="497"/>
      <c r="L218" s="497"/>
    </row>
    <row r="219" spans="1:12" x14ac:dyDescent="0.2">
      <c r="A219" s="497"/>
      <c r="B219" s="497"/>
      <c r="C219" s="497"/>
      <c r="D219" s="497"/>
      <c r="E219" s="497"/>
      <c r="F219" s="497"/>
      <c r="G219" s="497"/>
      <c r="H219" s="497"/>
      <c r="I219" s="497"/>
      <c r="J219" s="497"/>
      <c r="K219" s="497"/>
      <c r="L219" s="497"/>
    </row>
    <row r="220" spans="1:12" x14ac:dyDescent="0.2">
      <c r="A220" s="497"/>
      <c r="B220" s="497"/>
      <c r="C220" s="497"/>
      <c r="D220" s="497"/>
      <c r="E220" s="497"/>
      <c r="F220" s="497"/>
      <c r="G220" s="497"/>
      <c r="H220" s="497"/>
      <c r="I220" s="497"/>
      <c r="J220" s="497"/>
      <c r="K220" s="497"/>
      <c r="L220" s="497"/>
    </row>
    <row r="221" spans="1:12" x14ac:dyDescent="0.2">
      <c r="A221" s="497"/>
      <c r="B221" s="497"/>
      <c r="C221" s="497"/>
      <c r="D221" s="497"/>
      <c r="E221" s="497"/>
      <c r="F221" s="497"/>
      <c r="G221" s="497"/>
      <c r="H221" s="497"/>
      <c r="I221" s="497"/>
      <c r="J221" s="497"/>
      <c r="K221" s="497"/>
      <c r="L221" s="497"/>
    </row>
    <row r="222" spans="1:12" x14ac:dyDescent="0.2">
      <c r="A222" s="497"/>
      <c r="B222" s="497"/>
      <c r="C222" s="497"/>
      <c r="D222" s="497"/>
      <c r="E222" s="497"/>
      <c r="F222" s="497"/>
      <c r="G222" s="497"/>
      <c r="H222" s="497"/>
      <c r="I222" s="497"/>
      <c r="J222" s="497"/>
      <c r="K222" s="497"/>
      <c r="L222" s="497"/>
    </row>
    <row r="223" spans="1:12" x14ac:dyDescent="0.2">
      <c r="A223" s="497"/>
      <c r="B223" s="497"/>
      <c r="C223" s="497"/>
      <c r="D223" s="497"/>
      <c r="E223" s="497"/>
      <c r="F223" s="497"/>
      <c r="G223" s="497"/>
      <c r="H223" s="497"/>
      <c r="I223" s="497"/>
      <c r="J223" s="497"/>
      <c r="K223" s="497"/>
      <c r="L223" s="497"/>
    </row>
    <row r="224" spans="1:12" x14ac:dyDescent="0.2">
      <c r="A224" s="497"/>
      <c r="B224" s="497"/>
      <c r="C224" s="497"/>
      <c r="D224" s="497"/>
      <c r="E224" s="497"/>
      <c r="F224" s="497"/>
      <c r="G224" s="497"/>
      <c r="H224" s="497"/>
      <c r="I224" s="497"/>
      <c r="J224" s="497"/>
      <c r="K224" s="497"/>
      <c r="L224" s="497"/>
    </row>
    <row r="225" spans="1:12" x14ac:dyDescent="0.2">
      <c r="A225" s="497"/>
      <c r="B225" s="497"/>
      <c r="C225" s="497"/>
      <c r="D225" s="497"/>
      <c r="E225" s="497"/>
      <c r="F225" s="497"/>
      <c r="G225" s="497"/>
      <c r="H225" s="497"/>
      <c r="I225" s="497"/>
      <c r="J225" s="497"/>
      <c r="K225" s="497"/>
      <c r="L225" s="497"/>
    </row>
    <row r="226" spans="1:12" x14ac:dyDescent="0.2">
      <c r="A226" s="497"/>
      <c r="B226" s="497"/>
      <c r="C226" s="497"/>
      <c r="D226" s="497"/>
      <c r="E226" s="497"/>
      <c r="F226" s="497"/>
      <c r="G226" s="497"/>
      <c r="H226" s="497"/>
      <c r="I226" s="497"/>
      <c r="J226" s="497"/>
      <c r="K226" s="497"/>
      <c r="L226" s="497"/>
    </row>
    <row r="227" spans="1:12" x14ac:dyDescent="0.2">
      <c r="A227" s="497"/>
      <c r="B227" s="497"/>
      <c r="C227" s="497"/>
      <c r="D227" s="497"/>
      <c r="E227" s="497"/>
      <c r="F227" s="497"/>
      <c r="G227" s="497"/>
      <c r="H227" s="497"/>
      <c r="I227" s="497"/>
      <c r="J227" s="497"/>
      <c r="K227" s="497"/>
      <c r="L227" s="497"/>
    </row>
    <row r="228" spans="1:12" x14ac:dyDescent="0.2">
      <c r="A228" s="497"/>
      <c r="B228" s="497"/>
      <c r="C228" s="497"/>
      <c r="D228" s="497"/>
      <c r="E228" s="497"/>
      <c r="F228" s="497"/>
      <c r="G228" s="497"/>
      <c r="H228" s="497"/>
      <c r="I228" s="497"/>
      <c r="J228" s="497"/>
      <c r="K228" s="497"/>
      <c r="L228" s="497"/>
    </row>
    <row r="229" spans="1:12" x14ac:dyDescent="0.2">
      <c r="A229" s="497"/>
      <c r="B229" s="497"/>
      <c r="C229" s="497"/>
      <c r="D229" s="497"/>
      <c r="E229" s="497"/>
      <c r="F229" s="497"/>
      <c r="G229" s="497"/>
      <c r="H229" s="497"/>
      <c r="I229" s="497"/>
      <c r="J229" s="497"/>
      <c r="K229" s="497"/>
      <c r="L229" s="497"/>
    </row>
    <row r="230" spans="1:12" x14ac:dyDescent="0.2">
      <c r="A230" s="497"/>
      <c r="B230" s="497"/>
      <c r="C230" s="497"/>
      <c r="D230" s="497"/>
      <c r="E230" s="497"/>
      <c r="F230" s="497"/>
      <c r="G230" s="497"/>
      <c r="H230" s="497"/>
      <c r="I230" s="497"/>
      <c r="J230" s="497"/>
      <c r="K230" s="497"/>
      <c r="L230" s="497"/>
    </row>
    <row r="231" spans="1:12" x14ac:dyDescent="0.2">
      <c r="A231" s="497"/>
      <c r="B231" s="497"/>
      <c r="C231" s="497"/>
      <c r="D231" s="497"/>
      <c r="E231" s="497"/>
      <c r="F231" s="497"/>
      <c r="G231" s="497"/>
      <c r="H231" s="497"/>
      <c r="I231" s="497"/>
      <c r="J231" s="497"/>
      <c r="K231" s="497"/>
      <c r="L231" s="497"/>
    </row>
    <row r="232" spans="1:12" x14ac:dyDescent="0.2">
      <c r="A232" s="497"/>
      <c r="B232" s="497"/>
      <c r="C232" s="497"/>
      <c r="D232" s="497"/>
      <c r="E232" s="497"/>
      <c r="F232" s="497"/>
      <c r="G232" s="497"/>
      <c r="H232" s="497"/>
      <c r="I232" s="497"/>
      <c r="J232" s="497"/>
      <c r="K232" s="497"/>
      <c r="L232" s="497"/>
    </row>
    <row r="233" spans="1:12" x14ac:dyDescent="0.2">
      <c r="A233" s="497"/>
      <c r="B233" s="497"/>
      <c r="C233" s="497"/>
      <c r="D233" s="497"/>
      <c r="E233" s="497"/>
      <c r="F233" s="497"/>
      <c r="G233" s="497"/>
      <c r="H233" s="497"/>
      <c r="I233" s="497"/>
      <c r="J233" s="497"/>
      <c r="K233" s="497"/>
      <c r="L233" s="497"/>
    </row>
    <row r="234" spans="1:12" x14ac:dyDescent="0.2">
      <c r="A234" s="497"/>
      <c r="B234" s="497"/>
      <c r="C234" s="497"/>
      <c r="D234" s="497"/>
      <c r="E234" s="497"/>
      <c r="F234" s="497"/>
      <c r="G234" s="497"/>
      <c r="H234" s="497"/>
      <c r="I234" s="497"/>
      <c r="J234" s="497"/>
      <c r="K234" s="497"/>
      <c r="L234" s="497"/>
    </row>
    <row r="235" spans="1:12" x14ac:dyDescent="0.2">
      <c r="A235" s="497"/>
      <c r="B235" s="497"/>
      <c r="C235" s="497"/>
      <c r="D235" s="497"/>
      <c r="E235" s="497"/>
      <c r="F235" s="497"/>
      <c r="G235" s="497"/>
      <c r="H235" s="497"/>
      <c r="I235" s="497"/>
      <c r="J235" s="497"/>
      <c r="K235" s="497"/>
      <c r="L235" s="497"/>
    </row>
    <row r="236" spans="1:12" x14ac:dyDescent="0.2">
      <c r="A236" s="497"/>
      <c r="B236" s="497"/>
      <c r="C236" s="497"/>
      <c r="D236" s="497"/>
      <c r="E236" s="497"/>
      <c r="F236" s="497"/>
      <c r="G236" s="497"/>
      <c r="H236" s="497"/>
      <c r="I236" s="497"/>
      <c r="J236" s="497"/>
      <c r="K236" s="497"/>
      <c r="L236" s="497"/>
    </row>
    <row r="237" spans="1:12" x14ac:dyDescent="0.2">
      <c r="A237" s="497"/>
      <c r="B237" s="497"/>
      <c r="C237" s="497"/>
      <c r="D237" s="497"/>
      <c r="E237" s="497"/>
      <c r="F237" s="497"/>
      <c r="G237" s="497"/>
      <c r="H237" s="497"/>
      <c r="I237" s="497"/>
      <c r="J237" s="497"/>
      <c r="K237" s="497"/>
      <c r="L237" s="497"/>
    </row>
    <row r="238" spans="1:12" x14ac:dyDescent="0.2">
      <c r="A238" s="497"/>
      <c r="B238" s="497"/>
      <c r="C238" s="497"/>
      <c r="D238" s="497"/>
      <c r="E238" s="497"/>
      <c r="F238" s="497"/>
      <c r="G238" s="497"/>
      <c r="H238" s="497"/>
      <c r="I238" s="497"/>
      <c r="J238" s="497"/>
      <c r="K238" s="497"/>
      <c r="L238" s="497"/>
    </row>
    <row r="239" spans="1:12" x14ac:dyDescent="0.2">
      <c r="A239" s="497"/>
      <c r="B239" s="497"/>
      <c r="C239" s="497"/>
      <c r="D239" s="497"/>
      <c r="E239" s="497"/>
      <c r="F239" s="497"/>
      <c r="G239" s="497"/>
      <c r="H239" s="497"/>
      <c r="I239" s="497"/>
      <c r="J239" s="497"/>
      <c r="K239" s="497"/>
      <c r="L239" s="497"/>
    </row>
    <row r="240" spans="1:12" x14ac:dyDescent="0.2">
      <c r="A240" s="497"/>
      <c r="B240" s="497"/>
      <c r="C240" s="497"/>
      <c r="D240" s="497"/>
      <c r="E240" s="497"/>
      <c r="F240" s="497"/>
      <c r="G240" s="497"/>
      <c r="H240" s="497"/>
      <c r="I240" s="497"/>
      <c r="J240" s="497"/>
      <c r="K240" s="497"/>
      <c r="L240" s="497"/>
    </row>
    <row r="241" spans="1:12" x14ac:dyDescent="0.2">
      <c r="A241" s="497"/>
      <c r="B241" s="497"/>
      <c r="C241" s="497"/>
      <c r="D241" s="497"/>
      <c r="E241" s="497"/>
      <c r="F241" s="497"/>
      <c r="G241" s="497"/>
      <c r="H241" s="497"/>
      <c r="I241" s="497"/>
      <c r="J241" s="497"/>
      <c r="K241" s="497"/>
      <c r="L241" s="497"/>
    </row>
    <row r="242" spans="1:12" x14ac:dyDescent="0.2">
      <c r="A242" s="497"/>
      <c r="B242" s="497"/>
      <c r="C242" s="497"/>
      <c r="D242" s="497"/>
      <c r="E242" s="497"/>
      <c r="F242" s="497"/>
      <c r="G242" s="497"/>
      <c r="H242" s="497"/>
      <c r="I242" s="497"/>
      <c r="J242" s="497"/>
      <c r="K242" s="497"/>
      <c r="L242" s="497"/>
    </row>
    <row r="243" spans="1:12" x14ac:dyDescent="0.2">
      <c r="A243" s="497"/>
      <c r="B243" s="497"/>
      <c r="C243" s="497"/>
      <c r="D243" s="497"/>
      <c r="E243" s="497"/>
      <c r="F243" s="497"/>
      <c r="G243" s="497"/>
      <c r="H243" s="497"/>
      <c r="I243" s="497"/>
      <c r="J243" s="497"/>
      <c r="K243" s="497"/>
      <c r="L243" s="497"/>
    </row>
    <row r="244" spans="1:12" x14ac:dyDescent="0.2">
      <c r="A244" s="497"/>
      <c r="B244" s="497"/>
      <c r="C244" s="497"/>
      <c r="D244" s="497"/>
      <c r="E244" s="497"/>
      <c r="F244" s="497"/>
      <c r="G244" s="497"/>
      <c r="H244" s="497"/>
      <c r="I244" s="497"/>
      <c r="J244" s="497"/>
      <c r="K244" s="497"/>
      <c r="L244" s="497"/>
    </row>
    <row r="245" spans="1:12" x14ac:dyDescent="0.2">
      <c r="A245" s="497"/>
      <c r="B245" s="497"/>
      <c r="C245" s="497"/>
      <c r="D245" s="497"/>
      <c r="E245" s="497"/>
      <c r="F245" s="497"/>
      <c r="G245" s="497"/>
      <c r="H245" s="497"/>
      <c r="I245" s="497"/>
      <c r="J245" s="497"/>
      <c r="K245" s="497"/>
      <c r="L245" s="497"/>
    </row>
    <row r="246" spans="1:12" x14ac:dyDescent="0.2">
      <c r="A246" s="497"/>
      <c r="B246" s="497"/>
      <c r="C246" s="497"/>
      <c r="D246" s="497"/>
      <c r="E246" s="497"/>
      <c r="F246" s="497"/>
      <c r="G246" s="497"/>
      <c r="H246" s="497"/>
      <c r="I246" s="497"/>
      <c r="J246" s="497"/>
      <c r="K246" s="497"/>
      <c r="L246" s="497"/>
    </row>
    <row r="247" spans="1:12" x14ac:dyDescent="0.2">
      <c r="A247" s="497"/>
      <c r="B247" s="497"/>
      <c r="C247" s="497"/>
      <c r="D247" s="497"/>
      <c r="E247" s="497"/>
      <c r="F247" s="497"/>
      <c r="G247" s="497"/>
      <c r="H247" s="497"/>
      <c r="I247" s="497"/>
      <c r="J247" s="497"/>
      <c r="K247" s="497"/>
      <c r="L247" s="497"/>
    </row>
    <row r="248" spans="1:12" x14ac:dyDescent="0.2">
      <c r="A248" s="497"/>
      <c r="B248" s="497"/>
      <c r="C248" s="497"/>
      <c r="D248" s="497"/>
      <c r="E248" s="497"/>
      <c r="F248" s="497"/>
      <c r="G248" s="497"/>
      <c r="H248" s="497"/>
      <c r="I248" s="497"/>
      <c r="J248" s="497"/>
      <c r="K248" s="497"/>
      <c r="L248" s="497"/>
    </row>
    <row r="249" spans="1:12" x14ac:dyDescent="0.2">
      <c r="A249" s="497"/>
      <c r="B249" s="497"/>
      <c r="C249" s="497"/>
      <c r="D249" s="497"/>
      <c r="E249" s="497"/>
      <c r="F249" s="497"/>
      <c r="G249" s="497"/>
      <c r="H249" s="497"/>
      <c r="I249" s="497"/>
      <c r="J249" s="497"/>
      <c r="K249" s="497"/>
      <c r="L249" s="497"/>
    </row>
    <row r="250" spans="1:12" x14ac:dyDescent="0.2">
      <c r="A250" s="497"/>
      <c r="B250" s="497"/>
      <c r="C250" s="497"/>
      <c r="D250" s="497"/>
      <c r="E250" s="497"/>
      <c r="F250" s="497"/>
      <c r="G250" s="497"/>
      <c r="H250" s="497"/>
      <c r="I250" s="497"/>
      <c r="J250" s="497"/>
      <c r="K250" s="497"/>
      <c r="L250" s="497"/>
    </row>
    <row r="251" spans="1:12" x14ac:dyDescent="0.2">
      <c r="A251" s="497"/>
      <c r="B251" s="497"/>
      <c r="C251" s="497"/>
      <c r="D251" s="497"/>
      <c r="E251" s="497"/>
      <c r="F251" s="497"/>
      <c r="G251" s="497"/>
      <c r="H251" s="497"/>
      <c r="I251" s="497"/>
      <c r="J251" s="497"/>
      <c r="K251" s="497"/>
      <c r="L251" s="497"/>
    </row>
    <row r="252" spans="1:12" x14ac:dyDescent="0.2">
      <c r="A252" s="497"/>
      <c r="B252" s="497"/>
      <c r="C252" s="497"/>
      <c r="D252" s="497"/>
      <c r="E252" s="497"/>
      <c r="F252" s="497"/>
      <c r="G252" s="497"/>
      <c r="H252" s="497"/>
      <c r="I252" s="497"/>
      <c r="J252" s="497"/>
      <c r="K252" s="497"/>
      <c r="L252" s="497"/>
    </row>
    <row r="253" spans="1:12" x14ac:dyDescent="0.2">
      <c r="A253" s="497"/>
      <c r="B253" s="497"/>
      <c r="C253" s="497"/>
      <c r="D253" s="497"/>
      <c r="E253" s="497"/>
      <c r="F253" s="497"/>
      <c r="G253" s="497"/>
      <c r="H253" s="497"/>
      <c r="I253" s="497"/>
      <c r="J253" s="497"/>
      <c r="K253" s="497"/>
      <c r="L253" s="497"/>
    </row>
    <row r="254" spans="1:12" x14ac:dyDescent="0.2">
      <c r="A254" s="497"/>
      <c r="B254" s="497"/>
      <c r="C254" s="497"/>
      <c r="D254" s="497"/>
      <c r="E254" s="497"/>
      <c r="F254" s="497"/>
      <c r="G254" s="497"/>
      <c r="H254" s="497"/>
      <c r="I254" s="497"/>
      <c r="J254" s="497"/>
      <c r="K254" s="497"/>
      <c r="L254" s="497"/>
    </row>
    <row r="255" spans="1:12" x14ac:dyDescent="0.2">
      <c r="A255" s="497"/>
      <c r="B255" s="497"/>
      <c r="C255" s="497"/>
      <c r="D255" s="497"/>
      <c r="E255" s="497"/>
      <c r="F255" s="497"/>
      <c r="G255" s="497"/>
      <c r="H255" s="497"/>
      <c r="I255" s="497"/>
      <c r="J255" s="497"/>
      <c r="K255" s="497"/>
      <c r="L255" s="497"/>
    </row>
    <row r="256" spans="1:12" x14ac:dyDescent="0.2">
      <c r="A256" s="497"/>
      <c r="B256" s="497"/>
      <c r="C256" s="497"/>
      <c r="D256" s="497"/>
      <c r="E256" s="497"/>
      <c r="F256" s="497"/>
      <c r="G256" s="497"/>
      <c r="H256" s="497"/>
      <c r="I256" s="497"/>
      <c r="J256" s="497"/>
      <c r="K256" s="497"/>
      <c r="L256" s="497"/>
    </row>
    <row r="257" spans="1:12" x14ac:dyDescent="0.2">
      <c r="A257" s="497"/>
      <c r="B257" s="497"/>
      <c r="C257" s="497"/>
      <c r="D257" s="497"/>
      <c r="E257" s="497"/>
      <c r="F257" s="497"/>
      <c r="G257" s="497"/>
      <c r="H257" s="497"/>
      <c r="I257" s="497"/>
      <c r="J257" s="497"/>
      <c r="K257" s="497"/>
      <c r="L257" s="497"/>
    </row>
    <row r="258" spans="1:12" x14ac:dyDescent="0.2">
      <c r="A258" s="497"/>
      <c r="B258" s="497"/>
      <c r="C258" s="497"/>
      <c r="D258" s="497"/>
      <c r="E258" s="497"/>
      <c r="F258" s="497"/>
      <c r="G258" s="497"/>
      <c r="H258" s="497"/>
      <c r="I258" s="497"/>
      <c r="J258" s="497"/>
      <c r="K258" s="497"/>
      <c r="L258" s="497"/>
    </row>
    <row r="259" spans="1:12" x14ac:dyDescent="0.2">
      <c r="A259" s="497"/>
      <c r="B259" s="497"/>
      <c r="C259" s="497"/>
      <c r="D259" s="497"/>
      <c r="E259" s="497"/>
      <c r="F259" s="497"/>
      <c r="G259" s="497"/>
      <c r="H259" s="497"/>
      <c r="I259" s="497"/>
      <c r="J259" s="497"/>
      <c r="K259" s="497"/>
      <c r="L259" s="497"/>
    </row>
    <row r="260" spans="1:12" x14ac:dyDescent="0.2">
      <c r="A260" s="497"/>
      <c r="B260" s="497"/>
      <c r="C260" s="497"/>
      <c r="D260" s="497"/>
      <c r="E260" s="497"/>
      <c r="F260" s="497"/>
      <c r="G260" s="497"/>
      <c r="H260" s="497"/>
      <c r="I260" s="497"/>
      <c r="J260" s="497"/>
      <c r="K260" s="497"/>
      <c r="L260" s="497"/>
    </row>
    <row r="261" spans="1:12" x14ac:dyDescent="0.2">
      <c r="A261" s="497"/>
      <c r="B261" s="497"/>
      <c r="C261" s="497"/>
      <c r="D261" s="497"/>
      <c r="E261" s="497"/>
      <c r="F261" s="497"/>
      <c r="G261" s="497"/>
      <c r="H261" s="497"/>
      <c r="I261" s="497"/>
      <c r="J261" s="497"/>
      <c r="K261" s="497"/>
      <c r="L261" s="497"/>
    </row>
    <row r="262" spans="1:12" x14ac:dyDescent="0.2">
      <c r="A262" s="497"/>
      <c r="B262" s="497"/>
      <c r="C262" s="497"/>
      <c r="D262" s="497"/>
      <c r="E262" s="497"/>
      <c r="F262" s="497"/>
      <c r="G262" s="497"/>
      <c r="H262" s="497"/>
      <c r="I262" s="497"/>
      <c r="J262" s="497"/>
      <c r="K262" s="497"/>
      <c r="L262" s="497"/>
    </row>
    <row r="263" spans="1:12" x14ac:dyDescent="0.2">
      <c r="A263" s="497"/>
      <c r="B263" s="497"/>
      <c r="C263" s="497"/>
      <c r="D263" s="497"/>
      <c r="E263" s="497"/>
      <c r="F263" s="497"/>
      <c r="G263" s="497"/>
      <c r="H263" s="497"/>
      <c r="I263" s="497"/>
      <c r="J263" s="497"/>
      <c r="K263" s="497"/>
      <c r="L263" s="497"/>
    </row>
    <row r="264" spans="1:12" x14ac:dyDescent="0.2">
      <c r="A264" s="497"/>
      <c r="B264" s="497"/>
      <c r="C264" s="497"/>
      <c r="D264" s="497"/>
      <c r="E264" s="497"/>
      <c r="F264" s="497"/>
      <c r="G264" s="497"/>
      <c r="H264" s="497"/>
      <c r="I264" s="497"/>
      <c r="J264" s="497"/>
      <c r="K264" s="497"/>
      <c r="L264" s="497"/>
    </row>
    <row r="265" spans="1:12" x14ac:dyDescent="0.2">
      <c r="A265" s="497"/>
      <c r="B265" s="497"/>
      <c r="C265" s="497"/>
      <c r="D265" s="497"/>
      <c r="E265" s="497"/>
      <c r="F265" s="497"/>
      <c r="G265" s="497"/>
      <c r="H265" s="497"/>
      <c r="I265" s="497"/>
      <c r="J265" s="497"/>
      <c r="K265" s="497"/>
      <c r="L265" s="497"/>
    </row>
    <row r="266" spans="1:12" x14ac:dyDescent="0.2">
      <c r="A266" s="497"/>
      <c r="B266" s="497"/>
      <c r="C266" s="497"/>
      <c r="D266" s="497"/>
      <c r="E266" s="497"/>
      <c r="F266" s="497"/>
      <c r="G266" s="497"/>
      <c r="H266" s="497"/>
      <c r="I266" s="497"/>
      <c r="J266" s="497"/>
      <c r="K266" s="497"/>
      <c r="L266" s="497"/>
    </row>
    <row r="267" spans="1:12" x14ac:dyDescent="0.2">
      <c r="A267" s="497"/>
      <c r="B267" s="497"/>
      <c r="C267" s="497"/>
      <c r="D267" s="497"/>
      <c r="E267" s="497"/>
      <c r="F267" s="497"/>
      <c r="G267" s="497"/>
      <c r="H267" s="497"/>
      <c r="I267" s="497"/>
      <c r="J267" s="497"/>
      <c r="K267" s="497"/>
      <c r="L267" s="497"/>
    </row>
    <row r="268" spans="1:12" x14ac:dyDescent="0.2">
      <c r="A268" s="497"/>
      <c r="B268" s="497"/>
      <c r="C268" s="497"/>
      <c r="D268" s="497"/>
      <c r="E268" s="497"/>
      <c r="F268" s="497"/>
      <c r="G268" s="497"/>
      <c r="H268" s="497"/>
      <c r="I268" s="497"/>
      <c r="J268" s="497"/>
      <c r="K268" s="497"/>
      <c r="L268" s="497"/>
    </row>
    <row r="269" spans="1:12" x14ac:dyDescent="0.2">
      <c r="A269" s="497"/>
      <c r="B269" s="497"/>
      <c r="C269" s="497"/>
      <c r="D269" s="497"/>
      <c r="E269" s="497"/>
      <c r="F269" s="497"/>
      <c r="G269" s="497"/>
      <c r="H269" s="497"/>
      <c r="I269" s="497"/>
      <c r="J269" s="497"/>
      <c r="K269" s="497"/>
      <c r="L269" s="497"/>
    </row>
    <row r="270" spans="1:12" x14ac:dyDescent="0.2">
      <c r="A270" s="497"/>
      <c r="B270" s="497"/>
      <c r="C270" s="497"/>
      <c r="D270" s="497"/>
      <c r="E270" s="497"/>
      <c r="F270" s="497"/>
      <c r="G270" s="497"/>
      <c r="H270" s="497"/>
      <c r="I270" s="497"/>
      <c r="J270" s="497"/>
      <c r="K270" s="497"/>
      <c r="L270" s="497"/>
    </row>
    <row r="271" spans="1:12" x14ac:dyDescent="0.2">
      <c r="A271" s="497"/>
      <c r="B271" s="497"/>
      <c r="C271" s="497"/>
      <c r="D271" s="497"/>
      <c r="E271" s="497"/>
      <c r="F271" s="497"/>
      <c r="G271" s="497"/>
      <c r="H271" s="497"/>
      <c r="I271" s="497"/>
      <c r="J271" s="497"/>
      <c r="K271" s="497"/>
      <c r="L271" s="497"/>
    </row>
    <row r="272" spans="1:12" x14ac:dyDescent="0.2">
      <c r="A272" s="497"/>
      <c r="B272" s="497"/>
      <c r="C272" s="497"/>
      <c r="D272" s="497"/>
      <c r="E272" s="497"/>
      <c r="F272" s="497"/>
      <c r="G272" s="497"/>
      <c r="H272" s="497"/>
      <c r="I272" s="497"/>
      <c r="J272" s="497"/>
      <c r="K272" s="497"/>
      <c r="L272" s="497"/>
    </row>
    <row r="273" spans="1:12" x14ac:dyDescent="0.2">
      <c r="A273" s="497"/>
      <c r="B273" s="497"/>
      <c r="C273" s="497"/>
      <c r="D273" s="497"/>
      <c r="E273" s="497"/>
      <c r="F273" s="497"/>
      <c r="G273" s="497"/>
      <c r="H273" s="497"/>
      <c r="I273" s="497"/>
      <c r="J273" s="497"/>
      <c r="K273" s="497"/>
      <c r="L273" s="497"/>
    </row>
    <row r="274" spans="1:12" x14ac:dyDescent="0.2">
      <c r="A274" s="497"/>
      <c r="B274" s="497"/>
      <c r="C274" s="497"/>
      <c r="D274" s="497"/>
      <c r="E274" s="497"/>
      <c r="F274" s="497"/>
      <c r="G274" s="497"/>
      <c r="H274" s="497"/>
      <c r="I274" s="497"/>
      <c r="J274" s="497"/>
      <c r="K274" s="497"/>
      <c r="L274" s="497"/>
    </row>
    <row r="275" spans="1:12" x14ac:dyDescent="0.2">
      <c r="A275" s="497"/>
      <c r="B275" s="497"/>
      <c r="C275" s="497"/>
      <c r="D275" s="497"/>
      <c r="E275" s="497"/>
      <c r="F275" s="497"/>
      <c r="G275" s="497"/>
      <c r="H275" s="497"/>
      <c r="I275" s="497"/>
      <c r="J275" s="497"/>
      <c r="K275" s="497"/>
      <c r="L275" s="497"/>
    </row>
    <row r="276" spans="1:12" x14ac:dyDescent="0.2">
      <c r="A276" s="497"/>
      <c r="B276" s="497"/>
      <c r="C276" s="497"/>
      <c r="D276" s="497"/>
      <c r="E276" s="497"/>
      <c r="F276" s="497"/>
      <c r="G276" s="497"/>
      <c r="H276" s="497"/>
      <c r="I276" s="497"/>
      <c r="J276" s="497"/>
      <c r="K276" s="497"/>
      <c r="L276" s="497"/>
    </row>
    <row r="277" spans="1:12" x14ac:dyDescent="0.2">
      <c r="A277" s="497"/>
      <c r="B277" s="497"/>
      <c r="C277" s="497"/>
      <c r="D277" s="497"/>
      <c r="E277" s="497"/>
      <c r="F277" s="497"/>
      <c r="G277" s="497"/>
      <c r="H277" s="497"/>
      <c r="I277" s="497"/>
      <c r="J277" s="497"/>
      <c r="K277" s="497"/>
      <c r="L277" s="497"/>
    </row>
    <row r="278" spans="1:12" x14ac:dyDescent="0.2">
      <c r="A278" s="497"/>
      <c r="B278" s="497"/>
      <c r="C278" s="497"/>
      <c r="D278" s="497"/>
      <c r="E278" s="497"/>
      <c r="F278" s="497"/>
      <c r="G278" s="497"/>
      <c r="H278" s="497"/>
      <c r="I278" s="497"/>
      <c r="J278" s="497"/>
      <c r="K278" s="497"/>
      <c r="L278" s="497"/>
    </row>
    <row r="279" spans="1:12" x14ac:dyDescent="0.2">
      <c r="A279" s="497"/>
      <c r="B279" s="497"/>
      <c r="C279" s="497"/>
      <c r="D279" s="497"/>
      <c r="E279" s="497"/>
      <c r="F279" s="497"/>
      <c r="G279" s="497"/>
      <c r="H279" s="497"/>
      <c r="I279" s="497"/>
      <c r="J279" s="497"/>
      <c r="K279" s="497"/>
      <c r="L279" s="497"/>
    </row>
    <row r="280" spans="1:12" x14ac:dyDescent="0.2">
      <c r="A280" s="497"/>
      <c r="B280" s="497"/>
      <c r="C280" s="497"/>
      <c r="D280" s="497"/>
      <c r="E280" s="497"/>
      <c r="F280" s="497"/>
      <c r="G280" s="497"/>
      <c r="H280" s="497"/>
      <c r="I280" s="497"/>
      <c r="J280" s="497"/>
      <c r="K280" s="497"/>
      <c r="L280" s="497"/>
    </row>
    <row r="281" spans="1:12" x14ac:dyDescent="0.2">
      <c r="A281" s="497"/>
      <c r="B281" s="497"/>
      <c r="C281" s="497"/>
      <c r="D281" s="497"/>
      <c r="E281" s="497"/>
      <c r="F281" s="497"/>
      <c r="G281" s="497"/>
      <c r="H281" s="497"/>
      <c r="I281" s="497"/>
      <c r="J281" s="497"/>
      <c r="K281" s="497"/>
      <c r="L281" s="497"/>
    </row>
    <row r="282" spans="1:12" x14ac:dyDescent="0.2">
      <c r="A282" s="497"/>
      <c r="B282" s="497"/>
      <c r="C282" s="497"/>
      <c r="D282" s="497"/>
      <c r="E282" s="497"/>
      <c r="F282" s="497"/>
      <c r="G282" s="497"/>
      <c r="H282" s="497"/>
      <c r="I282" s="497"/>
      <c r="J282" s="497"/>
      <c r="K282" s="497"/>
      <c r="L282" s="497"/>
    </row>
    <row r="283" spans="1:12" x14ac:dyDescent="0.2">
      <c r="A283" s="497"/>
      <c r="B283" s="497"/>
      <c r="C283" s="497"/>
      <c r="D283" s="497"/>
      <c r="E283" s="497"/>
      <c r="F283" s="497"/>
      <c r="G283" s="497"/>
      <c r="H283" s="497"/>
      <c r="I283" s="497"/>
      <c r="J283" s="497"/>
      <c r="K283" s="497"/>
      <c r="L283" s="497"/>
    </row>
    <row r="284" spans="1:12" x14ac:dyDescent="0.2">
      <c r="A284" s="497"/>
      <c r="B284" s="497"/>
      <c r="C284" s="497"/>
      <c r="D284" s="497"/>
      <c r="E284" s="497"/>
      <c r="F284" s="497"/>
      <c r="G284" s="497"/>
      <c r="H284" s="497"/>
      <c r="I284" s="497"/>
      <c r="J284" s="497"/>
      <c r="K284" s="497"/>
      <c r="L284" s="497"/>
    </row>
    <row r="285" spans="1:12" x14ac:dyDescent="0.2">
      <c r="A285" s="497"/>
      <c r="B285" s="497"/>
      <c r="C285" s="497"/>
      <c r="D285" s="497"/>
      <c r="E285" s="497"/>
      <c r="F285" s="497"/>
      <c r="G285" s="497"/>
      <c r="H285" s="497"/>
      <c r="I285" s="497"/>
      <c r="J285" s="497"/>
      <c r="K285" s="497"/>
      <c r="L285" s="497"/>
    </row>
    <row r="286" spans="1:12" x14ac:dyDescent="0.2">
      <c r="A286" s="497"/>
      <c r="B286" s="497"/>
      <c r="C286" s="497"/>
      <c r="D286" s="497"/>
      <c r="E286" s="497"/>
      <c r="F286" s="497"/>
      <c r="G286" s="497"/>
      <c r="H286" s="497"/>
      <c r="I286" s="497"/>
      <c r="J286" s="497"/>
      <c r="K286" s="497"/>
      <c r="L286" s="497"/>
    </row>
    <row r="287" spans="1:12" x14ac:dyDescent="0.2">
      <c r="A287" s="497"/>
      <c r="B287" s="497"/>
      <c r="C287" s="497"/>
      <c r="D287" s="497"/>
      <c r="E287" s="497"/>
      <c r="F287" s="497"/>
      <c r="G287" s="497"/>
      <c r="H287" s="497"/>
      <c r="I287" s="497"/>
      <c r="J287" s="497"/>
      <c r="K287" s="497"/>
      <c r="L287" s="497"/>
    </row>
    <row r="288" spans="1:12" x14ac:dyDescent="0.2">
      <c r="A288" s="497"/>
      <c r="B288" s="497"/>
      <c r="C288" s="497"/>
      <c r="D288" s="497"/>
      <c r="E288" s="497"/>
      <c r="F288" s="497"/>
      <c r="G288" s="497"/>
      <c r="H288" s="497"/>
      <c r="I288" s="497"/>
      <c r="J288" s="497"/>
      <c r="K288" s="497"/>
      <c r="L288" s="497"/>
    </row>
    <row r="289" spans="1:12" x14ac:dyDescent="0.2">
      <c r="A289" s="497"/>
      <c r="B289" s="497"/>
      <c r="C289" s="497"/>
      <c r="D289" s="497"/>
      <c r="E289" s="497"/>
      <c r="F289" s="497"/>
      <c r="G289" s="497"/>
      <c r="H289" s="497"/>
      <c r="I289" s="497"/>
      <c r="J289" s="497"/>
      <c r="K289" s="497"/>
      <c r="L289" s="497"/>
    </row>
    <row r="290" spans="1:12" x14ac:dyDescent="0.2">
      <c r="A290" s="497"/>
      <c r="B290" s="497"/>
      <c r="C290" s="497"/>
      <c r="D290" s="497"/>
      <c r="E290" s="497"/>
      <c r="F290" s="497"/>
      <c r="G290" s="497"/>
      <c r="H290" s="497"/>
      <c r="I290" s="497"/>
      <c r="J290" s="497"/>
      <c r="K290" s="497"/>
      <c r="L290" s="497"/>
    </row>
    <row r="291" spans="1:12" x14ac:dyDescent="0.2">
      <c r="A291" s="497"/>
      <c r="B291" s="497"/>
      <c r="C291" s="497"/>
      <c r="D291" s="497"/>
      <c r="E291" s="497"/>
      <c r="F291" s="497"/>
      <c r="G291" s="497"/>
      <c r="H291" s="497"/>
      <c r="I291" s="497"/>
      <c r="J291" s="497"/>
      <c r="K291" s="497"/>
      <c r="L291" s="497"/>
    </row>
    <row r="292" spans="1:12" x14ac:dyDescent="0.2">
      <c r="A292" s="497"/>
      <c r="B292" s="497"/>
      <c r="C292" s="497"/>
      <c r="D292" s="497"/>
      <c r="E292" s="497"/>
      <c r="F292" s="497"/>
      <c r="G292" s="497"/>
      <c r="H292" s="497"/>
      <c r="I292" s="497"/>
      <c r="J292" s="497"/>
      <c r="K292" s="497"/>
      <c r="L292" s="497"/>
    </row>
    <row r="293" spans="1:12" x14ac:dyDescent="0.2">
      <c r="A293" s="497"/>
      <c r="B293" s="497"/>
      <c r="C293" s="497"/>
      <c r="D293" s="497"/>
      <c r="E293" s="497"/>
      <c r="F293" s="497"/>
      <c r="G293" s="497"/>
      <c r="H293" s="497"/>
      <c r="I293" s="497"/>
      <c r="J293" s="497"/>
      <c r="K293" s="497"/>
      <c r="L293" s="497"/>
    </row>
    <row r="294" spans="1:12" x14ac:dyDescent="0.2">
      <c r="A294" s="497"/>
      <c r="B294" s="497"/>
      <c r="C294" s="497"/>
      <c r="D294" s="497"/>
      <c r="E294" s="497"/>
      <c r="F294" s="497"/>
      <c r="G294" s="497"/>
      <c r="H294" s="497"/>
      <c r="I294" s="497"/>
      <c r="J294" s="497"/>
      <c r="K294" s="497"/>
      <c r="L294" s="497"/>
    </row>
    <row r="295" spans="1:12" x14ac:dyDescent="0.2">
      <c r="A295" s="497"/>
      <c r="B295" s="497"/>
      <c r="C295" s="497"/>
      <c r="D295" s="497"/>
      <c r="E295" s="497"/>
      <c r="F295" s="497"/>
      <c r="G295" s="497"/>
      <c r="H295" s="497"/>
      <c r="I295" s="497"/>
      <c r="J295" s="497"/>
      <c r="K295" s="497"/>
      <c r="L295" s="497"/>
    </row>
    <row r="296" spans="1:12" x14ac:dyDescent="0.2">
      <c r="A296" s="497"/>
      <c r="B296" s="497"/>
      <c r="C296" s="497"/>
      <c r="D296" s="497"/>
      <c r="E296" s="497"/>
      <c r="F296" s="497"/>
      <c r="G296" s="497"/>
      <c r="H296" s="497"/>
      <c r="I296" s="497"/>
      <c r="J296" s="497"/>
      <c r="K296" s="497"/>
      <c r="L296" s="497"/>
    </row>
    <row r="297" spans="1:12" x14ac:dyDescent="0.2">
      <c r="A297" s="497"/>
      <c r="B297" s="497"/>
      <c r="C297" s="497"/>
      <c r="D297" s="497"/>
      <c r="E297" s="497"/>
      <c r="F297" s="497"/>
      <c r="G297" s="497"/>
      <c r="H297" s="497"/>
      <c r="I297" s="497"/>
      <c r="J297" s="497"/>
      <c r="K297" s="497"/>
      <c r="L297" s="497"/>
    </row>
    <row r="298" spans="1:12" x14ac:dyDescent="0.2">
      <c r="A298" s="497"/>
      <c r="B298" s="497"/>
      <c r="C298" s="497"/>
      <c r="D298" s="497"/>
      <c r="E298" s="497"/>
      <c r="F298" s="497"/>
      <c r="G298" s="497"/>
      <c r="H298" s="497"/>
      <c r="I298" s="497"/>
      <c r="J298" s="497"/>
      <c r="K298" s="497"/>
      <c r="L298" s="497"/>
    </row>
    <row r="299" spans="1:12" x14ac:dyDescent="0.2">
      <c r="A299" s="497"/>
      <c r="B299" s="497"/>
      <c r="C299" s="497"/>
      <c r="D299" s="497"/>
      <c r="E299" s="497"/>
      <c r="F299" s="497"/>
      <c r="G299" s="497"/>
      <c r="H299" s="497"/>
      <c r="I299" s="497"/>
      <c r="J299" s="497"/>
      <c r="K299" s="497"/>
      <c r="L299" s="497"/>
    </row>
    <row r="300" spans="1:12" x14ac:dyDescent="0.2">
      <c r="A300" s="497"/>
      <c r="B300" s="497"/>
      <c r="C300" s="497"/>
      <c r="D300" s="497"/>
      <c r="E300" s="497"/>
      <c r="F300" s="497"/>
      <c r="G300" s="497"/>
      <c r="H300" s="497"/>
      <c r="I300" s="497"/>
      <c r="J300" s="497"/>
      <c r="K300" s="497"/>
      <c r="L300" s="497"/>
    </row>
    <row r="301" spans="1:12" x14ac:dyDescent="0.2">
      <c r="A301" s="497"/>
      <c r="B301" s="497"/>
      <c r="C301" s="497"/>
      <c r="D301" s="497"/>
      <c r="E301" s="497"/>
      <c r="F301" s="497"/>
      <c r="G301" s="497"/>
      <c r="H301" s="497"/>
      <c r="I301" s="497"/>
      <c r="J301" s="497"/>
      <c r="K301" s="497"/>
      <c r="L301" s="497"/>
    </row>
    <row r="302" spans="1:12" x14ac:dyDescent="0.2">
      <c r="A302" s="497"/>
      <c r="B302" s="497"/>
      <c r="C302" s="497"/>
      <c r="D302" s="497"/>
      <c r="E302" s="497"/>
      <c r="F302" s="497"/>
      <c r="G302" s="497"/>
      <c r="H302" s="497"/>
      <c r="I302" s="497"/>
      <c r="J302" s="497"/>
      <c r="K302" s="497"/>
      <c r="L302" s="497"/>
    </row>
    <row r="303" spans="1:12" x14ac:dyDescent="0.2">
      <c r="A303" s="497"/>
      <c r="B303" s="497"/>
      <c r="C303" s="497"/>
      <c r="D303" s="497"/>
      <c r="E303" s="497"/>
      <c r="F303" s="497"/>
      <c r="G303" s="497"/>
      <c r="H303" s="497"/>
      <c r="I303" s="497"/>
      <c r="J303" s="497"/>
      <c r="K303" s="497"/>
      <c r="L303" s="497"/>
    </row>
    <row r="304" spans="1:12" x14ac:dyDescent="0.2">
      <c r="A304" s="497"/>
      <c r="B304" s="497"/>
      <c r="C304" s="497"/>
      <c r="D304" s="497"/>
      <c r="E304" s="497"/>
      <c r="F304" s="497"/>
      <c r="G304" s="497"/>
      <c r="H304" s="497"/>
      <c r="I304" s="497"/>
      <c r="J304" s="497"/>
      <c r="K304" s="497"/>
      <c r="L304" s="497"/>
    </row>
    <row r="305" spans="1:12" x14ac:dyDescent="0.2">
      <c r="A305" s="497"/>
      <c r="B305" s="497"/>
      <c r="C305" s="497"/>
      <c r="D305" s="497"/>
      <c r="E305" s="497"/>
      <c r="F305" s="497"/>
      <c r="G305" s="497"/>
      <c r="H305" s="497"/>
      <c r="I305" s="497"/>
      <c r="J305" s="497"/>
      <c r="K305" s="497"/>
      <c r="L305" s="497"/>
    </row>
    <row r="306" spans="1:12" x14ac:dyDescent="0.2">
      <c r="A306" s="497"/>
      <c r="B306" s="497"/>
      <c r="C306" s="497"/>
      <c r="D306" s="497"/>
      <c r="E306" s="497"/>
      <c r="F306" s="497"/>
      <c r="G306" s="497"/>
      <c r="H306" s="497"/>
      <c r="I306" s="497"/>
      <c r="J306" s="497"/>
      <c r="K306" s="497"/>
      <c r="L306" s="497"/>
    </row>
    <row r="307" spans="1:12" x14ac:dyDescent="0.2">
      <c r="A307" s="497"/>
      <c r="B307" s="497"/>
      <c r="C307" s="497"/>
      <c r="D307" s="497"/>
      <c r="E307" s="497"/>
      <c r="F307" s="497"/>
      <c r="G307" s="497"/>
      <c r="H307" s="497"/>
      <c r="I307" s="497"/>
      <c r="J307" s="497"/>
      <c r="K307" s="497"/>
      <c r="L307" s="497"/>
    </row>
    <row r="308" spans="1:12" x14ac:dyDescent="0.2">
      <c r="A308" s="497"/>
      <c r="B308" s="497"/>
      <c r="C308" s="497"/>
      <c r="D308" s="497"/>
      <c r="E308" s="497"/>
      <c r="F308" s="497"/>
      <c r="G308" s="497"/>
      <c r="H308" s="497"/>
      <c r="I308" s="497"/>
      <c r="J308" s="497"/>
      <c r="K308" s="497"/>
      <c r="L308" s="497"/>
    </row>
    <row r="309" spans="1:12" x14ac:dyDescent="0.2">
      <c r="A309" s="497"/>
      <c r="B309" s="497"/>
      <c r="C309" s="497"/>
      <c r="D309" s="497"/>
      <c r="E309" s="497"/>
      <c r="F309" s="497"/>
      <c r="G309" s="497"/>
      <c r="H309" s="497"/>
      <c r="I309" s="497"/>
      <c r="J309" s="497"/>
      <c r="K309" s="497"/>
      <c r="L309" s="497"/>
    </row>
    <row r="310" spans="1:12" x14ac:dyDescent="0.2">
      <c r="A310" s="497"/>
      <c r="B310" s="497"/>
      <c r="C310" s="497"/>
      <c r="D310" s="497"/>
      <c r="E310" s="497"/>
      <c r="F310" s="497"/>
      <c r="G310" s="497"/>
      <c r="H310" s="497"/>
      <c r="I310" s="497"/>
      <c r="J310" s="497"/>
      <c r="K310" s="497"/>
      <c r="L310" s="497"/>
    </row>
    <row r="311" spans="1:12" x14ac:dyDescent="0.2">
      <c r="A311" s="497"/>
      <c r="B311" s="497"/>
      <c r="C311" s="497"/>
      <c r="D311" s="497"/>
      <c r="E311" s="497"/>
      <c r="F311" s="497"/>
      <c r="G311" s="497"/>
      <c r="H311" s="497"/>
      <c r="I311" s="497"/>
      <c r="J311" s="497"/>
      <c r="K311" s="497"/>
      <c r="L311" s="497"/>
    </row>
    <row r="312" spans="1:12" x14ac:dyDescent="0.2">
      <c r="A312" s="497"/>
      <c r="B312" s="497"/>
      <c r="C312" s="497"/>
      <c r="D312" s="497"/>
      <c r="E312" s="497"/>
      <c r="F312" s="497"/>
      <c r="G312" s="497"/>
      <c r="H312" s="497"/>
      <c r="I312" s="497"/>
      <c r="J312" s="497"/>
      <c r="K312" s="497"/>
      <c r="L312" s="497"/>
    </row>
    <row r="313" spans="1:12" x14ac:dyDescent="0.2">
      <c r="A313" s="497"/>
      <c r="B313" s="497"/>
      <c r="C313" s="497"/>
      <c r="D313" s="497"/>
      <c r="E313" s="497"/>
      <c r="F313" s="497"/>
      <c r="G313" s="497"/>
      <c r="H313" s="497"/>
      <c r="I313" s="497"/>
      <c r="J313" s="497"/>
      <c r="K313" s="497"/>
      <c r="L313" s="497"/>
    </row>
    <row r="314" spans="1:12" x14ac:dyDescent="0.2">
      <c r="A314" s="497"/>
      <c r="B314" s="497"/>
      <c r="C314" s="497"/>
      <c r="D314" s="497"/>
      <c r="E314" s="497"/>
      <c r="F314" s="497"/>
      <c r="G314" s="497"/>
      <c r="H314" s="497"/>
      <c r="I314" s="497"/>
      <c r="J314" s="497"/>
      <c r="K314" s="497"/>
      <c r="L314" s="497"/>
    </row>
    <row r="315" spans="1:12" x14ac:dyDescent="0.2">
      <c r="A315" s="497"/>
      <c r="B315" s="497"/>
      <c r="C315" s="497"/>
      <c r="D315" s="497"/>
      <c r="E315" s="497"/>
      <c r="F315" s="497"/>
      <c r="G315" s="497"/>
      <c r="H315" s="497"/>
      <c r="I315" s="497"/>
      <c r="J315" s="497"/>
      <c r="K315" s="497"/>
      <c r="L315" s="497"/>
    </row>
    <row r="316" spans="1:12" x14ac:dyDescent="0.2">
      <c r="A316" s="497"/>
      <c r="B316" s="497"/>
      <c r="C316" s="497"/>
      <c r="D316" s="497"/>
      <c r="E316" s="497"/>
      <c r="F316" s="497"/>
      <c r="G316" s="497"/>
      <c r="H316" s="497"/>
      <c r="I316" s="497"/>
      <c r="J316" s="497"/>
      <c r="K316" s="497"/>
      <c r="L316" s="497"/>
    </row>
    <row r="317" spans="1:12" x14ac:dyDescent="0.2">
      <c r="A317" s="497"/>
      <c r="B317" s="497"/>
      <c r="C317" s="497"/>
      <c r="D317" s="497"/>
      <c r="E317" s="497"/>
      <c r="F317" s="497"/>
      <c r="G317" s="497"/>
      <c r="H317" s="497"/>
      <c r="I317" s="497"/>
      <c r="J317" s="497"/>
      <c r="K317" s="497"/>
      <c r="L317" s="497"/>
    </row>
    <row r="318" spans="1:12" x14ac:dyDescent="0.2">
      <c r="A318" s="497"/>
      <c r="B318" s="497"/>
      <c r="C318" s="497"/>
      <c r="D318" s="497"/>
      <c r="E318" s="497"/>
      <c r="F318" s="497"/>
      <c r="G318" s="497"/>
      <c r="H318" s="497"/>
      <c r="I318" s="497"/>
      <c r="J318" s="497"/>
      <c r="K318" s="497"/>
      <c r="L318" s="497"/>
    </row>
    <row r="319" spans="1:12" x14ac:dyDescent="0.2">
      <c r="A319" s="497"/>
      <c r="B319" s="497"/>
      <c r="C319" s="497"/>
      <c r="D319" s="497"/>
      <c r="E319" s="497"/>
      <c r="F319" s="497"/>
      <c r="G319" s="497"/>
      <c r="H319" s="497"/>
      <c r="I319" s="497"/>
      <c r="J319" s="497"/>
      <c r="K319" s="497"/>
      <c r="L319" s="497"/>
    </row>
    <row r="320" spans="1:12" x14ac:dyDescent="0.2">
      <c r="A320" s="497"/>
      <c r="B320" s="497"/>
      <c r="C320" s="497"/>
      <c r="D320" s="497"/>
      <c r="E320" s="497"/>
      <c r="F320" s="497"/>
      <c r="G320" s="497"/>
      <c r="H320" s="497"/>
      <c r="I320" s="497"/>
      <c r="J320" s="497"/>
      <c r="K320" s="497"/>
      <c r="L320" s="497"/>
    </row>
    <row r="321" spans="1:12" x14ac:dyDescent="0.2">
      <c r="A321" s="497"/>
      <c r="B321" s="497"/>
      <c r="C321" s="497"/>
      <c r="D321" s="497"/>
      <c r="E321" s="497"/>
      <c r="F321" s="497"/>
      <c r="G321" s="497"/>
      <c r="H321" s="497"/>
      <c r="I321" s="497"/>
      <c r="J321" s="497"/>
      <c r="K321" s="497"/>
      <c r="L321" s="497"/>
    </row>
    <row r="322" spans="1:12" x14ac:dyDescent="0.2">
      <c r="A322" s="497"/>
      <c r="B322" s="497"/>
      <c r="C322" s="497"/>
      <c r="D322" s="497"/>
      <c r="E322" s="497"/>
      <c r="F322" s="497"/>
      <c r="G322" s="497"/>
      <c r="H322" s="497"/>
      <c r="I322" s="497"/>
      <c r="J322" s="497"/>
      <c r="K322" s="497"/>
      <c r="L322" s="497"/>
    </row>
    <row r="323" spans="1:12" x14ac:dyDescent="0.2">
      <c r="A323" s="497"/>
      <c r="B323" s="497"/>
      <c r="C323" s="497"/>
      <c r="D323" s="497"/>
      <c r="E323" s="497"/>
      <c r="F323" s="497"/>
      <c r="G323" s="497"/>
      <c r="H323" s="497"/>
      <c r="I323" s="497"/>
      <c r="J323" s="497"/>
      <c r="K323" s="497"/>
      <c r="L323" s="497"/>
    </row>
    <row r="324" spans="1:12" x14ac:dyDescent="0.2">
      <c r="A324" s="497"/>
      <c r="B324" s="497"/>
      <c r="C324" s="497"/>
      <c r="D324" s="497"/>
      <c r="E324" s="497"/>
      <c r="F324" s="497"/>
      <c r="G324" s="497"/>
      <c r="H324" s="497"/>
      <c r="I324" s="497"/>
      <c r="J324" s="497"/>
      <c r="K324" s="497"/>
      <c r="L324" s="497"/>
    </row>
    <row r="325" spans="1:12" x14ac:dyDescent="0.2">
      <c r="A325" s="497"/>
      <c r="B325" s="497"/>
      <c r="C325" s="497"/>
      <c r="D325" s="497"/>
      <c r="E325" s="497"/>
      <c r="F325" s="497"/>
      <c r="G325" s="497"/>
      <c r="H325" s="497"/>
      <c r="I325" s="497"/>
      <c r="J325" s="497"/>
      <c r="K325" s="497"/>
      <c r="L325" s="497"/>
    </row>
    <row r="326" spans="1:12" x14ac:dyDescent="0.2">
      <c r="A326" s="497"/>
      <c r="B326" s="497"/>
      <c r="C326" s="497"/>
      <c r="D326" s="497"/>
      <c r="E326" s="497"/>
      <c r="F326" s="497"/>
      <c r="G326" s="497"/>
      <c r="H326" s="497"/>
      <c r="I326" s="497"/>
      <c r="J326" s="497"/>
      <c r="K326" s="497"/>
      <c r="L326" s="497"/>
    </row>
    <row r="327" spans="1:12" x14ac:dyDescent="0.2">
      <c r="A327" s="497"/>
      <c r="B327" s="497"/>
      <c r="C327" s="497"/>
      <c r="D327" s="497"/>
      <c r="E327" s="497"/>
      <c r="F327" s="497"/>
      <c r="G327" s="497"/>
      <c r="H327" s="497"/>
      <c r="I327" s="497"/>
      <c r="J327" s="497"/>
      <c r="K327" s="497"/>
      <c r="L327" s="497"/>
    </row>
    <row r="328" spans="1:12" x14ac:dyDescent="0.2">
      <c r="A328" s="497"/>
      <c r="B328" s="497"/>
      <c r="C328" s="497"/>
      <c r="D328" s="497"/>
      <c r="E328" s="497"/>
      <c r="F328" s="497"/>
      <c r="G328" s="497"/>
      <c r="H328" s="497"/>
      <c r="I328" s="497"/>
      <c r="J328" s="497"/>
      <c r="K328" s="497"/>
      <c r="L328" s="497"/>
    </row>
    <row r="329" spans="1:12" x14ac:dyDescent="0.2">
      <c r="A329" s="497"/>
      <c r="B329" s="497"/>
      <c r="C329" s="497"/>
      <c r="D329" s="497"/>
      <c r="E329" s="497"/>
      <c r="F329" s="497"/>
      <c r="G329" s="497"/>
      <c r="H329" s="497"/>
      <c r="I329" s="497"/>
      <c r="J329" s="497"/>
      <c r="K329" s="497"/>
      <c r="L329" s="497"/>
    </row>
    <row r="330" spans="1:12" x14ac:dyDescent="0.2">
      <c r="A330" s="497"/>
      <c r="B330" s="497"/>
      <c r="C330" s="497"/>
      <c r="D330" s="497"/>
      <c r="E330" s="497"/>
      <c r="F330" s="497"/>
      <c r="G330" s="497"/>
      <c r="H330" s="497"/>
      <c r="I330" s="497"/>
      <c r="J330" s="497"/>
      <c r="K330" s="497"/>
      <c r="L330" s="497"/>
    </row>
    <row r="331" spans="1:12" x14ac:dyDescent="0.2">
      <c r="A331" s="497"/>
      <c r="B331" s="497"/>
      <c r="C331" s="497"/>
      <c r="D331" s="497"/>
      <c r="E331" s="497"/>
      <c r="F331" s="497"/>
      <c r="G331" s="497"/>
      <c r="H331" s="497"/>
      <c r="I331" s="497"/>
      <c r="J331" s="497"/>
      <c r="K331" s="497"/>
      <c r="L331" s="497"/>
    </row>
    <row r="332" spans="1:12" x14ac:dyDescent="0.2">
      <c r="A332" s="497"/>
      <c r="B332" s="497"/>
      <c r="C332" s="497"/>
      <c r="D332" s="497"/>
      <c r="E332" s="497"/>
      <c r="F332" s="497"/>
      <c r="G332" s="497"/>
      <c r="H332" s="497"/>
      <c r="I332" s="497"/>
      <c r="J332" s="497"/>
      <c r="K332" s="497"/>
      <c r="L332" s="497"/>
    </row>
    <row r="333" spans="1:12" x14ac:dyDescent="0.2">
      <c r="A333" s="497"/>
      <c r="B333" s="497"/>
      <c r="C333" s="497"/>
      <c r="D333" s="497"/>
      <c r="E333" s="497"/>
      <c r="F333" s="497"/>
      <c r="G333" s="497"/>
      <c r="H333" s="497"/>
      <c r="I333" s="497"/>
      <c r="J333" s="497"/>
      <c r="K333" s="497"/>
      <c r="L333" s="497"/>
    </row>
    <row r="334" spans="1:12" x14ac:dyDescent="0.2">
      <c r="A334" s="497"/>
      <c r="B334" s="497"/>
      <c r="C334" s="497"/>
      <c r="D334" s="497"/>
      <c r="E334" s="497"/>
      <c r="F334" s="497"/>
      <c r="G334" s="497"/>
      <c r="H334" s="497"/>
      <c r="I334" s="497"/>
      <c r="J334" s="497"/>
      <c r="K334" s="497"/>
      <c r="L334" s="497"/>
    </row>
    <row r="335" spans="1:12" x14ac:dyDescent="0.2">
      <c r="A335" s="497"/>
      <c r="B335" s="497"/>
      <c r="C335" s="497"/>
      <c r="D335" s="497"/>
      <c r="E335" s="497"/>
      <c r="F335" s="497"/>
      <c r="G335" s="497"/>
      <c r="H335" s="497"/>
      <c r="I335" s="497"/>
      <c r="J335" s="497"/>
      <c r="K335" s="497"/>
      <c r="L335" s="497"/>
    </row>
    <row r="336" spans="1:12" x14ac:dyDescent="0.2">
      <c r="A336" s="497"/>
      <c r="B336" s="497"/>
      <c r="C336" s="497"/>
      <c r="D336" s="497"/>
      <c r="E336" s="497"/>
      <c r="F336" s="497"/>
      <c r="G336" s="497"/>
      <c r="H336" s="497"/>
      <c r="I336" s="497"/>
      <c r="J336" s="497"/>
      <c r="K336" s="497"/>
      <c r="L336" s="497"/>
    </row>
    <row r="337" spans="1:12" x14ac:dyDescent="0.2">
      <c r="A337" s="497"/>
      <c r="B337" s="497"/>
      <c r="C337" s="497"/>
      <c r="D337" s="497"/>
      <c r="E337" s="497"/>
      <c r="F337" s="497"/>
      <c r="G337" s="497"/>
      <c r="H337" s="497"/>
      <c r="I337" s="497"/>
      <c r="J337" s="497"/>
      <c r="K337" s="497"/>
      <c r="L337" s="497"/>
    </row>
    <row r="338" spans="1:12" x14ac:dyDescent="0.2">
      <c r="A338" s="497"/>
      <c r="B338" s="497"/>
      <c r="C338" s="497"/>
      <c r="D338" s="497"/>
      <c r="E338" s="497"/>
      <c r="F338" s="497"/>
      <c r="G338" s="497"/>
      <c r="H338" s="497"/>
      <c r="I338" s="497"/>
      <c r="J338" s="497"/>
      <c r="K338" s="497"/>
      <c r="L338" s="497"/>
    </row>
    <row r="339" spans="1:12" x14ac:dyDescent="0.2">
      <c r="A339" s="497"/>
      <c r="B339" s="497"/>
      <c r="C339" s="497"/>
      <c r="D339" s="497"/>
      <c r="E339" s="497"/>
      <c r="F339" s="497"/>
      <c r="G339" s="497"/>
      <c r="H339" s="497"/>
      <c r="I339" s="497"/>
      <c r="J339" s="497"/>
      <c r="K339" s="497"/>
      <c r="L339" s="497"/>
    </row>
    <row r="340" spans="1:12" x14ac:dyDescent="0.2">
      <c r="A340" s="497"/>
      <c r="B340" s="497"/>
      <c r="C340" s="497"/>
      <c r="D340" s="497"/>
      <c r="E340" s="497"/>
      <c r="F340" s="497"/>
      <c r="G340" s="497"/>
      <c r="H340" s="497"/>
      <c r="I340" s="497"/>
      <c r="J340" s="497"/>
      <c r="K340" s="497"/>
      <c r="L340" s="497"/>
    </row>
    <row r="341" spans="1:12" x14ac:dyDescent="0.2">
      <c r="A341" s="497"/>
      <c r="B341" s="497"/>
      <c r="C341" s="497"/>
      <c r="D341" s="497"/>
      <c r="E341" s="497"/>
      <c r="F341" s="497"/>
      <c r="G341" s="497"/>
      <c r="H341" s="497"/>
      <c r="I341" s="497"/>
      <c r="J341" s="497"/>
      <c r="K341" s="497"/>
      <c r="L341" s="497"/>
    </row>
    <row r="342" spans="1:12" x14ac:dyDescent="0.2">
      <c r="A342" s="497"/>
      <c r="B342" s="497"/>
      <c r="C342" s="497"/>
      <c r="D342" s="497"/>
      <c r="E342" s="497"/>
      <c r="F342" s="497"/>
      <c r="G342" s="497"/>
      <c r="H342" s="497"/>
      <c r="I342" s="497"/>
      <c r="J342" s="497"/>
      <c r="K342" s="497"/>
      <c r="L342" s="497"/>
    </row>
    <row r="343" spans="1:12" x14ac:dyDescent="0.2">
      <c r="A343" s="497"/>
      <c r="B343" s="497"/>
      <c r="C343" s="497"/>
      <c r="D343" s="497"/>
      <c r="E343" s="497"/>
      <c r="F343" s="497"/>
      <c r="G343" s="497"/>
      <c r="H343" s="497"/>
      <c r="I343" s="497"/>
      <c r="J343" s="497"/>
      <c r="K343" s="497"/>
      <c r="L343" s="497"/>
    </row>
    <row r="344" spans="1:12" x14ac:dyDescent="0.2">
      <c r="A344" s="497"/>
      <c r="B344" s="497"/>
      <c r="C344" s="497"/>
      <c r="D344" s="497"/>
      <c r="E344" s="497"/>
      <c r="F344" s="497"/>
      <c r="G344" s="497"/>
      <c r="H344" s="497"/>
      <c r="I344" s="497"/>
      <c r="J344" s="497"/>
      <c r="K344" s="497"/>
      <c r="L344" s="497"/>
    </row>
    <row r="345" spans="1:12" x14ac:dyDescent="0.2">
      <c r="A345" s="497"/>
      <c r="B345" s="497"/>
      <c r="C345" s="497"/>
      <c r="D345" s="497"/>
      <c r="E345" s="497"/>
      <c r="F345" s="497"/>
      <c r="G345" s="497"/>
      <c r="H345" s="497"/>
      <c r="I345" s="497"/>
      <c r="J345" s="497"/>
      <c r="K345" s="497"/>
      <c r="L345" s="497"/>
    </row>
    <row r="346" spans="1:12" x14ac:dyDescent="0.2">
      <c r="A346" s="497"/>
      <c r="B346" s="497"/>
      <c r="C346" s="497"/>
      <c r="D346" s="497"/>
      <c r="E346" s="497"/>
      <c r="F346" s="497"/>
      <c r="G346" s="497"/>
      <c r="H346" s="497"/>
      <c r="I346" s="497"/>
      <c r="J346" s="497"/>
      <c r="K346" s="497"/>
      <c r="L346" s="497"/>
    </row>
    <row r="347" spans="1:12" x14ac:dyDescent="0.2">
      <c r="A347" s="497"/>
      <c r="B347" s="497"/>
      <c r="C347" s="497"/>
      <c r="D347" s="497"/>
      <c r="E347" s="497"/>
      <c r="F347" s="497"/>
      <c r="G347" s="497"/>
      <c r="H347" s="497"/>
      <c r="I347" s="497"/>
      <c r="J347" s="497"/>
      <c r="K347" s="497"/>
      <c r="L347" s="497"/>
    </row>
    <row r="348" spans="1:12" x14ac:dyDescent="0.2">
      <c r="A348" s="497"/>
      <c r="B348" s="497"/>
      <c r="C348" s="497"/>
      <c r="D348" s="497"/>
      <c r="E348" s="497"/>
      <c r="F348" s="497"/>
      <c r="G348" s="497"/>
      <c r="H348" s="497"/>
      <c r="I348" s="497"/>
      <c r="J348" s="497"/>
      <c r="K348" s="497"/>
      <c r="L348" s="497"/>
    </row>
    <row r="349" spans="1:12" x14ac:dyDescent="0.2">
      <c r="A349" s="497"/>
      <c r="B349" s="497"/>
      <c r="C349" s="497"/>
      <c r="D349" s="497"/>
      <c r="E349" s="497"/>
      <c r="F349" s="497"/>
      <c r="G349" s="497"/>
      <c r="H349" s="497"/>
      <c r="I349" s="497"/>
      <c r="J349" s="497"/>
      <c r="K349" s="497"/>
      <c r="L349" s="497"/>
    </row>
    <row r="350" spans="1:12" x14ac:dyDescent="0.2">
      <c r="A350" s="497"/>
      <c r="B350" s="497"/>
      <c r="C350" s="497"/>
      <c r="D350" s="497"/>
      <c r="E350" s="497"/>
      <c r="F350" s="497"/>
      <c r="G350" s="497"/>
      <c r="H350" s="497"/>
      <c r="I350" s="497"/>
      <c r="J350" s="497"/>
      <c r="K350" s="497"/>
      <c r="L350" s="497"/>
    </row>
    <row r="351" spans="1:12" x14ac:dyDescent="0.2">
      <c r="A351" s="497"/>
      <c r="B351" s="497"/>
      <c r="C351" s="497"/>
      <c r="D351" s="497"/>
      <c r="E351" s="497"/>
      <c r="F351" s="497"/>
      <c r="G351" s="497"/>
      <c r="H351" s="497"/>
      <c r="I351" s="497"/>
      <c r="J351" s="497"/>
      <c r="K351" s="497"/>
      <c r="L351" s="497"/>
    </row>
    <row r="352" spans="1:12" x14ac:dyDescent="0.2">
      <c r="A352" s="497"/>
      <c r="B352" s="497"/>
      <c r="C352" s="497"/>
      <c r="D352" s="497"/>
      <c r="E352" s="497"/>
      <c r="F352" s="497"/>
      <c r="G352" s="497"/>
      <c r="H352" s="497"/>
      <c r="I352" s="497"/>
      <c r="J352" s="497"/>
      <c r="K352" s="497"/>
      <c r="L352" s="497"/>
    </row>
    <row r="353" spans="1:12" x14ac:dyDescent="0.2">
      <c r="A353" s="497"/>
      <c r="B353" s="497"/>
      <c r="C353" s="497"/>
      <c r="D353" s="497"/>
      <c r="E353" s="497"/>
      <c r="F353" s="497"/>
      <c r="G353" s="497"/>
      <c r="H353" s="497"/>
      <c r="I353" s="497"/>
      <c r="J353" s="497"/>
      <c r="K353" s="497"/>
      <c r="L353" s="497"/>
    </row>
    <row r="354" spans="1:12" x14ac:dyDescent="0.2">
      <c r="A354" s="497"/>
      <c r="B354" s="497"/>
      <c r="C354" s="497"/>
      <c r="D354" s="497"/>
      <c r="E354" s="497"/>
      <c r="F354" s="497"/>
      <c r="G354" s="497"/>
      <c r="H354" s="497"/>
      <c r="I354" s="497"/>
      <c r="J354" s="497"/>
      <c r="K354" s="497"/>
      <c r="L354" s="497"/>
    </row>
  </sheetData>
  <sheetProtection sheet="1" objects="1" scenarios="1"/>
  <mergeCells count="55">
    <mergeCell ref="C148:D148"/>
    <mergeCell ref="J148:K148"/>
    <mergeCell ref="H134:I134"/>
    <mergeCell ref="C136:D136"/>
    <mergeCell ref="C137:D137"/>
    <mergeCell ref="B144:K144"/>
    <mergeCell ref="C147:D147"/>
    <mergeCell ref="J147:K147"/>
    <mergeCell ref="B110:K110"/>
    <mergeCell ref="C114:D114"/>
    <mergeCell ref="C117:D117"/>
    <mergeCell ref="B125:K125"/>
    <mergeCell ref="B126:K126"/>
    <mergeCell ref="C97:D97"/>
    <mergeCell ref="B105:K105"/>
    <mergeCell ref="B106:K106"/>
    <mergeCell ref="B108:K108"/>
    <mergeCell ref="C100:D100"/>
    <mergeCell ref="C103:D103"/>
    <mergeCell ref="C94:D94"/>
    <mergeCell ref="C83:D83"/>
    <mergeCell ref="B85:K85"/>
    <mergeCell ref="B86:K86"/>
    <mergeCell ref="B88:K88"/>
    <mergeCell ref="B58:K58"/>
    <mergeCell ref="C74:D74"/>
    <mergeCell ref="C77:D77"/>
    <mergeCell ref="C80:D80"/>
    <mergeCell ref="B90:K90"/>
    <mergeCell ref="B130:K130"/>
    <mergeCell ref="C133:D133"/>
    <mergeCell ref="H133:I133"/>
    <mergeCell ref="C134:D134"/>
    <mergeCell ref="C120:D120"/>
    <mergeCell ref="C123:D123"/>
    <mergeCell ref="B128:K128"/>
    <mergeCell ref="C25:D25"/>
    <mergeCell ref="F23:G23"/>
    <mergeCell ref="B57:K57"/>
    <mergeCell ref="B35:K35"/>
    <mergeCell ref="I51:K51"/>
    <mergeCell ref="B52:K52"/>
    <mergeCell ref="B53:K53"/>
    <mergeCell ref="B55:K55"/>
    <mergeCell ref="B30:K30"/>
    <mergeCell ref="B31:K31"/>
    <mergeCell ref="B33:K33"/>
    <mergeCell ref="C41:D41"/>
    <mergeCell ref="B48:C48"/>
    <mergeCell ref="G50:H50"/>
    <mergeCell ref="B6:K6"/>
    <mergeCell ref="B7:K7"/>
    <mergeCell ref="B8:K8"/>
    <mergeCell ref="B10:K10"/>
    <mergeCell ref="B12:K12"/>
  </mergeCells>
  <pageMargins left="0.7" right="0.7" top="0.75" bottom="0.75" header="0.3" footer="0.3"/>
  <pageSetup scale="69" orientation="portrait" blackAndWhite="1" r:id="rId1"/>
  <rowBreaks count="2" manualBreakCount="2">
    <brk id="32" min="1" max="10" man="1"/>
    <brk id="89" min="1"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20" sqref="C20"/>
    </sheetView>
  </sheetViews>
  <sheetFormatPr defaultRowHeight="15" x14ac:dyDescent="0.2"/>
  <cols>
    <col min="1" max="1" width="71.21875" customWidth="1"/>
  </cols>
  <sheetData>
    <row r="1" spans="1:1" ht="16.5" x14ac:dyDescent="0.25">
      <c r="A1" s="526" t="s">
        <v>702</v>
      </c>
    </row>
    <row r="3" spans="1:1" ht="31.5" x14ac:dyDescent="0.25">
      <c r="A3" s="2" t="s">
        <v>703</v>
      </c>
    </row>
    <row r="4" spans="1:1" ht="15.75" x14ac:dyDescent="0.25">
      <c r="A4" s="534" t="s">
        <v>704</v>
      </c>
    </row>
    <row r="7" spans="1:1" ht="31.5" x14ac:dyDescent="0.25">
      <c r="A7" s="2" t="s">
        <v>705</v>
      </c>
    </row>
    <row r="8" spans="1:1" ht="15.75" x14ac:dyDescent="0.25">
      <c r="A8" s="534" t="s">
        <v>706</v>
      </c>
    </row>
    <row r="11" spans="1:1" ht="15.75" x14ac:dyDescent="0.25">
      <c r="A11" s="1" t="s">
        <v>707</v>
      </c>
    </row>
    <row r="12" spans="1:1" ht="15.75" x14ac:dyDescent="0.25">
      <c r="A12" s="534" t="s">
        <v>708</v>
      </c>
    </row>
    <row r="15" spans="1:1" ht="15.75" x14ac:dyDescent="0.25">
      <c r="A15" s="1" t="s">
        <v>709</v>
      </c>
    </row>
    <row r="16" spans="1:1" ht="15.75" x14ac:dyDescent="0.25">
      <c r="A16" s="534" t="s">
        <v>710</v>
      </c>
    </row>
    <row r="19" spans="1:1" ht="15.75" x14ac:dyDescent="0.25">
      <c r="A19" s="1" t="s">
        <v>711</v>
      </c>
    </row>
    <row r="20" spans="1:1" ht="15.75" x14ac:dyDescent="0.25">
      <c r="A20" s="534" t="s">
        <v>712</v>
      </c>
    </row>
    <row r="23" spans="1:1" ht="15.75" x14ac:dyDescent="0.25">
      <c r="A23" s="1" t="s">
        <v>713</v>
      </c>
    </row>
    <row r="24" spans="1:1" ht="15.75" x14ac:dyDescent="0.25">
      <c r="A24" s="534" t="s">
        <v>714</v>
      </c>
    </row>
    <row r="27" spans="1:1" ht="15.75" x14ac:dyDescent="0.25">
      <c r="A27" s="1" t="s">
        <v>715</v>
      </c>
    </row>
    <row r="28" spans="1:1" ht="15.75" x14ac:dyDescent="0.25">
      <c r="A28" s="534" t="s">
        <v>716</v>
      </c>
    </row>
    <row r="31" spans="1:1" ht="15.75" x14ac:dyDescent="0.25">
      <c r="A31" s="1" t="s">
        <v>717</v>
      </c>
    </row>
    <row r="32" spans="1:1" ht="15.75" x14ac:dyDescent="0.25">
      <c r="A32" s="534" t="s">
        <v>718</v>
      </c>
    </row>
    <row r="35" spans="1:1" ht="15.75" x14ac:dyDescent="0.25">
      <c r="A35" s="1" t="s">
        <v>719</v>
      </c>
    </row>
    <row r="36" spans="1:1" ht="15.75" x14ac:dyDescent="0.25">
      <c r="A36" s="534" t="s">
        <v>720</v>
      </c>
    </row>
    <row r="39" spans="1:1" ht="15.75" x14ac:dyDescent="0.25">
      <c r="A39" s="1" t="s">
        <v>721</v>
      </c>
    </row>
    <row r="40" spans="1:1" ht="15.75" x14ac:dyDescent="0.25">
      <c r="A40" s="534" t="s">
        <v>722</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7"/>
  <sheetViews>
    <sheetView workbookViewId="0">
      <selection activeCell="C14" sqref="C14"/>
    </sheetView>
  </sheetViews>
  <sheetFormatPr defaultRowHeight="15.75" x14ac:dyDescent="0.25"/>
  <cols>
    <col min="1" max="1" width="83.44140625" style="1" customWidth="1"/>
    <col min="2" max="16384" width="8.88671875" style="1"/>
  </cols>
  <sheetData>
    <row r="1" spans="1:1" x14ac:dyDescent="0.25">
      <c r="A1" s="573" t="s">
        <v>1002</v>
      </c>
    </row>
    <row r="2" spans="1:1" x14ac:dyDescent="0.25">
      <c r="A2" s="69" t="s">
        <v>1003</v>
      </c>
    </row>
    <row r="4" spans="1:1" x14ac:dyDescent="0.25">
      <c r="A4" s="573" t="s">
        <v>1000</v>
      </c>
    </row>
    <row r="5" spans="1:1" x14ac:dyDescent="0.25">
      <c r="A5" s="808" t="s">
        <v>1001</v>
      </c>
    </row>
    <row r="7" spans="1:1" x14ac:dyDescent="0.25">
      <c r="A7" s="573" t="s">
        <v>997</v>
      </c>
    </row>
    <row r="8" spans="1:1" x14ac:dyDescent="0.25">
      <c r="A8" s="1" t="s">
        <v>998</v>
      </c>
    </row>
    <row r="10" spans="1:1" x14ac:dyDescent="0.25">
      <c r="A10" s="573" t="s">
        <v>923</v>
      </c>
    </row>
    <row r="11" spans="1:1" x14ac:dyDescent="0.25">
      <c r="A11" s="796" t="s">
        <v>924</v>
      </c>
    </row>
    <row r="12" spans="1:1" x14ac:dyDescent="0.25">
      <c r="A12" s="69" t="s">
        <v>925</v>
      </c>
    </row>
    <row r="13" spans="1:1" x14ac:dyDescent="0.25">
      <c r="A13" s="69" t="s">
        <v>926</v>
      </c>
    </row>
    <row r="14" spans="1:1" x14ac:dyDescent="0.25">
      <c r="A14" s="69" t="s">
        <v>927</v>
      </c>
    </row>
    <row r="15" spans="1:1" x14ac:dyDescent="0.25">
      <c r="A15" s="69" t="s">
        <v>928</v>
      </c>
    </row>
    <row r="16" spans="1:1" x14ac:dyDescent="0.25">
      <c r="A16" s="69" t="s">
        <v>929</v>
      </c>
    </row>
    <row r="17" spans="1:1" x14ac:dyDescent="0.25">
      <c r="A17" s="69" t="s">
        <v>930</v>
      </c>
    </row>
    <row r="18" spans="1:1" x14ac:dyDescent="0.25">
      <c r="A18" s="69" t="s">
        <v>931</v>
      </c>
    </row>
    <row r="19" spans="1:1" x14ac:dyDescent="0.25">
      <c r="A19" s="69" t="s">
        <v>932</v>
      </c>
    </row>
    <row r="20" spans="1:1" x14ac:dyDescent="0.25">
      <c r="A20" s="69" t="s">
        <v>933</v>
      </c>
    </row>
    <row r="21" spans="1:1" x14ac:dyDescent="0.25">
      <c r="A21" s="69" t="s">
        <v>934</v>
      </c>
    </row>
    <row r="22" spans="1:1" x14ac:dyDescent="0.25">
      <c r="A22" s="69" t="s">
        <v>935</v>
      </c>
    </row>
    <row r="23" spans="1:1" x14ac:dyDescent="0.25">
      <c r="A23" s="69" t="s">
        <v>936</v>
      </c>
    </row>
    <row r="24" spans="1:1" x14ac:dyDescent="0.25">
      <c r="A24" s="69" t="s">
        <v>937</v>
      </c>
    </row>
    <row r="25" spans="1:1" x14ac:dyDescent="0.25">
      <c r="A25" s="69" t="s">
        <v>938</v>
      </c>
    </row>
    <row r="26" spans="1:1" x14ac:dyDescent="0.25">
      <c r="A26" s="69" t="s">
        <v>939</v>
      </c>
    </row>
    <row r="27" spans="1:1" ht="47.25" x14ac:dyDescent="0.25">
      <c r="A27" s="72" t="s">
        <v>940</v>
      </c>
    </row>
    <row r="28" spans="1:1" x14ac:dyDescent="0.25">
      <c r="A28" s="71" t="s">
        <v>941</v>
      </c>
    </row>
    <row r="29" spans="1:1" ht="31.5" x14ac:dyDescent="0.25">
      <c r="A29" s="72" t="s">
        <v>942</v>
      </c>
    </row>
    <row r="30" spans="1:1" x14ac:dyDescent="0.25">
      <c r="A30" s="69" t="s">
        <v>943</v>
      </c>
    </row>
    <row r="31" spans="1:1" x14ac:dyDescent="0.25">
      <c r="A31" s="69" t="s">
        <v>944</v>
      </c>
    </row>
    <row r="32" spans="1:1" x14ac:dyDescent="0.25">
      <c r="A32" s="69" t="s">
        <v>945</v>
      </c>
    </row>
    <row r="33" spans="1:1" x14ac:dyDescent="0.25">
      <c r="A33" s="69" t="s">
        <v>946</v>
      </c>
    </row>
    <row r="34" spans="1:1" x14ac:dyDescent="0.25">
      <c r="A34" s="69" t="s">
        <v>947</v>
      </c>
    </row>
    <row r="35" spans="1:1" x14ac:dyDescent="0.25">
      <c r="A35" s="69" t="s">
        <v>948</v>
      </c>
    </row>
    <row r="36" spans="1:1" x14ac:dyDescent="0.25">
      <c r="A36" s="69" t="s">
        <v>949</v>
      </c>
    </row>
    <row r="37" spans="1:1" x14ac:dyDescent="0.25">
      <c r="A37" s="69" t="s">
        <v>950</v>
      </c>
    </row>
    <row r="38" spans="1:1" x14ac:dyDescent="0.25">
      <c r="A38" s="69" t="s">
        <v>951</v>
      </c>
    </row>
    <row r="39" spans="1:1" x14ac:dyDescent="0.25">
      <c r="A39" s="69" t="s">
        <v>952</v>
      </c>
    </row>
    <row r="40" spans="1:1" x14ac:dyDescent="0.25">
      <c r="A40" s="69" t="s">
        <v>953</v>
      </c>
    </row>
    <row r="41" spans="1:1" x14ac:dyDescent="0.25">
      <c r="A41" s="69" t="s">
        <v>954</v>
      </c>
    </row>
    <row r="42" spans="1:1" x14ac:dyDescent="0.25">
      <c r="A42" s="69" t="s">
        <v>955</v>
      </c>
    </row>
    <row r="43" spans="1:1" x14ac:dyDescent="0.25">
      <c r="A43" s="69" t="s">
        <v>956</v>
      </c>
    </row>
    <row r="44" spans="1:1" x14ac:dyDescent="0.25">
      <c r="A44" s="69" t="s">
        <v>957</v>
      </c>
    </row>
    <row r="45" spans="1:1" x14ac:dyDescent="0.25">
      <c r="A45" s="69" t="s">
        <v>958</v>
      </c>
    </row>
    <row r="47" spans="1:1" x14ac:dyDescent="0.25">
      <c r="A47" s="573" t="s">
        <v>831</v>
      </c>
    </row>
    <row r="48" spans="1:1" x14ac:dyDescent="0.25">
      <c r="A48" s="574" t="s">
        <v>832</v>
      </c>
    </row>
    <row r="50" spans="1:1" x14ac:dyDescent="0.25">
      <c r="A50" s="573" t="s">
        <v>829</v>
      </c>
    </row>
    <row r="51" spans="1:1" x14ac:dyDescent="0.25">
      <c r="A51" s="1" t="s">
        <v>830</v>
      </c>
    </row>
    <row r="53" spans="1:1" x14ac:dyDescent="0.25">
      <c r="A53" s="573" t="s">
        <v>787</v>
      </c>
    </row>
    <row r="54" spans="1:1" x14ac:dyDescent="0.25">
      <c r="A54" s="574" t="s">
        <v>784</v>
      </c>
    </row>
    <row r="55" spans="1:1" x14ac:dyDescent="0.25">
      <c r="A55" s="574" t="s">
        <v>785</v>
      </c>
    </row>
    <row r="56" spans="1:1" ht="31.5" x14ac:dyDescent="0.25">
      <c r="A56" s="568" t="s">
        <v>786</v>
      </c>
    </row>
    <row r="57" spans="1:1" x14ac:dyDescent="0.25">
      <c r="A57" s="574" t="s">
        <v>789</v>
      </c>
    </row>
    <row r="58" spans="1:1" x14ac:dyDescent="0.25">
      <c r="A58" s="574" t="s">
        <v>790</v>
      </c>
    </row>
    <row r="59" spans="1:1" x14ac:dyDescent="0.25">
      <c r="A59" s="574" t="s">
        <v>791</v>
      </c>
    </row>
    <row r="60" spans="1:1" x14ac:dyDescent="0.25">
      <c r="A60" s="574" t="s">
        <v>792</v>
      </c>
    </row>
    <row r="61" spans="1:1" x14ac:dyDescent="0.25">
      <c r="A61" s="574" t="s">
        <v>793</v>
      </c>
    </row>
    <row r="62" spans="1:1" x14ac:dyDescent="0.25">
      <c r="A62" s="574" t="s">
        <v>794</v>
      </c>
    </row>
    <row r="63" spans="1:1" x14ac:dyDescent="0.25">
      <c r="A63" s="574" t="s">
        <v>795</v>
      </c>
    </row>
    <row r="64" spans="1:1" x14ac:dyDescent="0.25">
      <c r="A64" s="574" t="s">
        <v>796</v>
      </c>
    </row>
    <row r="65" spans="1:1" x14ac:dyDescent="0.25">
      <c r="A65" s="574" t="s">
        <v>797</v>
      </c>
    </row>
    <row r="66" spans="1:1" x14ac:dyDescent="0.25">
      <c r="A66" s="574" t="s">
        <v>798</v>
      </c>
    </row>
    <row r="67" spans="1:1" x14ac:dyDescent="0.25">
      <c r="A67" s="574" t="s">
        <v>799</v>
      </c>
    </row>
    <row r="68" spans="1:1" x14ac:dyDescent="0.25">
      <c r="A68" s="574" t="s">
        <v>800</v>
      </c>
    </row>
    <row r="69" spans="1:1" x14ac:dyDescent="0.25">
      <c r="A69" s="574" t="s">
        <v>801</v>
      </c>
    </row>
    <row r="70" spans="1:1" x14ac:dyDescent="0.25">
      <c r="A70" s="574" t="s">
        <v>802</v>
      </c>
    </row>
    <row r="71" spans="1:1" x14ac:dyDescent="0.25">
      <c r="A71" s="574" t="s">
        <v>803</v>
      </c>
    </row>
    <row r="72" spans="1:1" x14ac:dyDescent="0.25">
      <c r="A72" s="574" t="s">
        <v>804</v>
      </c>
    </row>
    <row r="73" spans="1:1" x14ac:dyDescent="0.25">
      <c r="A73" s="574" t="s">
        <v>805</v>
      </c>
    </row>
    <row r="74" spans="1:1" x14ac:dyDescent="0.25">
      <c r="A74" s="574" t="s">
        <v>806</v>
      </c>
    </row>
    <row r="75" spans="1:1" x14ac:dyDescent="0.25">
      <c r="A75" s="574" t="s">
        <v>807</v>
      </c>
    </row>
    <row r="76" spans="1:1" x14ac:dyDescent="0.25">
      <c r="A76" s="574" t="s">
        <v>808</v>
      </c>
    </row>
    <row r="77" spans="1:1" x14ac:dyDescent="0.25">
      <c r="A77" s="574" t="s">
        <v>809</v>
      </c>
    </row>
    <row r="78" spans="1:1" x14ac:dyDescent="0.25">
      <c r="A78" s="574" t="s">
        <v>810</v>
      </c>
    </row>
    <row r="79" spans="1:1" x14ac:dyDescent="0.25">
      <c r="A79" s="574" t="s">
        <v>811</v>
      </c>
    </row>
    <row r="80" spans="1:1" x14ac:dyDescent="0.25">
      <c r="A80" s="574" t="s">
        <v>812</v>
      </c>
    </row>
    <row r="81" spans="1:1" x14ac:dyDescent="0.25">
      <c r="A81" s="574" t="s">
        <v>813</v>
      </c>
    </row>
    <row r="82" spans="1:1" x14ac:dyDescent="0.25">
      <c r="A82" s="574" t="s">
        <v>814</v>
      </c>
    </row>
    <row r="83" spans="1:1" x14ac:dyDescent="0.25">
      <c r="A83" s="574" t="s">
        <v>815</v>
      </c>
    </row>
    <row r="84" spans="1:1" x14ac:dyDescent="0.25">
      <c r="A84" s="574" t="s">
        <v>816</v>
      </c>
    </row>
    <row r="85" spans="1:1" x14ac:dyDescent="0.25">
      <c r="A85" s="574" t="s">
        <v>817</v>
      </c>
    </row>
    <row r="86" spans="1:1" x14ac:dyDescent="0.25">
      <c r="A86" s="575" t="s">
        <v>818</v>
      </c>
    </row>
    <row r="87" spans="1:1" x14ac:dyDescent="0.25">
      <c r="A87" s="575" t="s">
        <v>819</v>
      </c>
    </row>
    <row r="89" spans="1:1" x14ac:dyDescent="0.25">
      <c r="A89" s="436" t="s">
        <v>680</v>
      </c>
    </row>
    <row r="90" spans="1:1" x14ac:dyDescent="0.25">
      <c r="A90" s="1" t="s">
        <v>681</v>
      </c>
    </row>
    <row r="91" spans="1:1" x14ac:dyDescent="0.25">
      <c r="A91" s="1" t="s">
        <v>682</v>
      </c>
    </row>
    <row r="93" spans="1:1" x14ac:dyDescent="0.25">
      <c r="A93" s="436" t="s">
        <v>675</v>
      </c>
    </row>
    <row r="94" spans="1:1" x14ac:dyDescent="0.25">
      <c r="A94" s="69" t="s">
        <v>676</v>
      </c>
    </row>
    <row r="95" spans="1:1" x14ac:dyDescent="0.25">
      <c r="A95" s="69" t="s">
        <v>677</v>
      </c>
    </row>
    <row r="96" spans="1:1" x14ac:dyDescent="0.25">
      <c r="A96" s="69" t="s">
        <v>678</v>
      </c>
    </row>
    <row r="98" spans="1:1" x14ac:dyDescent="0.25">
      <c r="A98" s="436" t="s">
        <v>664</v>
      </c>
    </row>
    <row r="99" spans="1:1" x14ac:dyDescent="0.25">
      <c r="A99" s="69" t="s">
        <v>674</v>
      </c>
    </row>
    <row r="101" spans="1:1" x14ac:dyDescent="0.25">
      <c r="A101" s="436" t="s">
        <v>647</v>
      </c>
    </row>
    <row r="102" spans="1:1" x14ac:dyDescent="0.25">
      <c r="A102" s="435" t="s">
        <v>648</v>
      </c>
    </row>
    <row r="103" spans="1:1" x14ac:dyDescent="0.25">
      <c r="A103" s="435" t="s">
        <v>649</v>
      </c>
    </row>
    <row r="104" spans="1:1" x14ac:dyDescent="0.25">
      <c r="A104" s="435" t="s">
        <v>650</v>
      </c>
    </row>
    <row r="105" spans="1:1" x14ac:dyDescent="0.25">
      <c r="A105" s="69" t="s">
        <v>662</v>
      </c>
    </row>
    <row r="107" spans="1:1" x14ac:dyDescent="0.25">
      <c r="A107" s="65" t="s">
        <v>420</v>
      </c>
    </row>
    <row r="108" spans="1:1" x14ac:dyDescent="0.25">
      <c r="A108" s="416" t="s">
        <v>421</v>
      </c>
    </row>
    <row r="109" spans="1:1" ht="21.75" customHeight="1" x14ac:dyDescent="0.25">
      <c r="A109" s="414" t="s">
        <v>422</v>
      </c>
    </row>
    <row r="110" spans="1:1" x14ac:dyDescent="0.25">
      <c r="A110" s="414" t="s">
        <v>423</v>
      </c>
    </row>
    <row r="111" spans="1:1" ht="31.5" x14ac:dyDescent="0.25">
      <c r="A111" s="415" t="s">
        <v>424</v>
      </c>
    </row>
    <row r="112" spans="1:1" x14ac:dyDescent="0.25">
      <c r="A112" s="414" t="s">
        <v>425</v>
      </c>
    </row>
    <row r="113" spans="1:1" x14ac:dyDescent="0.25">
      <c r="A113" s="414" t="s">
        <v>426</v>
      </c>
    </row>
    <row r="114" spans="1:1" x14ac:dyDescent="0.25">
      <c r="A114" s="414" t="s">
        <v>427</v>
      </c>
    </row>
    <row r="115" spans="1:1" x14ac:dyDescent="0.25">
      <c r="A115" s="414" t="s">
        <v>428</v>
      </c>
    </row>
    <row r="116" spans="1:1" x14ac:dyDescent="0.25">
      <c r="A116" s="417" t="s">
        <v>429</v>
      </c>
    </row>
    <row r="117" spans="1:1" x14ac:dyDescent="0.25">
      <c r="A117" s="418" t="s">
        <v>430</v>
      </c>
    </row>
    <row r="119" spans="1:1" x14ac:dyDescent="0.25">
      <c r="A119" s="65" t="s">
        <v>367</v>
      </c>
    </row>
    <row r="120" spans="1:1" ht="31.5" x14ac:dyDescent="0.25">
      <c r="A120" s="2" t="s">
        <v>368</v>
      </c>
    </row>
    <row r="122" spans="1:1" x14ac:dyDescent="0.25">
      <c r="A122" s="65" t="s">
        <v>364</v>
      </c>
    </row>
    <row r="123" spans="1:1" x14ac:dyDescent="0.25">
      <c r="A123" s="1" t="s">
        <v>365</v>
      </c>
    </row>
    <row r="124" spans="1:1" x14ac:dyDescent="0.25">
      <c r="A124" s="1" t="s">
        <v>366</v>
      </c>
    </row>
    <row r="126" spans="1:1" x14ac:dyDescent="0.25">
      <c r="A126" s="65" t="s">
        <v>256</v>
      </c>
    </row>
    <row r="127" spans="1:1" x14ac:dyDescent="0.25">
      <c r="A127" s="1" t="s">
        <v>238</v>
      </c>
    </row>
    <row r="128" spans="1:1" x14ac:dyDescent="0.25">
      <c r="A128" s="1" t="s">
        <v>239</v>
      </c>
    </row>
    <row r="129" spans="1:1" x14ac:dyDescent="0.25">
      <c r="A129" s="1" t="s">
        <v>240</v>
      </c>
    </row>
    <row r="130" spans="1:1" x14ac:dyDescent="0.25">
      <c r="A130" s="1" t="s">
        <v>241</v>
      </c>
    </row>
    <row r="131" spans="1:1" x14ac:dyDescent="0.25">
      <c r="A131" s="1" t="s">
        <v>242</v>
      </c>
    </row>
    <row r="132" spans="1:1" x14ac:dyDescent="0.25">
      <c r="A132" s="1" t="s">
        <v>243</v>
      </c>
    </row>
    <row r="133" spans="1:1" ht="31.5" x14ac:dyDescent="0.25">
      <c r="A133" s="2" t="s">
        <v>244</v>
      </c>
    </row>
    <row r="134" spans="1:1" ht="31.5" x14ac:dyDescent="0.25">
      <c r="A134" s="2" t="s">
        <v>245</v>
      </c>
    </row>
    <row r="135" spans="1:1" x14ac:dyDescent="0.25">
      <c r="A135" s="2" t="s">
        <v>246</v>
      </c>
    </row>
    <row r="136" spans="1:1" x14ac:dyDescent="0.25">
      <c r="A136" s="2" t="s">
        <v>247</v>
      </c>
    </row>
    <row r="137" spans="1:1" ht="31.5" x14ac:dyDescent="0.25">
      <c r="A137" s="2" t="s">
        <v>248</v>
      </c>
    </row>
    <row r="138" spans="1:1" x14ac:dyDescent="0.25">
      <c r="A138" s="1" t="s">
        <v>249</v>
      </c>
    </row>
    <row r="139" spans="1:1" ht="31.5" x14ac:dyDescent="0.25">
      <c r="A139" s="2" t="s">
        <v>250</v>
      </c>
    </row>
    <row r="140" spans="1:1" x14ac:dyDescent="0.25">
      <c r="A140" s="1" t="s">
        <v>251</v>
      </c>
    </row>
    <row r="141" spans="1:1" x14ac:dyDescent="0.25">
      <c r="A141" s="1" t="s">
        <v>252</v>
      </c>
    </row>
    <row r="142" spans="1:1" x14ac:dyDescent="0.25">
      <c r="A142" s="1" t="s">
        <v>253</v>
      </c>
    </row>
    <row r="143" spans="1:1" ht="31.5" x14ac:dyDescent="0.25">
      <c r="A143" s="2" t="s">
        <v>254</v>
      </c>
    </row>
    <row r="144" spans="1:1" x14ac:dyDescent="0.25">
      <c r="A144" s="1" t="s">
        <v>255</v>
      </c>
    </row>
    <row r="147" spans="1:1" x14ac:dyDescent="0.25">
      <c r="A147" s="65" t="s">
        <v>233</v>
      </c>
    </row>
    <row r="148" spans="1:1" x14ac:dyDescent="0.25">
      <c r="A148" s="1" t="s">
        <v>234</v>
      </c>
    </row>
    <row r="150" spans="1:1" x14ac:dyDescent="0.25">
      <c r="A150" s="65" t="s">
        <v>259</v>
      </c>
    </row>
    <row r="151" spans="1:1" x14ac:dyDescent="0.25">
      <c r="A151" s="1" t="s">
        <v>260</v>
      </c>
    </row>
    <row r="152" spans="1:1" x14ac:dyDescent="0.25">
      <c r="A152" s="1" t="s">
        <v>261</v>
      </c>
    </row>
    <row r="153" spans="1:1" x14ac:dyDescent="0.25">
      <c r="A153" s="1" t="s">
        <v>262</v>
      </c>
    </row>
    <row r="154" spans="1:1" x14ac:dyDescent="0.25">
      <c r="A154" s="1" t="s">
        <v>263</v>
      </c>
    </row>
    <row r="156" spans="1:1" x14ac:dyDescent="0.25">
      <c r="A156" s="65" t="s">
        <v>231</v>
      </c>
    </row>
    <row r="157" spans="1:1" x14ac:dyDescent="0.25">
      <c r="A157" s="1" t="s">
        <v>232</v>
      </c>
    </row>
    <row r="159" spans="1:1" x14ac:dyDescent="0.25">
      <c r="A159" s="65" t="s">
        <v>224</v>
      </c>
    </row>
    <row r="160" spans="1:1" x14ac:dyDescent="0.25">
      <c r="A160" s="1" t="s">
        <v>225</v>
      </c>
    </row>
    <row r="161" spans="1:1" x14ac:dyDescent="0.25">
      <c r="A161" s="1" t="s">
        <v>226</v>
      </c>
    </row>
    <row r="162" spans="1:1" ht="31.5" x14ac:dyDescent="0.25">
      <c r="A162" s="2" t="s">
        <v>227</v>
      </c>
    </row>
    <row r="163" spans="1:1" x14ac:dyDescent="0.25">
      <c r="A163" s="1" t="s">
        <v>228</v>
      </c>
    </row>
    <row r="164" spans="1:1" x14ac:dyDescent="0.25">
      <c r="A164" s="1" t="s">
        <v>229</v>
      </c>
    </row>
    <row r="165" spans="1:1" x14ac:dyDescent="0.25">
      <c r="A165" s="1" t="s">
        <v>230</v>
      </c>
    </row>
    <row r="166" spans="1:1" ht="18" customHeight="1" x14ac:dyDescent="0.25"/>
    <row r="167" spans="1:1" ht="48.75" customHeight="1" x14ac:dyDescent="0.25"/>
    <row r="168" spans="1:1" x14ac:dyDescent="0.25">
      <c r="A168" s="65" t="s">
        <v>137</v>
      </c>
    </row>
    <row r="169" spans="1:1" ht="47.25" x14ac:dyDescent="0.25">
      <c r="A169" s="2" t="s">
        <v>166</v>
      </c>
    </row>
    <row r="170" spans="1:1" x14ac:dyDescent="0.25">
      <c r="A170" s="1" t="s">
        <v>138</v>
      </c>
    </row>
    <row r="171" spans="1:1" x14ac:dyDescent="0.25">
      <c r="A171" s="1" t="s">
        <v>139</v>
      </c>
    </row>
    <row r="172" spans="1:1" x14ac:dyDescent="0.25">
      <c r="A172" s="1" t="s">
        <v>167</v>
      </c>
    </row>
    <row r="173" spans="1:1" x14ac:dyDescent="0.25">
      <c r="A173" s="1" t="s">
        <v>140</v>
      </c>
    </row>
    <row r="174" spans="1:1" x14ac:dyDescent="0.25">
      <c r="A174" s="1" t="s">
        <v>141</v>
      </c>
    </row>
    <row r="175" spans="1:1" x14ac:dyDescent="0.25">
      <c r="A175" s="1" t="s">
        <v>266</v>
      </c>
    </row>
    <row r="176" spans="1:1" x14ac:dyDescent="0.25">
      <c r="A176" s="1" t="s">
        <v>142</v>
      </c>
    </row>
    <row r="177" spans="1:1" x14ac:dyDescent="0.25">
      <c r="A177" s="1" t="s">
        <v>143</v>
      </c>
    </row>
    <row r="178" spans="1:1" ht="31.5" x14ac:dyDescent="0.25">
      <c r="A178" s="2" t="s">
        <v>144</v>
      </c>
    </row>
    <row r="179" spans="1:1" ht="31.5" x14ac:dyDescent="0.25">
      <c r="A179" s="2" t="s">
        <v>267</v>
      </c>
    </row>
    <row r="180" spans="1:1" x14ac:dyDescent="0.25">
      <c r="A180" s="1" t="s">
        <v>145</v>
      </c>
    </row>
    <row r="181" spans="1:1" x14ac:dyDescent="0.25">
      <c r="A181" s="1" t="s">
        <v>146</v>
      </c>
    </row>
    <row r="182" spans="1:1" x14ac:dyDescent="0.25">
      <c r="A182" s="1" t="s">
        <v>168</v>
      </c>
    </row>
    <row r="183" spans="1:1" x14ac:dyDescent="0.25">
      <c r="A183" s="1" t="s">
        <v>147</v>
      </c>
    </row>
    <row r="184" spans="1:1" x14ac:dyDescent="0.25">
      <c r="A184" s="1" t="s">
        <v>169</v>
      </c>
    </row>
    <row r="185" spans="1:1" ht="31.5" x14ac:dyDescent="0.25">
      <c r="A185" s="2" t="s">
        <v>170</v>
      </c>
    </row>
    <row r="186" spans="1:1" x14ac:dyDescent="0.25">
      <c r="A186" s="1" t="s">
        <v>156</v>
      </c>
    </row>
    <row r="187" spans="1:1" x14ac:dyDescent="0.25">
      <c r="A187" s="1" t="s">
        <v>157</v>
      </c>
    </row>
    <row r="188" spans="1:1" ht="31.5" x14ac:dyDescent="0.25">
      <c r="A188" s="2" t="s">
        <v>158</v>
      </c>
    </row>
    <row r="189" spans="1:1" x14ac:dyDescent="0.25">
      <c r="A189" s="1" t="s">
        <v>210</v>
      </c>
    </row>
    <row r="190" spans="1:1" x14ac:dyDescent="0.25">
      <c r="A190" s="1" t="s">
        <v>211</v>
      </c>
    </row>
    <row r="191" spans="1:1" x14ac:dyDescent="0.25">
      <c r="A191" s="1" t="s">
        <v>213</v>
      </c>
    </row>
    <row r="192" spans="1:1" x14ac:dyDescent="0.25">
      <c r="A192" s="1" t="s">
        <v>214</v>
      </c>
    </row>
    <row r="193" spans="1:1" x14ac:dyDescent="0.25">
      <c r="A193" s="1" t="s">
        <v>215</v>
      </c>
    </row>
    <row r="194" spans="1:1" x14ac:dyDescent="0.25">
      <c r="A194" s="1" t="s">
        <v>216</v>
      </c>
    </row>
    <row r="195" spans="1:1" x14ac:dyDescent="0.25">
      <c r="A195" s="1" t="s">
        <v>217</v>
      </c>
    </row>
    <row r="196" spans="1:1" x14ac:dyDescent="0.25">
      <c r="A196" s="1" t="s">
        <v>218</v>
      </c>
    </row>
    <row r="197" spans="1:1" x14ac:dyDescent="0.25">
      <c r="A197" s="1" t="s">
        <v>219</v>
      </c>
    </row>
    <row r="198" spans="1:1" x14ac:dyDescent="0.25">
      <c r="A198" s="1" t="s">
        <v>220</v>
      </c>
    </row>
    <row r="199" spans="1:1" x14ac:dyDescent="0.25">
      <c r="A199" s="1" t="s">
        <v>221</v>
      </c>
    </row>
    <row r="200" spans="1:1" x14ac:dyDescent="0.25">
      <c r="A200" s="1" t="s">
        <v>222</v>
      </c>
    </row>
    <row r="201" spans="1:1" x14ac:dyDescent="0.25">
      <c r="A201" s="1" t="s">
        <v>268</v>
      </c>
    </row>
    <row r="202" spans="1:1" x14ac:dyDescent="0.25">
      <c r="A202" s="1" t="s">
        <v>269</v>
      </c>
    </row>
    <row r="203" spans="1:1" x14ac:dyDescent="0.25">
      <c r="A203" s="1" t="s">
        <v>270</v>
      </c>
    </row>
    <row r="204" spans="1:1" x14ac:dyDescent="0.25">
      <c r="A204" s="1" t="s">
        <v>271</v>
      </c>
    </row>
    <row r="205" spans="1:1" x14ac:dyDescent="0.25">
      <c r="A205" s="1" t="s">
        <v>204</v>
      </c>
    </row>
    <row r="206" spans="1:1" x14ac:dyDescent="0.25">
      <c r="A206" s="1" t="s">
        <v>223</v>
      </c>
    </row>
    <row r="207" spans="1:1" x14ac:dyDescent="0.25">
      <c r="A207" s="1" t="s">
        <v>207</v>
      </c>
    </row>
  </sheetData>
  <sheetProtection sheet="1"/>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21" zoomScale="85" workbookViewId="0">
      <selection activeCell="D37" sqref="D37"/>
    </sheetView>
  </sheetViews>
  <sheetFormatPr defaultRowHeight="15.95" customHeight="1" x14ac:dyDescent="0.2"/>
  <cols>
    <col min="1" max="2" width="3.33203125" style="69" customWidth="1"/>
    <col min="3" max="3" width="31.33203125" style="69" customWidth="1"/>
    <col min="4" max="4" width="2.33203125" style="69" customWidth="1"/>
    <col min="5" max="5" width="15.77734375" style="69" customWidth="1"/>
    <col min="6" max="6" width="2" style="69" customWidth="1"/>
    <col min="7" max="7" width="15.77734375" style="69" customWidth="1"/>
    <col min="8" max="8" width="1.88671875" style="69" customWidth="1"/>
    <col min="9" max="9" width="1.77734375" style="69" customWidth="1"/>
    <col min="10" max="10" width="15.77734375" style="69" customWidth="1"/>
    <col min="11" max="16384" width="8.88671875" style="69"/>
  </cols>
  <sheetData>
    <row r="1" spans="1:10" ht="15.95" customHeight="1" x14ac:dyDescent="0.2">
      <c r="A1" s="148"/>
      <c r="B1" s="148"/>
      <c r="C1" s="147" t="str">
        <f>inputPrYr!D3</f>
        <v>City of Herington</v>
      </c>
      <c r="D1" s="148"/>
      <c r="E1" s="148"/>
      <c r="F1" s="148"/>
      <c r="G1" s="148"/>
      <c r="H1" s="148"/>
      <c r="I1" s="148"/>
      <c r="J1" s="148">
        <f>inputPrYr!C10</f>
        <v>2013</v>
      </c>
    </row>
    <row r="2" spans="1:10" ht="15.95" customHeight="1" x14ac:dyDescent="0.2">
      <c r="A2" s="148"/>
      <c r="B2" s="148"/>
      <c r="C2" s="148"/>
      <c r="D2" s="148"/>
      <c r="E2" s="148"/>
      <c r="F2" s="148"/>
      <c r="G2" s="148"/>
      <c r="H2" s="148"/>
      <c r="I2" s="148"/>
      <c r="J2" s="148"/>
    </row>
    <row r="3" spans="1:10" ht="15.75" x14ac:dyDescent="0.2">
      <c r="A3" s="895" t="str">
        <f>CONCATENATE("Computation to Determine Limit for ",J1,"")</f>
        <v>Computation to Determine Limit for 2013</v>
      </c>
      <c r="B3" s="896"/>
      <c r="C3" s="896"/>
      <c r="D3" s="896"/>
      <c r="E3" s="896"/>
      <c r="F3" s="896"/>
      <c r="G3" s="896"/>
      <c r="H3" s="896"/>
      <c r="I3" s="896"/>
      <c r="J3" s="896"/>
    </row>
    <row r="4" spans="1:10" ht="15.75" x14ac:dyDescent="0.2">
      <c r="A4" s="148"/>
      <c r="B4" s="148"/>
      <c r="C4" s="148"/>
      <c r="D4" s="148"/>
      <c r="E4" s="896"/>
      <c r="F4" s="896"/>
      <c r="G4" s="896"/>
      <c r="H4" s="235"/>
      <c r="I4" s="148"/>
      <c r="J4" s="236" t="s">
        <v>14</v>
      </c>
    </row>
    <row r="5" spans="1:10" ht="15.75" x14ac:dyDescent="0.2">
      <c r="A5" s="237" t="s">
        <v>15</v>
      </c>
      <c r="B5" s="148" t="str">
        <f>CONCATENATE("Total Tax Levy Amount in ",J1-1," Budget")</f>
        <v>Total Tax Levy Amount in 2012 Budget</v>
      </c>
      <c r="C5" s="148"/>
      <c r="D5" s="148"/>
      <c r="E5" s="238"/>
      <c r="F5" s="238"/>
      <c r="G5" s="238"/>
      <c r="H5" s="239" t="s">
        <v>16</v>
      </c>
      <c r="I5" s="238" t="s">
        <v>17</v>
      </c>
      <c r="J5" s="240">
        <f>inputPrYr!E36</f>
        <v>713156</v>
      </c>
    </row>
    <row r="6" spans="1:10" ht="15.75" x14ac:dyDescent="0.2">
      <c r="A6" s="237" t="s">
        <v>18</v>
      </c>
      <c r="B6" s="148" t="str">
        <f>CONCATENATE("Debt Service Levy in ",J1-1," Budget")</f>
        <v>Debt Service Levy in 2012 Budget</v>
      </c>
      <c r="C6" s="148"/>
      <c r="D6" s="148"/>
      <c r="E6" s="238"/>
      <c r="F6" s="238"/>
      <c r="G6" s="238"/>
      <c r="H6" s="239" t="s">
        <v>19</v>
      </c>
      <c r="I6" s="238" t="s">
        <v>17</v>
      </c>
      <c r="J6" s="241">
        <f>inputPrYr!E23</f>
        <v>8382</v>
      </c>
    </row>
    <row r="7" spans="1:10" ht="15.75" x14ac:dyDescent="0.2">
      <c r="A7" s="237" t="s">
        <v>46</v>
      </c>
      <c r="B7" s="242" t="s">
        <v>43</v>
      </c>
      <c r="C7" s="148"/>
      <c r="D7" s="148"/>
      <c r="E7" s="238"/>
      <c r="F7" s="238"/>
      <c r="G7" s="238"/>
      <c r="H7" s="238"/>
      <c r="I7" s="238" t="s">
        <v>17</v>
      </c>
      <c r="J7" s="243">
        <f>J5-J6</f>
        <v>704774</v>
      </c>
    </row>
    <row r="8" spans="1:10" ht="15.75" x14ac:dyDescent="0.2">
      <c r="A8" s="148"/>
      <c r="B8" s="148"/>
      <c r="C8" s="148"/>
      <c r="D8" s="148"/>
      <c r="E8" s="238"/>
      <c r="F8" s="238"/>
      <c r="G8" s="238"/>
      <c r="H8" s="238"/>
      <c r="I8" s="238"/>
      <c r="J8" s="238"/>
    </row>
    <row r="9" spans="1:10" ht="15.75" x14ac:dyDescent="0.2">
      <c r="A9" s="148"/>
      <c r="B9" s="242" t="str">
        <f>CONCATENATE("",J1-1," Valuation Information for Valuation Adjustments:")</f>
        <v>2012 Valuation Information for Valuation Adjustments:</v>
      </c>
      <c r="C9" s="148"/>
      <c r="D9" s="148"/>
      <c r="E9" s="238"/>
      <c r="F9" s="238"/>
      <c r="G9" s="238"/>
      <c r="H9" s="238"/>
      <c r="I9" s="238"/>
      <c r="J9" s="238"/>
    </row>
    <row r="10" spans="1:10" ht="15.75" x14ac:dyDescent="0.2">
      <c r="A10" s="148"/>
      <c r="B10" s="148"/>
      <c r="C10" s="242"/>
      <c r="D10" s="148"/>
      <c r="E10" s="238"/>
      <c r="F10" s="238"/>
      <c r="G10" s="238"/>
      <c r="H10" s="238"/>
      <c r="I10" s="238"/>
      <c r="J10" s="238"/>
    </row>
    <row r="11" spans="1:10" ht="15.75" x14ac:dyDescent="0.2">
      <c r="A11" s="237" t="s">
        <v>20</v>
      </c>
      <c r="B11" s="242" t="str">
        <f>CONCATENATE("New Improvements for ",J1-1,":")</f>
        <v>New Improvements for 2012:</v>
      </c>
      <c r="C11" s="148"/>
      <c r="D11" s="148"/>
      <c r="E11" s="239"/>
      <c r="F11" s="239" t="s">
        <v>16</v>
      </c>
      <c r="G11" s="172">
        <f>inputOth!C14</f>
        <v>14632</v>
      </c>
      <c r="H11" s="244"/>
      <c r="I11" s="238"/>
      <c r="J11" s="238"/>
    </row>
    <row r="12" spans="1:10" ht="15.75" x14ac:dyDescent="0.2">
      <c r="A12" s="237"/>
      <c r="B12" s="245"/>
      <c r="C12" s="148"/>
      <c r="D12" s="148"/>
      <c r="E12" s="239"/>
      <c r="F12" s="239"/>
      <c r="G12" s="244"/>
      <c r="H12" s="244"/>
      <c r="I12" s="238"/>
      <c r="J12" s="238"/>
    </row>
    <row r="13" spans="1:10" ht="15.75" x14ac:dyDescent="0.2">
      <c r="A13" s="237" t="s">
        <v>21</v>
      </c>
      <c r="B13" s="242" t="str">
        <f>CONCATENATE("Increase in Personal Property for ",J1-1,":")</f>
        <v>Increase in Personal Property for 2012:</v>
      </c>
      <c r="C13" s="148"/>
      <c r="D13" s="148"/>
      <c r="E13" s="239"/>
      <c r="F13" s="239"/>
      <c r="G13" s="244"/>
      <c r="H13" s="244"/>
      <c r="I13" s="238"/>
      <c r="J13" s="238"/>
    </row>
    <row r="14" spans="1:10" ht="15.75" x14ac:dyDescent="0.2">
      <c r="A14" s="246"/>
      <c r="B14" s="148" t="s">
        <v>22</v>
      </c>
      <c r="C14" s="148" t="str">
        <f>CONCATENATE("Personal Property ",J1-1,"")</f>
        <v>Personal Property 2012</v>
      </c>
      <c r="D14" s="245" t="s">
        <v>16</v>
      </c>
      <c r="E14" s="172">
        <f>inputOth!D14</f>
        <v>522350</v>
      </c>
      <c r="F14" s="239"/>
      <c r="G14" s="238"/>
      <c r="H14" s="238"/>
      <c r="I14" s="244"/>
      <c r="J14" s="238"/>
    </row>
    <row r="15" spans="1:10" ht="15.75" x14ac:dyDescent="0.2">
      <c r="A15" s="245"/>
      <c r="B15" s="148" t="s">
        <v>23</v>
      </c>
      <c r="C15" s="148" t="str">
        <f>CONCATENATE("Personal Property ",J1-2,"")</f>
        <v>Personal Property 2011</v>
      </c>
      <c r="D15" s="245" t="s">
        <v>19</v>
      </c>
      <c r="E15" s="247">
        <f>inputOth!F14</f>
        <v>594045</v>
      </c>
      <c r="F15" s="239"/>
      <c r="G15" s="244"/>
      <c r="H15" s="244"/>
      <c r="I15" s="238"/>
      <c r="J15" s="238"/>
    </row>
    <row r="16" spans="1:10" ht="15.75" x14ac:dyDescent="0.2">
      <c r="A16" s="245"/>
      <c r="B16" s="148" t="s">
        <v>24</v>
      </c>
      <c r="C16" s="148" t="s">
        <v>45</v>
      </c>
      <c r="D16" s="148"/>
      <c r="E16" s="238"/>
      <c r="F16" s="238" t="s">
        <v>16</v>
      </c>
      <c r="G16" s="240">
        <f>IF(E14&gt;E15,E14-E15,0)</f>
        <v>0</v>
      </c>
      <c r="H16" s="244"/>
      <c r="I16" s="238"/>
      <c r="J16" s="238"/>
    </row>
    <row r="17" spans="1:10" ht="15.75" x14ac:dyDescent="0.2">
      <c r="A17" s="245"/>
      <c r="B17" s="245"/>
      <c r="C17" s="148"/>
      <c r="D17" s="148"/>
      <c r="E17" s="238"/>
      <c r="F17" s="238"/>
      <c r="G17" s="244" t="s">
        <v>37</v>
      </c>
      <c r="H17" s="244"/>
      <c r="I17" s="238"/>
      <c r="J17" s="238"/>
    </row>
    <row r="18" spans="1:10" ht="15.75" x14ac:dyDescent="0.2">
      <c r="A18" s="245" t="s">
        <v>25</v>
      </c>
      <c r="B18" s="242" t="str">
        <f>CONCATENATE("Valuation of annexed territory for ",J1-1,":")</f>
        <v>Valuation of annexed territory for 2012:</v>
      </c>
      <c r="C18" s="148"/>
      <c r="D18" s="148"/>
      <c r="E18" s="244"/>
      <c r="F18" s="238"/>
      <c r="G18" s="238"/>
      <c r="H18" s="238"/>
      <c r="I18" s="238"/>
      <c r="J18" s="238"/>
    </row>
    <row r="19" spans="1:10" ht="15.75" x14ac:dyDescent="0.2">
      <c r="A19" s="245"/>
      <c r="B19" s="148" t="s">
        <v>26</v>
      </c>
      <c r="C19" s="148" t="s">
        <v>47</v>
      </c>
      <c r="D19" s="245" t="s">
        <v>16</v>
      </c>
      <c r="E19" s="172">
        <f>inputOth!B22</f>
        <v>0</v>
      </c>
      <c r="F19" s="238"/>
      <c r="G19" s="238"/>
      <c r="H19" s="238"/>
      <c r="I19" s="238"/>
      <c r="J19" s="238"/>
    </row>
    <row r="20" spans="1:10" ht="15.75" x14ac:dyDescent="0.2">
      <c r="A20" s="245"/>
      <c r="B20" s="148" t="s">
        <v>27</v>
      </c>
      <c r="C20" s="148" t="s">
        <v>48</v>
      </c>
      <c r="D20" s="245" t="s">
        <v>16</v>
      </c>
      <c r="E20" s="172">
        <f>inputOth!C22</f>
        <v>0</v>
      </c>
      <c r="F20" s="238"/>
      <c r="G20" s="244"/>
      <c r="H20" s="244"/>
      <c r="I20" s="238"/>
      <c r="J20" s="238"/>
    </row>
    <row r="21" spans="1:10" ht="15.75" x14ac:dyDescent="0.2">
      <c r="A21" s="245"/>
      <c r="B21" s="148" t="s">
        <v>28</v>
      </c>
      <c r="C21" s="148" t="s">
        <v>44</v>
      </c>
      <c r="D21" s="245" t="s">
        <v>19</v>
      </c>
      <c r="E21" s="172">
        <f>inputOth!D22</f>
        <v>0</v>
      </c>
      <c r="F21" s="238"/>
      <c r="G21" s="244"/>
      <c r="H21" s="244"/>
      <c r="I21" s="238"/>
      <c r="J21" s="238"/>
    </row>
    <row r="22" spans="1:10" ht="15.75" x14ac:dyDescent="0.2">
      <c r="A22" s="245"/>
      <c r="B22" s="148" t="s">
        <v>29</v>
      </c>
      <c r="C22" s="148" t="s">
        <v>49</v>
      </c>
      <c r="D22" s="245"/>
      <c r="E22" s="244"/>
      <c r="F22" s="238" t="s">
        <v>16</v>
      </c>
      <c r="G22" s="240">
        <f>E19+E20-E21</f>
        <v>0</v>
      </c>
      <c r="H22" s="244"/>
      <c r="I22" s="238"/>
      <c r="J22" s="238"/>
    </row>
    <row r="23" spans="1:10" ht="15.75" x14ac:dyDescent="0.2">
      <c r="A23" s="245"/>
      <c r="B23" s="245"/>
      <c r="C23" s="148"/>
      <c r="D23" s="245"/>
      <c r="E23" s="244"/>
      <c r="F23" s="238"/>
      <c r="G23" s="244"/>
      <c r="H23" s="244"/>
      <c r="I23" s="238"/>
      <c r="J23" s="238"/>
    </row>
    <row r="24" spans="1:10" ht="15.75" x14ac:dyDescent="0.2">
      <c r="A24" s="245" t="s">
        <v>30</v>
      </c>
      <c r="B24" s="242" t="str">
        <f>CONCATENATE("Valuation of Property that has Changed in Use during ",J1-1,":")</f>
        <v>Valuation of Property that has Changed in Use during 2012:</v>
      </c>
      <c r="C24" s="148"/>
      <c r="D24" s="148"/>
      <c r="E24" s="238"/>
      <c r="F24" s="238"/>
      <c r="G24" s="138">
        <f>inputOth!E14</f>
        <v>7374</v>
      </c>
      <c r="H24" s="238"/>
      <c r="I24" s="238"/>
      <c r="J24" s="238"/>
    </row>
    <row r="25" spans="1:10" ht="15.75" x14ac:dyDescent="0.2">
      <c r="A25" s="148" t="s">
        <v>278</v>
      </c>
      <c r="B25" s="148"/>
      <c r="C25" s="148"/>
      <c r="D25" s="245"/>
      <c r="E25" s="244"/>
      <c r="F25" s="238"/>
      <c r="G25" s="248"/>
      <c r="H25" s="244"/>
      <c r="I25" s="238"/>
      <c r="J25" s="238"/>
    </row>
    <row r="26" spans="1:10" ht="15.75" x14ac:dyDescent="0.2">
      <c r="A26" s="245" t="s">
        <v>31</v>
      </c>
      <c r="B26" s="242" t="s">
        <v>50</v>
      </c>
      <c r="C26" s="148"/>
      <c r="D26" s="148"/>
      <c r="E26" s="238"/>
      <c r="F26" s="238"/>
      <c r="G26" s="240">
        <f>G11+G16+G22+G24</f>
        <v>22006</v>
      </c>
      <c r="H26" s="244"/>
      <c r="I26" s="238"/>
      <c r="J26" s="238"/>
    </row>
    <row r="27" spans="1:10" ht="15.75" x14ac:dyDescent="0.2">
      <c r="A27" s="245"/>
      <c r="B27" s="245"/>
      <c r="C27" s="242"/>
      <c r="D27" s="148"/>
      <c r="E27" s="238"/>
      <c r="F27" s="238"/>
      <c r="G27" s="244"/>
      <c r="H27" s="244"/>
      <c r="I27" s="238"/>
      <c r="J27" s="238"/>
    </row>
    <row r="28" spans="1:10" ht="15.75" x14ac:dyDescent="0.2">
      <c r="A28" s="245" t="s">
        <v>32</v>
      </c>
      <c r="B28" s="148" t="str">
        <f>CONCATENATE("Total Estimated Valuation July 1,",J1-1,"")</f>
        <v>Total Estimated Valuation July 1,2012</v>
      </c>
      <c r="C28" s="148"/>
      <c r="D28" s="148"/>
      <c r="E28" s="240">
        <f>inputOth!B14</f>
        <v>10661314</v>
      </c>
      <c r="F28" s="238"/>
      <c r="G28" s="238"/>
      <c r="H28" s="238"/>
      <c r="I28" s="239"/>
      <c r="J28" s="238"/>
    </row>
    <row r="29" spans="1:10" ht="15.75" x14ac:dyDescent="0.2">
      <c r="A29" s="245"/>
      <c r="B29" s="245"/>
      <c r="C29" s="148"/>
      <c r="D29" s="148"/>
      <c r="E29" s="244"/>
      <c r="F29" s="238"/>
      <c r="G29" s="238"/>
      <c r="H29" s="238"/>
      <c r="I29" s="239"/>
      <c r="J29" s="238"/>
    </row>
    <row r="30" spans="1:10" ht="15.75" x14ac:dyDescent="0.2">
      <c r="A30" s="245" t="s">
        <v>33</v>
      </c>
      <c r="B30" s="242" t="s">
        <v>51</v>
      </c>
      <c r="C30" s="148"/>
      <c r="D30" s="148"/>
      <c r="E30" s="238"/>
      <c r="F30" s="238"/>
      <c r="G30" s="240">
        <f>E28-G26</f>
        <v>10639308</v>
      </c>
      <c r="H30" s="244"/>
      <c r="I30" s="239"/>
      <c r="J30" s="238"/>
    </row>
    <row r="31" spans="1:10" ht="15.75" x14ac:dyDescent="0.2">
      <c r="A31" s="245"/>
      <c r="B31" s="245"/>
      <c r="C31" s="242"/>
      <c r="D31" s="148"/>
      <c r="E31" s="148"/>
      <c r="F31" s="148"/>
      <c r="G31" s="249"/>
      <c r="H31" s="250"/>
      <c r="I31" s="245"/>
      <c r="J31" s="148"/>
    </row>
    <row r="32" spans="1:10" ht="15.75" x14ac:dyDescent="0.2">
      <c r="A32" s="245" t="s">
        <v>34</v>
      </c>
      <c r="B32" s="148" t="s">
        <v>52</v>
      </c>
      <c r="C32" s="148"/>
      <c r="D32" s="148"/>
      <c r="E32" s="148"/>
      <c r="F32" s="148"/>
      <c r="G32" s="251">
        <f>IF(G30&gt;0,G26/G30,0)</f>
        <v>2.0683676043592308E-3</v>
      </c>
      <c r="H32" s="250"/>
      <c r="I32" s="148"/>
      <c r="J32" s="148"/>
    </row>
    <row r="33" spans="1:10" ht="15.75" x14ac:dyDescent="0.2">
      <c r="A33" s="245"/>
      <c r="B33" s="245"/>
      <c r="C33" s="148"/>
      <c r="D33" s="148"/>
      <c r="E33" s="148"/>
      <c r="F33" s="148"/>
      <c r="G33" s="250"/>
      <c r="H33" s="250"/>
      <c r="I33" s="148"/>
      <c r="J33" s="148"/>
    </row>
    <row r="34" spans="1:10" ht="15.75" x14ac:dyDescent="0.2">
      <c r="A34" s="245" t="s">
        <v>35</v>
      </c>
      <c r="B34" s="148" t="s">
        <v>53</v>
      </c>
      <c r="C34" s="148"/>
      <c r="D34" s="148"/>
      <c r="E34" s="148"/>
      <c r="F34" s="148"/>
      <c r="G34" s="250"/>
      <c r="H34" s="252" t="s">
        <v>16</v>
      </c>
      <c r="I34" s="148" t="s">
        <v>17</v>
      </c>
      <c r="J34" s="240">
        <f>ROUND(G32*J7,0)</f>
        <v>1458</v>
      </c>
    </row>
    <row r="35" spans="1:10" ht="15.75" x14ac:dyDescent="0.2">
      <c r="A35" s="245"/>
      <c r="B35" s="245"/>
      <c r="C35" s="148"/>
      <c r="D35" s="148"/>
      <c r="E35" s="148"/>
      <c r="F35" s="148"/>
      <c r="G35" s="250"/>
      <c r="H35" s="252"/>
      <c r="I35" s="148"/>
      <c r="J35" s="244"/>
    </row>
    <row r="36" spans="1:10" ht="16.5" thickBot="1" x14ac:dyDescent="0.25">
      <c r="A36" s="245" t="s">
        <v>36</v>
      </c>
      <c r="B36" s="242" t="s">
        <v>58</v>
      </c>
      <c r="C36" s="148"/>
      <c r="D36" s="148"/>
      <c r="E36" s="148"/>
      <c r="F36" s="148"/>
      <c r="G36" s="148"/>
      <c r="H36" s="148"/>
      <c r="I36" s="148" t="s">
        <v>17</v>
      </c>
      <c r="J36" s="253">
        <f>J7+J34</f>
        <v>706232</v>
      </c>
    </row>
    <row r="37" spans="1:10" ht="16.5" thickTop="1" x14ac:dyDescent="0.2">
      <c r="A37" s="148"/>
      <c r="B37" s="148"/>
      <c r="C37" s="148"/>
      <c r="D37" s="148"/>
      <c r="E37" s="148"/>
      <c r="F37" s="148"/>
      <c r="G37" s="148"/>
      <c r="H37" s="148"/>
      <c r="I37" s="148"/>
      <c r="J37" s="148"/>
    </row>
    <row r="38" spans="1:10" ht="15.75" x14ac:dyDescent="0.2">
      <c r="A38" s="245" t="s">
        <v>56</v>
      </c>
      <c r="B38" s="242" t="str">
        <f>CONCATENATE("Debt Service in this ",J1," Budget")</f>
        <v>Debt Service in this 2013 Budget</v>
      </c>
      <c r="C38" s="148"/>
      <c r="D38" s="148"/>
      <c r="E38" s="148"/>
      <c r="F38" s="148"/>
      <c r="G38" s="148"/>
      <c r="H38" s="148"/>
      <c r="I38" s="148"/>
      <c r="J38" s="254">
        <f>'DebtSvs-Library'!E40</f>
        <v>27798.619999999995</v>
      </c>
    </row>
    <row r="39" spans="1:10" ht="15.75" x14ac:dyDescent="0.2">
      <c r="A39" s="245"/>
      <c r="B39" s="242"/>
      <c r="C39" s="148"/>
      <c r="D39" s="148"/>
      <c r="E39" s="148"/>
      <c r="F39" s="148"/>
      <c r="G39" s="148"/>
      <c r="H39" s="148"/>
      <c r="I39" s="148"/>
      <c r="J39" s="250"/>
    </row>
    <row r="40" spans="1:10" ht="16.5" thickBot="1" x14ac:dyDescent="0.25">
      <c r="A40" s="245" t="s">
        <v>57</v>
      </c>
      <c r="B40" s="242" t="s">
        <v>59</v>
      </c>
      <c r="C40" s="148"/>
      <c r="D40" s="148"/>
      <c r="E40" s="148"/>
      <c r="F40" s="148"/>
      <c r="G40" s="148"/>
      <c r="H40" s="148"/>
      <c r="I40" s="148"/>
      <c r="J40" s="253">
        <f>J36+J38</f>
        <v>734030.62</v>
      </c>
    </row>
    <row r="41" spans="1:10" ht="16.5" thickTop="1" x14ac:dyDescent="0.2">
      <c r="A41" s="148"/>
      <c r="B41" s="148"/>
      <c r="C41" s="148"/>
      <c r="D41" s="148"/>
      <c r="E41" s="148"/>
      <c r="F41" s="148"/>
      <c r="G41" s="148"/>
      <c r="H41" s="148"/>
      <c r="I41" s="148"/>
      <c r="J41" s="148"/>
    </row>
    <row r="42" spans="1:10" s="255" customFormat="1" ht="18.75" x14ac:dyDescent="0.2">
      <c r="A42" s="894" t="str">
        <f>CONCATENATE("If the ",J1," budget includes tax levies exceeding the total on line 15, you must")</f>
        <v>If the 2013 budget includes tax levies exceeding the total on line 15, you must</v>
      </c>
      <c r="B42" s="894"/>
      <c r="C42" s="894"/>
      <c r="D42" s="894"/>
      <c r="E42" s="894"/>
      <c r="F42" s="894"/>
      <c r="G42" s="894"/>
      <c r="H42" s="894"/>
      <c r="I42" s="894"/>
      <c r="J42" s="894"/>
    </row>
    <row r="43" spans="1:10" s="255" customFormat="1" ht="18.75" x14ac:dyDescent="0.2">
      <c r="A43" s="894" t="s">
        <v>122</v>
      </c>
      <c r="B43" s="894"/>
      <c r="C43" s="894"/>
      <c r="D43" s="894"/>
      <c r="E43" s="894"/>
      <c r="F43" s="894"/>
      <c r="G43" s="894"/>
      <c r="H43" s="894"/>
      <c r="I43" s="894"/>
      <c r="J43" s="894"/>
    </row>
    <row r="44" spans="1:10" s="255" customFormat="1" ht="18.75" x14ac:dyDescent="0.2">
      <c r="A44" s="894" t="s">
        <v>123</v>
      </c>
      <c r="B44" s="894"/>
      <c r="C44" s="894"/>
      <c r="D44" s="894"/>
      <c r="E44" s="894"/>
      <c r="F44" s="894"/>
      <c r="G44" s="894"/>
      <c r="H44" s="894"/>
      <c r="I44" s="894"/>
      <c r="J44" s="894"/>
    </row>
  </sheetData>
  <sheetProtection sheet="1" objects="1" scenarios="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&amp;RState of KansasCity</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D37" sqref="D37"/>
    </sheetView>
  </sheetViews>
  <sheetFormatPr defaultRowHeight="15.75" x14ac:dyDescent="0.2"/>
  <cols>
    <col min="1" max="1" width="8.88671875" style="82"/>
    <col min="2" max="2" width="16.77734375" style="82" customWidth="1"/>
    <col min="3" max="3" width="16.109375" style="82" customWidth="1"/>
    <col min="4" max="4" width="11.77734375" style="82" customWidth="1"/>
    <col min="5" max="5" width="12" style="82" customWidth="1"/>
    <col min="6" max="7" width="11.77734375" style="82" customWidth="1"/>
    <col min="8" max="16384" width="8.88671875" style="82"/>
  </cols>
  <sheetData>
    <row r="1" spans="1:7" x14ac:dyDescent="0.2">
      <c r="A1" s="86"/>
      <c r="B1" s="256" t="str">
        <f>inputPrYr!D3</f>
        <v>City of Herington</v>
      </c>
      <c r="C1" s="256"/>
      <c r="D1" s="86"/>
      <c r="E1" s="86"/>
      <c r="F1" s="86"/>
      <c r="G1" s="86">
        <f>inputPrYr!C10</f>
        <v>2013</v>
      </c>
    </row>
    <row r="2" spans="1:7" x14ac:dyDescent="0.2">
      <c r="A2" s="86"/>
      <c r="B2" s="256"/>
      <c r="C2" s="256"/>
      <c r="D2" s="86"/>
      <c r="E2" s="86"/>
      <c r="F2" s="86"/>
      <c r="G2" s="86"/>
    </row>
    <row r="3" spans="1:7" x14ac:dyDescent="0.2">
      <c r="A3" s="86"/>
      <c r="B3" s="86"/>
      <c r="C3" s="86"/>
      <c r="D3" s="86"/>
      <c r="E3" s="86"/>
      <c r="F3" s="86"/>
      <c r="G3" s="86"/>
    </row>
    <row r="4" spans="1:7" x14ac:dyDescent="0.2">
      <c r="A4" s="86"/>
      <c r="B4" s="900" t="s">
        <v>892</v>
      </c>
      <c r="C4" s="900"/>
      <c r="D4" s="900"/>
      <c r="E4" s="900"/>
      <c r="F4" s="900"/>
      <c r="G4" s="86"/>
    </row>
    <row r="5" spans="1:7" x14ac:dyDescent="0.2">
      <c r="A5" s="86"/>
      <c r="B5" s="86"/>
      <c r="C5" s="257"/>
      <c r="D5" s="258"/>
      <c r="E5" s="258"/>
      <c r="F5" s="86"/>
      <c r="G5" s="86"/>
    </row>
    <row r="6" spans="1:7" ht="21" customHeight="1" x14ac:dyDescent="0.2">
      <c r="A6" s="86"/>
      <c r="B6" s="259" t="s">
        <v>121</v>
      </c>
      <c r="C6" s="260" t="s">
        <v>373</v>
      </c>
      <c r="D6" s="897" t="str">
        <f>CONCATENATE("Allocation for Year ",G1,"")</f>
        <v>Allocation for Year 2013</v>
      </c>
      <c r="E6" s="898"/>
      <c r="F6" s="899"/>
      <c r="G6" s="86"/>
    </row>
    <row r="7" spans="1:7" x14ac:dyDescent="0.2">
      <c r="A7" s="86"/>
      <c r="B7" s="261" t="str">
        <f>CONCATENATE("for ",G1-1,"")</f>
        <v>for 2012</v>
      </c>
      <c r="C7" s="261" t="str">
        <f>CONCATENATE("Amount for ",G1-2,"")</f>
        <v>Amount for 2011</v>
      </c>
      <c r="D7" s="210" t="s">
        <v>10</v>
      </c>
      <c r="E7" s="210" t="s">
        <v>11</v>
      </c>
      <c r="F7" s="210" t="s">
        <v>9</v>
      </c>
      <c r="G7" s="498"/>
    </row>
    <row r="8" spans="1:7" x14ac:dyDescent="0.2">
      <c r="A8" s="86"/>
      <c r="B8" s="126" t="str">
        <f>(inputPrYr!B22)</f>
        <v>General</v>
      </c>
      <c r="C8" s="307">
        <f>(inputPrYr!E22)</f>
        <v>315496</v>
      </c>
      <c r="D8" s="307">
        <f>IF(inputPrYr!E22=0,0,D23-SUM(D9:D20))</f>
        <v>41855</v>
      </c>
      <c r="E8" s="307">
        <f>IF(inputPrYr!E22=0,0,E25-SUM(E9:E20))</f>
        <v>1305</v>
      </c>
      <c r="F8" s="307">
        <f>IF(inputPrYr!E22=0,0,F27-SUM(F9:F20))</f>
        <v>343</v>
      </c>
      <c r="G8" s="502"/>
    </row>
    <row r="9" spans="1:7" x14ac:dyDescent="0.2">
      <c r="A9" s="86"/>
      <c r="B9" s="126" t="str">
        <f>IF(inputPrYr!$B23&gt;"  ",(inputPrYr!$B23),"  ")</f>
        <v>Debt Service</v>
      </c>
      <c r="C9" s="307">
        <f>IF(inputPrYr!$E23&gt;0,(inputPrYr!$E23),"  ")</f>
        <v>8382</v>
      </c>
      <c r="D9" s="307">
        <f>IF(inputPrYr!E23&gt;0,ROUND(C9*$D$30,0),"  ")</f>
        <v>1112</v>
      </c>
      <c r="E9" s="307">
        <f>IF(inputPrYr!E23&gt;0,ROUND(+C9*E$31,0)," ")</f>
        <v>35</v>
      </c>
      <c r="F9" s="307">
        <f>IF(inputPrYr!E23&gt;0,ROUND(C9*F$32,0)," ")</f>
        <v>9</v>
      </c>
      <c r="G9" s="502"/>
    </row>
    <row r="10" spans="1:7" x14ac:dyDescent="0.2">
      <c r="A10" s="86"/>
      <c r="B10" s="126" t="str">
        <f>IF(inputPrYr!$B24&gt;"  ",(inputPrYr!$B24),"  ")</f>
        <v>Library</v>
      </c>
      <c r="C10" s="307">
        <f>IF(inputPrYr!$E24&gt;0,(inputPrYr!$E24),"  ")</f>
        <v>76008</v>
      </c>
      <c r="D10" s="307">
        <f>IF(inputPrYr!E24&gt;0,ROUND(C10*$D$30,0),"  ")</f>
        <v>10084</v>
      </c>
      <c r="E10" s="307">
        <f>IF(inputPrYr!E24&gt;0,ROUND(+C10*E$31,0)," ")</f>
        <v>315</v>
      </c>
      <c r="F10" s="307">
        <f>IF(inputPrYr!E24&gt;0,ROUND(+C10*F$32,0)," ")</f>
        <v>83</v>
      </c>
      <c r="G10" s="502"/>
    </row>
    <row r="11" spans="1:7" x14ac:dyDescent="0.2">
      <c r="A11" s="86"/>
      <c r="B11" s="126" t="str">
        <f>IF(inputPrYr!$B26&gt;"  ",(inputPrYr!$B26),"  ")</f>
        <v>Employee Benefit</v>
      </c>
      <c r="C11" s="307">
        <f>IF(inputPrYr!$E26&gt;0,(inputPrYr!$E26),"  ")</f>
        <v>307844</v>
      </c>
      <c r="D11" s="307">
        <f>IF(inputPrYr!E26&gt;0,ROUND(C11*$D$30,0),"  ")</f>
        <v>40840</v>
      </c>
      <c r="E11" s="307">
        <f>IF(inputPrYr!E26&gt;0,ROUND(+C11*E$31,0)," ")</f>
        <v>1274</v>
      </c>
      <c r="F11" s="307">
        <f>IF(inputPrYr!E26&gt;0,ROUND(+C11*F$32,0)," ")</f>
        <v>335</v>
      </c>
      <c r="G11" s="502"/>
    </row>
    <row r="12" spans="1:7" x14ac:dyDescent="0.2">
      <c r="A12" s="86"/>
      <c r="B12" s="126" t="str">
        <f>IF(inputPrYr!$B27&gt;"  ",(inputPrYr!$B27),"  ")</f>
        <v>Hospital</v>
      </c>
      <c r="C12" s="307">
        <f>IF(inputPrYr!$E27&gt;0,(inputPrYr!$E27),"  ")</f>
        <v>5426</v>
      </c>
      <c r="D12" s="307">
        <f>IF(inputPrYr!E27&gt;0,ROUND(C12*$D$30,0),"  ")</f>
        <v>720</v>
      </c>
      <c r="E12" s="307">
        <f>IF(inputPrYr!E27&gt;0,ROUND(+C12*E$31,0)," ")</f>
        <v>22</v>
      </c>
      <c r="F12" s="307">
        <f>IF(inputPrYr!E27&gt;0,ROUND(+C12*F$32,0)," ")</f>
        <v>6</v>
      </c>
      <c r="G12" s="502"/>
    </row>
    <row r="13" spans="1:7" x14ac:dyDescent="0.2">
      <c r="A13" s="86"/>
      <c r="B13" s="126" t="str">
        <f>IF(inputPrYr!$B28&gt;"  ",(inputPrYr!$B28),"  ")</f>
        <v xml:space="preserve">  </v>
      </c>
      <c r="C13" s="307" t="str">
        <f>IF(inputPrYr!$E28&gt;0,(inputPrYr!$E28),"  ")</f>
        <v xml:space="preserve">  </v>
      </c>
      <c r="D13" s="307" t="str">
        <f>IF(inputPrYr!E28&gt;0,ROUND(C13*$D$30,0),"  ")</f>
        <v xml:space="preserve">  </v>
      </c>
      <c r="E13" s="307" t="str">
        <f>IF(inputPrYr!E28&gt;0,ROUND(+C13*E$31,0)," ")</f>
        <v xml:space="preserve"> </v>
      </c>
      <c r="F13" s="307" t="str">
        <f>IF(inputPrYr!E28&gt;0,ROUND(+C13*F$32,0)," ")</f>
        <v xml:space="preserve"> </v>
      </c>
      <c r="G13" s="502"/>
    </row>
    <row r="14" spans="1:7" x14ac:dyDescent="0.2">
      <c r="A14" s="86"/>
      <c r="B14" s="126" t="str">
        <f>IF(inputPrYr!$B29&gt;"  ",(inputPrYr!$B29),"  ")</f>
        <v xml:space="preserve">  </v>
      </c>
      <c r="C14" s="307" t="str">
        <f>IF(inputPrYr!$E29&gt;0,(inputPrYr!$E29),"  ")</f>
        <v xml:space="preserve">  </v>
      </c>
      <c r="D14" s="307" t="str">
        <f>IF(inputPrYr!E29&gt;0,ROUND(C14*$D$30,0),"  ")</f>
        <v xml:space="preserve">  </v>
      </c>
      <c r="E14" s="307" t="str">
        <f>IF(inputPrYr!E29&gt;0,ROUND(+C14*E$31,0)," ")</f>
        <v xml:space="preserve"> </v>
      </c>
      <c r="F14" s="307" t="str">
        <f>IF(inputPrYr!E29&gt;0,ROUND(+C14*F$32,0)," ")</f>
        <v xml:space="preserve"> </v>
      </c>
      <c r="G14" s="502"/>
    </row>
    <row r="15" spans="1:7" x14ac:dyDescent="0.2">
      <c r="A15" s="86"/>
      <c r="B15" s="126" t="str">
        <f>IF(inputPrYr!$B30&gt;"  ",(inputPrYr!$B30),"  ")</f>
        <v xml:space="preserve">  </v>
      </c>
      <c r="C15" s="307" t="str">
        <f>IF(inputPrYr!$E30&gt;0,(inputPrYr!$E30),"  ")</f>
        <v xml:space="preserve">  </v>
      </c>
      <c r="D15" s="307" t="str">
        <f>IF(inputPrYr!E30&gt;0,ROUND(C15*$D$30,0),"  ")</f>
        <v xml:space="preserve">  </v>
      </c>
      <c r="E15" s="307" t="str">
        <f>IF(inputPrYr!E30&gt;0,ROUND(+C15*E$31,0)," ")</f>
        <v xml:space="preserve"> </v>
      </c>
      <c r="F15" s="307" t="str">
        <f>IF(inputPrYr!E30&gt;0,ROUND(+C15*F$32,0)," ")</f>
        <v xml:space="preserve"> </v>
      </c>
      <c r="G15" s="502"/>
    </row>
    <row r="16" spans="1:7" x14ac:dyDescent="0.2">
      <c r="A16" s="86"/>
      <c r="B16" s="126" t="str">
        <f>IF(inputPrYr!$B31&gt;"  ",(inputPrYr!$B31),"  ")</f>
        <v xml:space="preserve">  </v>
      </c>
      <c r="C16" s="307" t="str">
        <f>IF(inputPrYr!$E31&gt;0,(inputPrYr!$E31),"  ")</f>
        <v xml:space="preserve">  </v>
      </c>
      <c r="D16" s="307" t="str">
        <f>IF(inputPrYr!E31&gt;0,ROUND(C16*$D$30,0),"  ")</f>
        <v xml:space="preserve">  </v>
      </c>
      <c r="E16" s="307" t="str">
        <f>IF(inputPrYr!E31&gt;0,ROUND(+C16*E$31,0)," ")</f>
        <v xml:space="preserve"> </v>
      </c>
      <c r="F16" s="307" t="str">
        <f>IF(inputPrYr!E31&gt;0,ROUND(+C16*F$32,0)," ")</f>
        <v xml:space="preserve"> </v>
      </c>
      <c r="G16" s="502"/>
    </row>
    <row r="17" spans="1:7" x14ac:dyDescent="0.2">
      <c r="A17" s="86"/>
      <c r="B17" s="126" t="str">
        <f>IF(inputPrYr!$B32&gt;"  ",(inputPrYr!$B32),"  ")</f>
        <v xml:space="preserve">  </v>
      </c>
      <c r="C17" s="307" t="str">
        <f>IF(inputPrYr!$E32&gt;0,(inputPrYr!$E32),"  ")</f>
        <v xml:space="preserve">  </v>
      </c>
      <c r="D17" s="307" t="str">
        <f>IF(inputPrYr!E32&gt;0,ROUND(C17*$D$30,0),"  ")</f>
        <v xml:space="preserve">  </v>
      </c>
      <c r="E17" s="307" t="str">
        <f>IF(inputPrYr!E32&gt;0,ROUND(+C17*E$31,0)," ")</f>
        <v xml:space="preserve"> </v>
      </c>
      <c r="F17" s="307" t="str">
        <f>IF(inputPrYr!E32&gt;0,ROUND(+C17*F$32,0)," ")</f>
        <v xml:space="preserve"> </v>
      </c>
      <c r="G17" s="502"/>
    </row>
    <row r="18" spans="1:7" x14ac:dyDescent="0.2">
      <c r="A18" s="86"/>
      <c r="B18" s="126" t="str">
        <f>IF(inputPrYr!$B33&gt;"  ",(inputPrYr!$B33),"  ")</f>
        <v xml:space="preserve">  </v>
      </c>
      <c r="C18" s="307" t="str">
        <f>IF(inputPrYr!$E33&gt;0,(inputPrYr!$E33),"  ")</f>
        <v xml:space="preserve">  </v>
      </c>
      <c r="D18" s="307" t="str">
        <f>IF(inputPrYr!E33&gt;0,ROUND(C18*$D$30,0),"  ")</f>
        <v xml:space="preserve">  </v>
      </c>
      <c r="E18" s="307" t="str">
        <f>IF(inputPrYr!E33&gt;0,ROUND(+C18*E$31,0)," ")</f>
        <v xml:space="preserve"> </v>
      </c>
      <c r="F18" s="307" t="str">
        <f>IF(inputPrYr!E33&gt;0,ROUND(+C18*F$32,0)," ")</f>
        <v xml:space="preserve"> </v>
      </c>
      <c r="G18" s="502"/>
    </row>
    <row r="19" spans="1:7" x14ac:dyDescent="0.2">
      <c r="A19" s="86"/>
      <c r="B19" s="126" t="str">
        <f>IF(inputPrYr!$B34&gt;"  ",(inputPrYr!$B34),"  ")</f>
        <v xml:space="preserve">  </v>
      </c>
      <c r="C19" s="307" t="str">
        <f>IF(inputPrYr!$E34&gt;0,(inputPrYr!$E34),"  ")</f>
        <v xml:space="preserve">  </v>
      </c>
      <c r="D19" s="307" t="str">
        <f>IF(inputPrYr!E34&gt;0,ROUND(C19*$D$30,0),"  ")</f>
        <v xml:space="preserve">  </v>
      </c>
      <c r="E19" s="307" t="str">
        <f>IF(inputPrYr!E34&gt;0,ROUND(+C19*E$31,0)," ")</f>
        <v xml:space="preserve"> </v>
      </c>
      <c r="F19" s="307" t="str">
        <f>IF(inputPrYr!E34&gt;0,ROUND(+C19*F$32,0)," ")</f>
        <v xml:space="preserve"> </v>
      </c>
      <c r="G19" s="502"/>
    </row>
    <row r="20" spans="1:7" x14ac:dyDescent="0.2">
      <c r="A20" s="86"/>
      <c r="B20" s="126" t="str">
        <f>IF(inputPrYr!B35&gt;"  ",(inputPrYr!B35),"  ")</f>
        <v xml:space="preserve">  </v>
      </c>
      <c r="C20" s="307" t="str">
        <f>IF(inputPrYr!E35&gt;0,(inputPrYr!E35),"  ")</f>
        <v xml:space="preserve">  </v>
      </c>
      <c r="D20" s="307" t="str">
        <f>IF(inputPrYr!E35&gt;0,ROUND(C20*$D$30,0),"  ")</f>
        <v xml:space="preserve">  </v>
      </c>
      <c r="E20" s="307" t="str">
        <f>IF(inputPrYr!E35&gt;0,ROUND(+C20*E$31,0)," ")</f>
        <v xml:space="preserve"> </v>
      </c>
      <c r="F20" s="307" t="str">
        <f>IF(inputPrYr!E35&gt;0,ROUND(+C20*F$32,0)," ")</f>
        <v xml:space="preserve"> </v>
      </c>
      <c r="G20" s="502"/>
    </row>
    <row r="21" spans="1:7" ht="16.5" thickBot="1" x14ac:dyDescent="0.25">
      <c r="A21" s="86"/>
      <c r="B21" s="86" t="s">
        <v>296</v>
      </c>
      <c r="C21" s="262">
        <f>SUM(C8:C20)</f>
        <v>713156</v>
      </c>
      <c r="D21" s="262">
        <f>SUM(D8:D20)</f>
        <v>94611</v>
      </c>
      <c r="E21" s="262">
        <f>SUM(E8:E20)</f>
        <v>2951</v>
      </c>
      <c r="F21" s="262">
        <f>SUM(F8:F20)</f>
        <v>776</v>
      </c>
      <c r="G21" s="86"/>
    </row>
    <row r="22" spans="1:7" ht="16.5" thickTop="1" x14ac:dyDescent="0.2">
      <c r="A22" s="86"/>
      <c r="B22" s="86"/>
      <c r="C22" s="116"/>
      <c r="D22" s="116"/>
      <c r="E22" s="116"/>
      <c r="F22" s="116"/>
      <c r="G22" s="86"/>
    </row>
    <row r="23" spans="1:7" x14ac:dyDescent="0.2">
      <c r="A23" s="86"/>
      <c r="B23" s="93" t="s">
        <v>297</v>
      </c>
      <c r="C23" s="263"/>
      <c r="D23" s="264">
        <f>(inputOth!C59)</f>
        <v>94611</v>
      </c>
      <c r="E23" s="263"/>
      <c r="F23" s="86"/>
      <c r="G23" s="86"/>
    </row>
    <row r="24" spans="1:7" x14ac:dyDescent="0.2">
      <c r="A24" s="86"/>
      <c r="B24" s="93"/>
      <c r="C24" s="263"/>
      <c r="D24" s="116"/>
      <c r="E24" s="263"/>
      <c r="F24" s="86"/>
      <c r="G24" s="86"/>
    </row>
    <row r="25" spans="1:7" x14ac:dyDescent="0.2">
      <c r="A25" s="86"/>
      <c r="B25" s="93" t="s">
        <v>298</v>
      </c>
      <c r="C25" s="86"/>
      <c r="D25" s="86"/>
      <c r="E25" s="264">
        <f>(inputOth!D59)</f>
        <v>2951</v>
      </c>
      <c r="F25" s="86"/>
      <c r="G25" s="86"/>
    </row>
    <row r="26" spans="1:7" x14ac:dyDescent="0.2">
      <c r="A26" s="86"/>
      <c r="B26" s="93"/>
      <c r="C26" s="86"/>
      <c r="D26" s="86"/>
      <c r="E26" s="116"/>
      <c r="F26" s="86"/>
      <c r="G26" s="86"/>
    </row>
    <row r="27" spans="1:7" x14ac:dyDescent="0.2">
      <c r="A27" s="86"/>
      <c r="B27" s="93" t="s">
        <v>12</v>
      </c>
      <c r="C27" s="86"/>
      <c r="D27" s="86"/>
      <c r="E27" s="86"/>
      <c r="F27" s="264">
        <f>inputOth!E59</f>
        <v>776</v>
      </c>
      <c r="G27" s="86"/>
    </row>
    <row r="28" spans="1:7" x14ac:dyDescent="0.2">
      <c r="A28" s="86"/>
      <c r="B28" s="93"/>
      <c r="C28" s="86"/>
      <c r="D28" s="86"/>
      <c r="E28" s="86"/>
      <c r="F28" s="116"/>
      <c r="G28" s="86"/>
    </row>
    <row r="29" spans="1:7" x14ac:dyDescent="0.2">
      <c r="A29" s="86"/>
      <c r="B29" s="93"/>
      <c r="C29" s="86"/>
      <c r="D29" s="86"/>
      <c r="E29" s="86"/>
      <c r="F29" s="116"/>
      <c r="G29" s="265"/>
    </row>
    <row r="30" spans="1:7" x14ac:dyDescent="0.2">
      <c r="A30" s="86"/>
      <c r="B30" s="93" t="s">
        <v>299</v>
      </c>
      <c r="C30" s="86"/>
      <c r="D30" s="266">
        <f>IF(C21=0,0,D23/C21)</f>
        <v>0.13266522331719849</v>
      </c>
      <c r="E30" s="86"/>
      <c r="F30" s="86"/>
      <c r="G30" s="86"/>
    </row>
    <row r="31" spans="1:7" x14ac:dyDescent="0.2">
      <c r="A31" s="86"/>
      <c r="B31" s="86"/>
      <c r="C31" s="93" t="s">
        <v>300</v>
      </c>
      <c r="D31" s="86"/>
      <c r="E31" s="266">
        <f>IF(C21=0,0,E25/C21)</f>
        <v>4.1379445731368732E-3</v>
      </c>
      <c r="F31" s="86"/>
      <c r="G31" s="86"/>
    </row>
    <row r="32" spans="1:7" x14ac:dyDescent="0.2">
      <c r="A32" s="86"/>
      <c r="B32" s="86"/>
      <c r="C32" s="86"/>
      <c r="D32" s="93" t="s">
        <v>13</v>
      </c>
      <c r="E32" s="86"/>
      <c r="F32" s="266">
        <f>IF(C21=0,0,F27/C21)</f>
        <v>1.08812097212952E-3</v>
      </c>
      <c r="G32" s="86"/>
    </row>
    <row r="33" spans="1:7" x14ac:dyDescent="0.2">
      <c r="A33" s="86"/>
      <c r="B33" s="109"/>
      <c r="C33" s="109"/>
      <c r="D33" s="109"/>
      <c r="E33" s="109"/>
      <c r="F33" s="109"/>
      <c r="G33" s="109"/>
    </row>
    <row r="34" spans="1:7" ht="15" customHeight="1" x14ac:dyDescent="0.2">
      <c r="A34" s="86"/>
      <c r="B34" s="109"/>
      <c r="C34" s="109"/>
      <c r="D34" s="109"/>
      <c r="E34" s="109"/>
      <c r="F34" s="109"/>
      <c r="G34" s="109"/>
    </row>
    <row r="35" spans="1:7" s="267" customFormat="1" ht="15" customHeight="1" x14ac:dyDescent="0.2">
      <c r="B35" s="146"/>
      <c r="C35" s="146"/>
      <c r="D35" s="146"/>
      <c r="E35" s="146"/>
      <c r="F35" s="146"/>
      <c r="G35" s="146"/>
    </row>
    <row r="36" spans="1:7" ht="15" customHeight="1" x14ac:dyDescent="0.2">
      <c r="B36" s="146"/>
      <c r="C36" s="146"/>
      <c r="D36" s="146"/>
      <c r="E36" s="146"/>
      <c r="F36" s="146"/>
      <c r="G36" s="146"/>
    </row>
    <row r="37" spans="1:7" ht="15" customHeight="1" x14ac:dyDescent="0.2">
      <c r="B37" s="146"/>
      <c r="C37" s="146"/>
      <c r="D37" s="146"/>
      <c r="E37" s="146"/>
      <c r="F37" s="146"/>
      <c r="G37" s="146"/>
    </row>
    <row r="38" spans="1:7" ht="15" customHeight="1" x14ac:dyDescent="0.2">
      <c r="B38" s="146"/>
      <c r="C38" s="146"/>
      <c r="D38" s="146"/>
      <c r="E38" s="146"/>
      <c r="F38" s="146"/>
      <c r="G38" s="146"/>
    </row>
    <row r="39" spans="1:7" ht="15" customHeight="1" x14ac:dyDescent="0.2">
      <c r="B39" s="146"/>
      <c r="C39" s="146"/>
      <c r="D39" s="146"/>
      <c r="E39" s="146"/>
      <c r="F39" s="146"/>
      <c r="G39" s="146"/>
    </row>
    <row r="40" spans="1:7" ht="15" customHeight="1" x14ac:dyDescent="0.2">
      <c r="B40" s="146"/>
      <c r="C40" s="146"/>
      <c r="D40" s="146"/>
      <c r="E40" s="146"/>
      <c r="F40" s="146"/>
      <c r="G40" s="146"/>
    </row>
    <row r="41" spans="1:7" ht="15" customHeight="1" x14ac:dyDescent="0.2">
      <c r="B41" s="146"/>
      <c r="C41" s="146"/>
      <c r="D41" s="146"/>
      <c r="E41" s="146"/>
      <c r="F41" s="146"/>
      <c r="G41" s="146"/>
    </row>
    <row r="42" spans="1:7" ht="15" customHeight="1" x14ac:dyDescent="0.2">
      <c r="B42" s="146"/>
      <c r="C42" s="146"/>
      <c r="D42" s="146"/>
      <c r="E42" s="146"/>
      <c r="F42" s="146"/>
      <c r="G42" s="146"/>
    </row>
    <row r="43" spans="1:7" ht="15" customHeight="1" x14ac:dyDescent="0.2">
      <c r="B43" s="146"/>
      <c r="C43" s="146"/>
      <c r="D43" s="146"/>
      <c r="E43" s="146"/>
      <c r="F43" s="146"/>
      <c r="G43" s="146"/>
    </row>
    <row r="44" spans="1:7" ht="15" customHeight="1" x14ac:dyDescent="0.2">
      <c r="B44" s="146"/>
      <c r="C44" s="146"/>
      <c r="D44" s="146"/>
      <c r="E44" s="146"/>
      <c r="F44" s="146"/>
      <c r="G44" s="146"/>
    </row>
    <row r="45" spans="1:7" ht="15" customHeight="1" x14ac:dyDescent="0.2">
      <c r="B45" s="146"/>
      <c r="C45" s="146"/>
      <c r="D45" s="146"/>
      <c r="E45" s="146"/>
      <c r="F45" s="146"/>
      <c r="G45" s="146"/>
    </row>
    <row r="46" spans="1:7" ht="15" customHeight="1" x14ac:dyDescent="0.2">
      <c r="B46" s="146"/>
      <c r="C46" s="146"/>
      <c r="D46" s="146"/>
      <c r="E46" s="146"/>
      <c r="F46" s="146"/>
      <c r="G46" s="146"/>
    </row>
    <row r="47" spans="1:7" ht="15" customHeight="1" x14ac:dyDescent="0.2">
      <c r="B47" s="146"/>
      <c r="C47" s="146"/>
      <c r="D47" s="146"/>
      <c r="E47" s="146"/>
      <c r="F47" s="146"/>
      <c r="G47" s="146"/>
    </row>
    <row r="48" spans="1:7" ht="15" customHeight="1" x14ac:dyDescent="0.2">
      <c r="B48" s="146"/>
      <c r="C48" s="146"/>
      <c r="D48" s="146"/>
      <c r="E48" s="146"/>
      <c r="F48" s="146"/>
      <c r="G48" s="146"/>
    </row>
    <row r="49" spans="2:7" ht="15" customHeight="1" x14ac:dyDescent="0.2">
      <c r="B49" s="146"/>
      <c r="C49" s="146"/>
      <c r="D49" s="146"/>
      <c r="E49" s="146"/>
      <c r="F49" s="146"/>
      <c r="G49" s="146"/>
    </row>
    <row r="50" spans="2:7" x14ac:dyDescent="0.2">
      <c r="B50" s="146"/>
      <c r="C50" s="146"/>
      <c r="D50" s="146"/>
      <c r="E50" s="146"/>
      <c r="F50" s="146"/>
      <c r="G50" s="146"/>
    </row>
    <row r="51" spans="2:7" x14ac:dyDescent="0.2">
      <c r="B51" s="146"/>
      <c r="C51" s="146"/>
      <c r="D51" s="146"/>
      <c r="E51" s="146"/>
      <c r="F51" s="146"/>
      <c r="G51" s="146"/>
    </row>
    <row r="52" spans="2:7" x14ac:dyDescent="0.2">
      <c r="B52" s="146"/>
      <c r="C52" s="146"/>
      <c r="D52" s="146"/>
      <c r="E52" s="146"/>
      <c r="F52" s="146"/>
      <c r="G52" s="146"/>
    </row>
    <row r="53" spans="2:7" x14ac:dyDescent="0.2">
      <c r="B53" s="146"/>
      <c r="C53" s="146"/>
      <c r="D53" s="146"/>
      <c r="E53" s="146"/>
      <c r="F53" s="146"/>
      <c r="G53" s="146"/>
    </row>
    <row r="54" spans="2:7" x14ac:dyDescent="0.2">
      <c r="B54" s="146"/>
      <c r="C54" s="146"/>
      <c r="D54" s="146"/>
      <c r="E54" s="146"/>
      <c r="F54" s="146"/>
      <c r="G54" s="146"/>
    </row>
    <row r="55" spans="2:7" x14ac:dyDescent="0.2">
      <c r="B55" s="146"/>
      <c r="C55" s="146"/>
      <c r="D55" s="146"/>
      <c r="E55" s="146"/>
      <c r="F55" s="146"/>
      <c r="G55" s="146"/>
    </row>
    <row r="56" spans="2:7" x14ac:dyDescent="0.2">
      <c r="B56" s="146"/>
      <c r="C56" s="146"/>
      <c r="D56" s="146"/>
      <c r="E56" s="146"/>
      <c r="F56" s="146"/>
      <c r="G56" s="146"/>
    </row>
    <row r="57" spans="2:7" x14ac:dyDescent="0.2">
      <c r="B57" s="146"/>
      <c r="C57" s="146"/>
      <c r="D57" s="146"/>
      <c r="E57" s="146"/>
      <c r="F57" s="146"/>
      <c r="G57" s="146"/>
    </row>
  </sheetData>
  <sheetProtection sheet="1"/>
  <mergeCells count="2">
    <mergeCell ref="D6:F6"/>
    <mergeCell ref="B4:F4"/>
  </mergeCells>
  <phoneticPr fontId="0" type="noConversion"/>
  <pageMargins left="0.5" right="0.5" top="0.5" bottom="0.25" header="0" footer="0.25"/>
  <pageSetup scale="89" orientation="portrait" blackAndWhite="1" horizontalDpi="120" verticalDpi="144" r:id="rId1"/>
  <headerFooter alignWithMargins="0">
    <oddHeader>&amp;RState of KansasCity</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0" sqref="C20"/>
    </sheetView>
  </sheetViews>
  <sheetFormatPr defaultRowHeight="15.75" x14ac:dyDescent="0.2"/>
  <cols>
    <col min="1" max="2" width="17.77734375" style="69" customWidth="1"/>
    <col min="3" max="6" width="12.77734375" style="69" customWidth="1"/>
    <col min="7" max="16384" width="8.88671875" style="69"/>
  </cols>
  <sheetData>
    <row r="1" spans="1:6" x14ac:dyDescent="0.2">
      <c r="A1" s="147" t="str">
        <f>inputPrYr!D3</f>
        <v>City of Herington</v>
      </c>
      <c r="B1" s="147"/>
      <c r="C1" s="148"/>
      <c r="D1" s="148"/>
      <c r="E1" s="148"/>
      <c r="F1" s="148">
        <f>inputPrYr!$C$10</f>
        <v>2013</v>
      </c>
    </row>
    <row r="2" spans="1:6" x14ac:dyDescent="0.2">
      <c r="A2" s="148"/>
      <c r="B2" s="148"/>
      <c r="C2" s="148"/>
      <c r="D2" s="148"/>
      <c r="E2" s="148"/>
      <c r="F2" s="148"/>
    </row>
    <row r="3" spans="1:6" x14ac:dyDescent="0.2">
      <c r="A3" s="901" t="s">
        <v>65</v>
      </c>
      <c r="B3" s="901"/>
      <c r="C3" s="901"/>
      <c r="D3" s="901"/>
      <c r="E3" s="901"/>
      <c r="F3" s="901"/>
    </row>
    <row r="4" spans="1:6" x14ac:dyDescent="0.2">
      <c r="A4" s="268"/>
      <c r="B4" s="268"/>
      <c r="C4" s="268"/>
      <c r="D4" s="268"/>
      <c r="E4" s="268"/>
      <c r="F4" s="268"/>
    </row>
    <row r="5" spans="1:6" x14ac:dyDescent="0.2">
      <c r="A5" s="269" t="s">
        <v>670</v>
      </c>
      <c r="B5" s="269" t="s">
        <v>671</v>
      </c>
      <c r="C5" s="269" t="s">
        <v>324</v>
      </c>
      <c r="D5" s="269" t="s">
        <v>79</v>
      </c>
      <c r="E5" s="269" t="s">
        <v>80</v>
      </c>
      <c r="F5" s="269" t="s">
        <v>114</v>
      </c>
    </row>
    <row r="6" spans="1:6" x14ac:dyDescent="0.2">
      <c r="A6" s="270" t="s">
        <v>672</v>
      </c>
      <c r="B6" s="270" t="s">
        <v>673</v>
      </c>
      <c r="C6" s="270" t="s">
        <v>115</v>
      </c>
      <c r="D6" s="270" t="s">
        <v>115</v>
      </c>
      <c r="E6" s="270" t="s">
        <v>115</v>
      </c>
      <c r="F6" s="270" t="s">
        <v>116</v>
      </c>
    </row>
    <row r="7" spans="1:6" ht="15" customHeight="1" x14ac:dyDescent="0.2">
      <c r="A7" s="271" t="s">
        <v>117</v>
      </c>
      <c r="B7" s="271" t="s">
        <v>118</v>
      </c>
      <c r="C7" s="272">
        <f>F1-2</f>
        <v>2011</v>
      </c>
      <c r="D7" s="272">
        <f>F1-1</f>
        <v>2012</v>
      </c>
      <c r="E7" s="272">
        <f>F1</f>
        <v>2013</v>
      </c>
      <c r="F7" s="271" t="s">
        <v>119</v>
      </c>
    </row>
    <row r="8" spans="1:6" ht="14.25" customHeight="1" x14ac:dyDescent="0.2">
      <c r="A8" s="273" t="s">
        <v>1123</v>
      </c>
      <c r="B8" s="273" t="s">
        <v>1124</v>
      </c>
      <c r="C8" s="590">
        <v>175000</v>
      </c>
      <c r="D8" s="590">
        <v>75000</v>
      </c>
      <c r="E8" s="590">
        <v>75000</v>
      </c>
      <c r="F8" s="274" t="s">
        <v>1125</v>
      </c>
    </row>
    <row r="9" spans="1:6" ht="15" customHeight="1" x14ac:dyDescent="0.2">
      <c r="A9" s="275" t="s">
        <v>1126</v>
      </c>
      <c r="B9" s="275" t="s">
        <v>235</v>
      </c>
      <c r="C9" s="591">
        <v>30000</v>
      </c>
      <c r="D9" s="591">
        <v>30000</v>
      </c>
      <c r="E9" s="591">
        <v>20000</v>
      </c>
      <c r="F9" s="274" t="s">
        <v>1127</v>
      </c>
    </row>
    <row r="10" spans="1:6" ht="15" customHeight="1" x14ac:dyDescent="0.2">
      <c r="A10" s="275" t="s">
        <v>1123</v>
      </c>
      <c r="B10" s="275" t="s">
        <v>1128</v>
      </c>
      <c r="C10" s="591">
        <v>25000</v>
      </c>
      <c r="D10" s="591">
        <v>99150</v>
      </c>
      <c r="E10" s="591">
        <v>102925</v>
      </c>
      <c r="F10" s="274" t="s">
        <v>1125</v>
      </c>
    </row>
    <row r="11" spans="1:6" ht="15" customHeight="1" x14ac:dyDescent="0.2">
      <c r="A11" s="275" t="s">
        <v>1015</v>
      </c>
      <c r="B11" s="275" t="s">
        <v>235</v>
      </c>
      <c r="C11" s="591">
        <v>111278</v>
      </c>
      <c r="D11" s="591">
        <v>113175</v>
      </c>
      <c r="E11" s="591">
        <v>114000</v>
      </c>
      <c r="F11" s="274" t="s">
        <v>1129</v>
      </c>
    </row>
    <row r="12" spans="1:6" ht="15" customHeight="1" x14ac:dyDescent="0.2">
      <c r="A12" s="275" t="s">
        <v>1126</v>
      </c>
      <c r="B12" s="275" t="s">
        <v>1130</v>
      </c>
      <c r="C12" s="591">
        <v>17000</v>
      </c>
      <c r="D12" s="591">
        <v>0</v>
      </c>
      <c r="E12" s="591">
        <v>0</v>
      </c>
      <c r="F12" s="274" t="s">
        <v>1127</v>
      </c>
    </row>
    <row r="13" spans="1:6" ht="15" customHeight="1" x14ac:dyDescent="0.2">
      <c r="A13" s="275" t="s">
        <v>1124</v>
      </c>
      <c r="B13" s="275" t="s">
        <v>1071</v>
      </c>
      <c r="C13" s="591">
        <v>15000</v>
      </c>
      <c r="D13" s="591">
        <v>20000</v>
      </c>
      <c r="E13" s="591">
        <v>25000</v>
      </c>
      <c r="F13" s="274" t="s">
        <v>1131</v>
      </c>
    </row>
    <row r="14" spans="1:6" ht="15" customHeight="1" x14ac:dyDescent="0.2">
      <c r="A14" s="275" t="s">
        <v>1126</v>
      </c>
      <c r="B14" s="275" t="s">
        <v>1071</v>
      </c>
      <c r="C14" s="591">
        <v>10000</v>
      </c>
      <c r="D14" s="591">
        <v>10000</v>
      </c>
      <c r="E14" s="591">
        <v>10000</v>
      </c>
      <c r="F14" s="274" t="s">
        <v>1131</v>
      </c>
    </row>
    <row r="15" spans="1:6" ht="15" customHeight="1" x14ac:dyDescent="0.2">
      <c r="A15" s="275" t="s">
        <v>1132</v>
      </c>
      <c r="B15" s="275" t="s">
        <v>1071</v>
      </c>
      <c r="C15" s="591">
        <v>10000</v>
      </c>
      <c r="D15" s="591">
        <v>10000</v>
      </c>
      <c r="E15" s="591">
        <v>20000</v>
      </c>
      <c r="F15" s="274" t="s">
        <v>1131</v>
      </c>
    </row>
    <row r="16" spans="1:6" ht="15" customHeight="1" x14ac:dyDescent="0.2">
      <c r="A16" s="275" t="s">
        <v>1123</v>
      </c>
      <c r="B16" s="275" t="s">
        <v>1071</v>
      </c>
      <c r="C16" s="591">
        <v>80000</v>
      </c>
      <c r="D16" s="591">
        <v>70000</v>
      </c>
      <c r="E16" s="591">
        <v>60000</v>
      </c>
      <c r="F16" s="274" t="s">
        <v>1131</v>
      </c>
    </row>
    <row r="17" spans="1:6" ht="15" customHeight="1" x14ac:dyDescent="0.2">
      <c r="A17" s="275"/>
      <c r="B17" s="275"/>
      <c r="C17" s="591"/>
      <c r="D17" s="591"/>
      <c r="E17" s="591"/>
      <c r="F17" s="274"/>
    </row>
    <row r="18" spans="1:6" ht="15" customHeight="1" x14ac:dyDescent="0.2">
      <c r="A18" s="275"/>
      <c r="B18" s="275"/>
      <c r="C18" s="591"/>
      <c r="D18" s="591"/>
      <c r="E18" s="591"/>
      <c r="F18" s="274"/>
    </row>
    <row r="19" spans="1:6" ht="15" customHeight="1" x14ac:dyDescent="0.2">
      <c r="A19" s="275"/>
      <c r="B19" s="275"/>
      <c r="C19" s="591"/>
      <c r="D19" s="591"/>
      <c r="E19" s="591"/>
      <c r="F19" s="274"/>
    </row>
    <row r="20" spans="1:6" ht="15" customHeight="1" x14ac:dyDescent="0.2">
      <c r="A20" s="275"/>
      <c r="B20" s="275"/>
      <c r="C20" s="591"/>
      <c r="D20" s="591"/>
      <c r="E20" s="591"/>
      <c r="F20" s="274"/>
    </row>
    <row r="21" spans="1:6" ht="15" customHeight="1" x14ac:dyDescent="0.2">
      <c r="A21" s="275"/>
      <c r="B21" s="275"/>
      <c r="C21" s="591"/>
      <c r="D21" s="591"/>
      <c r="E21" s="591"/>
      <c r="F21" s="274"/>
    </row>
    <row r="22" spans="1:6" ht="15" customHeight="1" x14ac:dyDescent="0.2">
      <c r="A22" s="275"/>
      <c r="B22" s="275"/>
      <c r="C22" s="591"/>
      <c r="D22" s="591"/>
      <c r="E22" s="591"/>
      <c r="F22" s="274"/>
    </row>
    <row r="23" spans="1:6" ht="15" customHeight="1" x14ac:dyDescent="0.2">
      <c r="A23" s="275"/>
      <c r="B23" s="275"/>
      <c r="C23" s="591"/>
      <c r="D23" s="591"/>
      <c r="E23" s="591"/>
      <c r="F23" s="274"/>
    </row>
    <row r="24" spans="1:6" ht="15" customHeight="1" x14ac:dyDescent="0.2">
      <c r="A24" s="275"/>
      <c r="B24" s="275"/>
      <c r="C24" s="591"/>
      <c r="D24" s="591"/>
      <c r="E24" s="591"/>
      <c r="F24" s="274"/>
    </row>
    <row r="25" spans="1:6" ht="15" customHeight="1" x14ac:dyDescent="0.2">
      <c r="A25" s="275"/>
      <c r="B25" s="275"/>
      <c r="C25" s="591"/>
      <c r="D25" s="591"/>
      <c r="E25" s="591"/>
      <c r="F25" s="274"/>
    </row>
    <row r="26" spans="1:6" ht="15" customHeight="1" x14ac:dyDescent="0.2">
      <c r="A26" s="139"/>
      <c r="B26" s="276" t="s">
        <v>289</v>
      </c>
      <c r="C26" s="277">
        <f>SUM(C8:C25)</f>
        <v>473278</v>
      </c>
      <c r="D26" s="277">
        <f>SUM(D8:D25)</f>
        <v>427325</v>
      </c>
      <c r="E26" s="277">
        <f>SUM(E8:E25)</f>
        <v>426925</v>
      </c>
      <c r="F26" s="278"/>
    </row>
    <row r="27" spans="1:6" ht="15" customHeight="1" x14ac:dyDescent="0.2">
      <c r="A27" s="139"/>
      <c r="B27" s="279" t="s">
        <v>668</v>
      </c>
      <c r="C27" s="217"/>
      <c r="D27" s="280"/>
      <c r="E27" s="280"/>
      <c r="F27" s="278"/>
    </row>
    <row r="28" spans="1:6" ht="15" customHeight="1" x14ac:dyDescent="0.2">
      <c r="A28" s="139"/>
      <c r="B28" s="276" t="s">
        <v>120</v>
      </c>
      <c r="C28" s="277">
        <f>C26</f>
        <v>473278</v>
      </c>
      <c r="D28" s="277">
        <f>SUM(D26-D27)</f>
        <v>427325</v>
      </c>
      <c r="E28" s="277">
        <f>SUM(E26-E27)</f>
        <v>426925</v>
      </c>
      <c r="F28" s="278"/>
    </row>
    <row r="29" spans="1:6" ht="15" customHeight="1" x14ac:dyDescent="0.2">
      <c r="A29" s="139"/>
      <c r="B29" s="139"/>
      <c r="C29" s="139"/>
      <c r="D29" s="139"/>
      <c r="E29" s="139"/>
      <c r="F29" s="139"/>
    </row>
    <row r="30" spans="1:6" ht="15" customHeight="1" x14ac:dyDescent="0.2">
      <c r="A30" s="139"/>
      <c r="B30" s="139"/>
      <c r="C30" s="139"/>
      <c r="D30" s="139"/>
      <c r="E30" s="139"/>
      <c r="F30" s="139"/>
    </row>
    <row r="31" spans="1:6" ht="15" customHeight="1" x14ac:dyDescent="0.2">
      <c r="A31" s="440" t="s">
        <v>669</v>
      </c>
      <c r="B31" s="441" t="str">
        <f>CONCATENATE("Adjustments are required only if the transfer is being made in ",D7," and/or ",E7," from a non-budgeted fund.")</f>
        <v>Adjustments are required only if the transfer is being made in 2012 and/or 2013 from a non-budgeted fund.</v>
      </c>
      <c r="C31" s="139"/>
      <c r="D31" s="139"/>
      <c r="E31" s="139"/>
      <c r="F31" s="139"/>
    </row>
    <row r="32" spans="1:6" ht="15" customHeight="1" x14ac:dyDescent="0.2"/>
  </sheetData>
  <sheetProtection sheet="1" objects="1" scenarios="1"/>
  <mergeCells count="1">
    <mergeCell ref="A3:F3"/>
  </mergeCells>
  <phoneticPr fontId="9" type="noConversion"/>
  <pageMargins left="0.75" right="0.75" top="1" bottom="1" header="0.5" footer="0.5"/>
  <pageSetup orientation="landscape" blackAndWhite="1" r:id="rId1"/>
  <headerFooter alignWithMargins="0">
    <oddHeader>&amp;RState of KansasCity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sqref="A1:IV65536"/>
    </sheetView>
  </sheetViews>
  <sheetFormatPr defaultRowHeight="15" x14ac:dyDescent="0.2"/>
  <cols>
    <col min="1" max="1" width="70.5546875" style="317" customWidth="1"/>
    <col min="2" max="16384" width="8.88671875" style="317"/>
  </cols>
  <sheetData>
    <row r="1" spans="1:1" ht="18.75" x14ac:dyDescent="0.2">
      <c r="A1" s="686" t="s">
        <v>399</v>
      </c>
    </row>
    <row r="2" spans="1:1" ht="18.75" x14ac:dyDescent="0.2">
      <c r="A2" s="686"/>
    </row>
    <row r="3" spans="1:1" ht="18.75" x14ac:dyDescent="0.2">
      <c r="A3" s="686"/>
    </row>
    <row r="4" spans="1:1" ht="51.75" customHeight="1" x14ac:dyDescent="0.25">
      <c r="A4" s="687" t="s">
        <v>687</v>
      </c>
    </row>
    <row r="5" spans="1:1" ht="18.75" x14ac:dyDescent="0.2">
      <c r="A5" s="686"/>
    </row>
    <row r="6" spans="1:1" ht="15.75" x14ac:dyDescent="0.2">
      <c r="A6" s="318"/>
    </row>
    <row r="7" spans="1:1" ht="47.25" x14ac:dyDescent="0.2">
      <c r="A7" s="319" t="s">
        <v>400</v>
      </c>
    </row>
    <row r="8" spans="1:1" ht="15.75" x14ac:dyDescent="0.2">
      <c r="A8" s="318"/>
    </row>
    <row r="9" spans="1:1" ht="15.75" x14ac:dyDescent="0.2">
      <c r="A9" s="318"/>
    </row>
    <row r="10" spans="1:1" ht="63" x14ac:dyDescent="0.2">
      <c r="A10" s="319" t="s">
        <v>401</v>
      </c>
    </row>
    <row r="11" spans="1:1" ht="15.75" x14ac:dyDescent="0.2">
      <c r="A11" s="688"/>
    </row>
    <row r="12" spans="1:1" ht="15.75" x14ac:dyDescent="0.2">
      <c r="A12" s="318"/>
    </row>
    <row r="13" spans="1:1" ht="47.25" x14ac:dyDescent="0.2">
      <c r="A13" s="319" t="s">
        <v>402</v>
      </c>
    </row>
    <row r="14" spans="1:1" ht="15.75" x14ac:dyDescent="0.2">
      <c r="A14" s="688"/>
    </row>
    <row r="15" spans="1:1" ht="15.75" x14ac:dyDescent="0.2">
      <c r="A15" s="318"/>
    </row>
    <row r="16" spans="1:1" ht="47.25" x14ac:dyDescent="0.2">
      <c r="A16" s="319" t="s">
        <v>403</v>
      </c>
    </row>
    <row r="17" spans="1:1" ht="15.75" x14ac:dyDescent="0.2">
      <c r="A17" s="688"/>
    </row>
    <row r="18" spans="1:1" ht="15.75" x14ac:dyDescent="0.2">
      <c r="A18" s="688"/>
    </row>
    <row r="19" spans="1:1" ht="47.25" x14ac:dyDescent="0.2">
      <c r="A19" s="319" t="s">
        <v>404</v>
      </c>
    </row>
    <row r="20" spans="1:1" ht="15.75" x14ac:dyDescent="0.2">
      <c r="A20" s="688"/>
    </row>
    <row r="21" spans="1:1" ht="15.75" x14ac:dyDescent="0.2">
      <c r="A21" s="688"/>
    </row>
    <row r="22" spans="1:1" ht="47.25" x14ac:dyDescent="0.2">
      <c r="A22" s="319" t="s">
        <v>405</v>
      </c>
    </row>
    <row r="23" spans="1:1" ht="15.75" x14ac:dyDescent="0.2">
      <c r="A23" s="688"/>
    </row>
    <row r="24" spans="1:1" ht="15.75" x14ac:dyDescent="0.2">
      <c r="A24" s="688"/>
    </row>
    <row r="25" spans="1:1" ht="31.5" x14ac:dyDescent="0.2">
      <c r="A25" s="319" t="s">
        <v>406</v>
      </c>
    </row>
    <row r="26" spans="1:1" ht="15.75" x14ac:dyDescent="0.2">
      <c r="A26" s="318"/>
    </row>
    <row r="27" spans="1:1" ht="15.75" x14ac:dyDescent="0.2">
      <c r="A27" s="318"/>
    </row>
    <row r="28" spans="1:1" ht="60" x14ac:dyDescent="0.2">
      <c r="A28" s="689" t="s">
        <v>407</v>
      </c>
    </row>
    <row r="29" spans="1:1" x14ac:dyDescent="0.2">
      <c r="A29" s="690"/>
    </row>
    <row r="30" spans="1:1" x14ac:dyDescent="0.2">
      <c r="A30" s="690"/>
    </row>
    <row r="31" spans="1:1" ht="47.25" x14ac:dyDescent="0.2">
      <c r="A31" s="319" t="s">
        <v>408</v>
      </c>
    </row>
    <row r="32" spans="1:1" ht="15.75" x14ac:dyDescent="0.2">
      <c r="A32" s="318"/>
    </row>
    <row r="33" spans="1:1" ht="15.75" x14ac:dyDescent="0.2">
      <c r="A33" s="318"/>
    </row>
    <row r="34" spans="1:1" ht="66.75" customHeight="1" x14ac:dyDescent="0.25">
      <c r="A34" s="691" t="s">
        <v>688</v>
      </c>
    </row>
    <row r="35" spans="1:1" ht="15.75" x14ac:dyDescent="0.2">
      <c r="A35" s="318"/>
    </row>
    <row r="36" spans="1:1" ht="15.75" x14ac:dyDescent="0.2">
      <c r="A36" s="318"/>
    </row>
    <row r="37" spans="1:1" ht="63" x14ac:dyDescent="0.2">
      <c r="A37" s="692" t="s">
        <v>409</v>
      </c>
    </row>
    <row r="38" spans="1:1" ht="15.75" x14ac:dyDescent="0.2">
      <c r="A38" s="688"/>
    </row>
    <row r="39" spans="1:1" ht="15.75" x14ac:dyDescent="0.2">
      <c r="A39" s="318"/>
    </row>
    <row r="40" spans="1:1" ht="63" x14ac:dyDescent="0.2">
      <c r="A40" s="319" t="s">
        <v>410</v>
      </c>
    </row>
    <row r="41" spans="1:1" ht="15.75" x14ac:dyDescent="0.2">
      <c r="A41" s="688"/>
    </row>
    <row r="42" spans="1:1" ht="15.75" x14ac:dyDescent="0.2">
      <c r="A42" s="688"/>
    </row>
    <row r="43" spans="1:1" ht="82.5" customHeight="1" x14ac:dyDescent="0.25">
      <c r="A43" s="693" t="s">
        <v>689</v>
      </c>
    </row>
    <row r="44" spans="1:1" ht="15.75" x14ac:dyDescent="0.2">
      <c r="A44" s="688"/>
    </row>
    <row r="45" spans="1:1" ht="15.75" x14ac:dyDescent="0.2">
      <c r="A45" s="688"/>
    </row>
    <row r="46" spans="1:1" ht="69" customHeight="1" x14ac:dyDescent="0.25">
      <c r="A46" s="693" t="s">
        <v>690</v>
      </c>
    </row>
    <row r="47" spans="1:1" ht="15.75" x14ac:dyDescent="0.2">
      <c r="A47" s="688"/>
    </row>
    <row r="48" spans="1:1" ht="15.75" x14ac:dyDescent="0.2">
      <c r="A48" s="688"/>
    </row>
    <row r="49" spans="1:1" ht="69" customHeight="1" x14ac:dyDescent="0.25">
      <c r="A49" s="693" t="s">
        <v>691</v>
      </c>
    </row>
    <row r="50" spans="1:1" ht="15.75" x14ac:dyDescent="0.2">
      <c r="A50" s="688"/>
    </row>
    <row r="51" spans="1:1" ht="15.75" x14ac:dyDescent="0.2">
      <c r="A51" s="688"/>
    </row>
    <row r="52" spans="1:1" ht="54.75" customHeight="1" x14ac:dyDescent="0.25">
      <c r="A52" s="693" t="s">
        <v>916</v>
      </c>
    </row>
    <row r="53" spans="1:1" ht="15.75" x14ac:dyDescent="0.2">
      <c r="A53" s="688"/>
    </row>
    <row r="54" spans="1:1" ht="15.75" x14ac:dyDescent="0.2">
      <c r="A54" s="688"/>
    </row>
    <row r="55" spans="1:1" ht="63" x14ac:dyDescent="0.2">
      <c r="A55" s="319" t="s">
        <v>411</v>
      </c>
    </row>
    <row r="56" spans="1:1" ht="15.75" x14ac:dyDescent="0.2">
      <c r="A56" s="688"/>
    </row>
    <row r="57" spans="1:1" ht="15.75" x14ac:dyDescent="0.2">
      <c r="A57" s="688"/>
    </row>
    <row r="58" spans="1:1" ht="63" x14ac:dyDescent="0.2">
      <c r="A58" s="319" t="s">
        <v>412</v>
      </c>
    </row>
    <row r="59" spans="1:1" ht="15.75" x14ac:dyDescent="0.2">
      <c r="A59" s="688"/>
    </row>
    <row r="60" spans="1:1" ht="15.75" x14ac:dyDescent="0.2">
      <c r="A60" s="688"/>
    </row>
    <row r="61" spans="1:1" ht="47.25" x14ac:dyDescent="0.2">
      <c r="A61" s="319" t="s">
        <v>413</v>
      </c>
    </row>
    <row r="62" spans="1:1" ht="15.75" x14ac:dyDescent="0.2">
      <c r="A62" s="688"/>
    </row>
    <row r="63" spans="1:1" ht="15.75" x14ac:dyDescent="0.2">
      <c r="A63" s="688"/>
    </row>
    <row r="64" spans="1:1" ht="47.25" x14ac:dyDescent="0.2">
      <c r="A64" s="319" t="s">
        <v>414</v>
      </c>
    </row>
    <row r="65" spans="1:1" ht="15.75" x14ac:dyDescent="0.2">
      <c r="A65" s="688"/>
    </row>
    <row r="66" spans="1:1" ht="15.75" x14ac:dyDescent="0.2">
      <c r="A66" s="688"/>
    </row>
    <row r="67" spans="1:1" ht="78.75" x14ac:dyDescent="0.2">
      <c r="A67" s="319" t="s">
        <v>415</v>
      </c>
    </row>
    <row r="68" spans="1:1" x14ac:dyDescent="0.2">
      <c r="A68" s="694"/>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13</vt:i4>
      </vt:variant>
    </vt:vector>
  </HeadingPairs>
  <TitlesOfParts>
    <vt:vector size="6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levy page9</vt:lpstr>
      <vt:lpstr>levy page10</vt:lpstr>
      <vt:lpstr>levy page11</vt:lpstr>
      <vt:lpstr>levy page12</vt:lpstr>
      <vt:lpstr>levy page13</vt:lpstr>
      <vt:lpstr>Sp Hiway</vt:lpstr>
      <vt:lpstr>no levy page15</vt:lpstr>
      <vt:lpstr>no levy page16</vt:lpstr>
      <vt:lpstr>no levy page17</vt:lpstr>
      <vt:lpstr>no levy page18</vt:lpstr>
      <vt:lpstr>no levy page19</vt:lpstr>
      <vt:lpstr>no levy page20</vt:lpstr>
      <vt:lpstr>no levy page21</vt:lpstr>
      <vt:lpstr>SinNoLevy22</vt:lpstr>
      <vt:lpstr>Light detail</vt:lpstr>
      <vt:lpstr>SinNoLevy23</vt:lpstr>
      <vt:lpstr>Water detail</vt:lpstr>
      <vt:lpstr>SinNoLevy24</vt:lpstr>
      <vt:lpstr>SinNoLevy25</vt:lpstr>
      <vt:lpstr>NonBudA</vt:lpstr>
      <vt:lpstr>NonBudB</vt:lpstr>
      <vt:lpstr>NonBudC</vt:lpstr>
      <vt:lpstr>NonBudD</vt:lpstr>
      <vt:lpstr>NonBudFunds</vt:lpstr>
      <vt:lpstr>summ</vt:lpstr>
      <vt:lpstr>Pub Notice</vt:lpstr>
      <vt:lpstr>Sign Cert</vt:lpstr>
      <vt:lpstr>Sign Res</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'levy page10'!Print_Area</vt:lpstr>
      <vt:lpstr>'levy page11'!Print_Area</vt:lpstr>
      <vt:lpstr>'levy page12'!Print_Area</vt:lpstr>
      <vt:lpstr>'levy page13'!Print_Area</vt:lpstr>
      <vt:lpstr>'levy page9'!Print_Area</vt:lpstr>
      <vt:lpstr>'Library Grant '!Print_Area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JLivingston</cp:lastModifiedBy>
  <cp:lastPrinted>2012-08-21T23:05:44Z</cp:lastPrinted>
  <dcterms:created xsi:type="dcterms:W3CDTF">1999-08-03T13:11:47Z</dcterms:created>
  <dcterms:modified xsi:type="dcterms:W3CDTF">2012-12-03T21:02:29Z</dcterms:modified>
</cp:coreProperties>
</file>