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320" tabRatio="90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DebtSvs-library" sheetId="14" r:id="rId14"/>
    <sheet name="GenDetail" sheetId="15" r:id="rId15"/>
    <sheet name="Sp Hiway" sheetId="16" r:id="rId16"/>
    <sheet name="Amb-WatUtil" sheetId="17" r:id="rId17"/>
    <sheet name="SewerUtil" sheetId="18" r:id="rId18"/>
    <sheet name="CapImprov" sheetId="19" r:id="rId19"/>
    <sheet name="NonBudFunds" sheetId="20" r:id="rId20"/>
    <sheet name="summ" sheetId="21" r:id="rId21"/>
    <sheet name="ordinance" sheetId="22" r:id="rId22"/>
    <sheet name="nhood"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externalReferences>
    <externalReference r:id="rId34"/>
  </externalReferences>
  <definedNames>
    <definedName name="_xlnm.Print_Area" localSheetId="13">'DebtSvs-library'!$B$1:$E$81</definedName>
    <definedName name="_xlnm.Print_Area" localSheetId="12">'general'!$B$1:$E$120</definedName>
    <definedName name="_xlnm.Print_Area" localSheetId="1">'inputPrYr'!$A$1:$E$125</definedName>
    <definedName name="_xlnm.Print_Area" localSheetId="11">'Library Grant'!$A$1:$J$40</definedName>
    <definedName name="_xlnm.Print_Area" localSheetId="10">'lpform'!$B$1:$I$38</definedName>
    <definedName name="_xlnm.Print_Area" localSheetId="28">'Mill Rate Computation'!#REF!</definedName>
    <definedName name="_xlnm.Print_Area" localSheetId="20">'summ'!$A$1:$H$45</definedName>
  </definedNames>
  <calcPr fullCalcOnLoad="1"/>
</workbook>
</file>

<file path=xl/sharedStrings.xml><?xml version="1.0" encoding="utf-8"?>
<sst xmlns="http://schemas.openxmlformats.org/spreadsheetml/2006/main" count="1656" uniqueCount="1079">
  <si>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</si>
  <si>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</si>
  <si>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</si>
  <si>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</si>
  <si>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</si>
  <si>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</si>
  <si>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7. Added four single pages for no tax levy fund page.</t>
  </si>
  <si>
    <t xml:space="preserve">Cities can use the city.xls, city1.xls, city2.xls, city3.xls or city4.xls files.   You must choose a form that meets the needs for the number of funds.  If you don't need all the funds, just leave the pages blank and number the completed pages sequentially. </t>
  </si>
  <si>
    <t>Allocation of Motor, Recreational, 16/20M Vehicle Tax &amp; Slider</t>
  </si>
  <si>
    <t>Funds</t>
  </si>
  <si>
    <t>Budget Authority</t>
  </si>
  <si>
    <t xml:space="preserve">expenditure amounts should reflect the amended </t>
  </si>
  <si>
    <t>expenditure amounts.</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</si>
  <si>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</si>
  <si>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</si>
  <si>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</si>
  <si>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</si>
  <si>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</si>
  <si>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</si>
  <si>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Enter City Name (City of)</t>
  </si>
  <si>
    <t>Enter County Name followed by "County"</t>
  </si>
  <si>
    <t>Cash Balance Jan 1</t>
  </si>
  <si>
    <t>***If you are merely leasing/renting with no intent to purchase, do not list--such transactions are not lease-purchases.</t>
  </si>
  <si>
    <t>Employee Benefits</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</si>
  <si>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</si>
  <si>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</si>
  <si>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</si>
  <si>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</si>
  <si>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</si>
  <si>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</si>
  <si>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</si>
  <si>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</si>
  <si>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</si>
  <si>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</si>
  <si>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</si>
  <si>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</si>
  <si>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</si>
  <si>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</si>
  <si>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</si>
  <si>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</si>
  <si>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</si>
  <si>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</si>
  <si>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</si>
  <si>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</si>
  <si>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</si>
  <si>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</si>
  <si>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Debt Service</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</si>
  <si>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</si>
  <si>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</si>
  <si>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</si>
  <si>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</si>
  <si>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</si>
  <si>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</si>
  <si>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</si>
  <si>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</si>
  <si>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</si>
  <si>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</si>
  <si>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</si>
  <si>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</si>
  <si>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</si>
  <si>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</si>
  <si>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</si>
  <si>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</si>
  <si>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</si>
  <si>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</si>
  <si>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</si>
  <si>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</si>
  <si>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</si>
  <si>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</si>
  <si>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</si>
  <si>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</si>
  <si>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</si>
  <si>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</si>
  <si>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</si>
  <si>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</si>
  <si>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</si>
  <si>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</si>
  <si>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</si>
  <si>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</si>
  <si>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</si>
  <si>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</si>
  <si>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</si>
  <si>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</si>
  <si>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</si>
  <si>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</si>
  <si>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</si>
  <si>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</si>
  <si>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</si>
  <si>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</si>
  <si>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</si>
  <si>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</si>
  <si>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</si>
  <si>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</si>
  <si>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</si>
  <si>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</si>
  <si>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</si>
  <si>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</si>
  <si>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</si>
  <si>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</si>
  <si>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</si>
  <si>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</si>
  <si>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</si>
  <si>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</si>
  <si>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</si>
  <si>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</si>
  <si>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</si>
  <si>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</si>
  <si>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</si>
  <si>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</si>
  <si>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</si>
  <si>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</si>
  <si>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</si>
  <si>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</si>
  <si>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</si>
  <si>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</si>
  <si>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</si>
  <si>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</si>
  <si>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</si>
  <si>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</si>
  <si>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</si>
  <si>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</si>
  <si>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</si>
  <si>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</si>
  <si>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</si>
  <si>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</si>
  <si>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</si>
  <si>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</si>
  <si>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</si>
  <si>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</si>
  <si>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</si>
  <si>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</si>
  <si>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</si>
  <si>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</si>
  <si>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</si>
  <si>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</si>
  <si>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</si>
  <si>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</si>
  <si>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</si>
  <si>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</si>
  <si>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</si>
  <si>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</si>
  <si>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</si>
  <si>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</si>
  <si>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</si>
  <si>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</si>
  <si>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</si>
  <si>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</si>
  <si>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</si>
  <si>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</si>
  <si>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</si>
  <si>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</si>
  <si>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</si>
  <si>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</si>
  <si>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</si>
  <si>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</si>
  <si>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</si>
  <si>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</si>
  <si>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</si>
  <si>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</si>
  <si>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</si>
  <si>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</si>
  <si>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</si>
  <si>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</si>
  <si>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</si>
  <si>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</si>
  <si>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</si>
  <si>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</si>
  <si>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</si>
  <si>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</si>
  <si>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</si>
  <si>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</si>
  <si>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</si>
  <si>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</si>
  <si>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</si>
  <si>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</si>
  <si>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</si>
  <si>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</si>
  <si>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</si>
  <si>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</si>
  <si>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</si>
  <si>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</si>
  <si>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</si>
  <si>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</si>
  <si>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</si>
  <si>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</si>
  <si>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</si>
  <si>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</si>
  <si>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</si>
  <si>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</si>
  <si>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</si>
  <si>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</si>
  <si>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</si>
  <si>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</si>
  <si>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</si>
  <si>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</si>
  <si>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</si>
  <si>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</si>
  <si>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</si>
  <si>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</si>
  <si>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</si>
  <si>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</si>
  <si>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</si>
  <si>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</si>
  <si>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</si>
  <si>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</si>
  <si>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</si>
  <si>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</si>
  <si>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</si>
  <si>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</si>
  <si>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</si>
  <si>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</si>
  <si>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</si>
  <si>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</si>
  <si>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</si>
  <si>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</si>
  <si>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</si>
  <si>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</si>
  <si>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</si>
  <si>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</si>
  <si>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</si>
  <si>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</si>
  <si>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</si>
  <si>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</si>
  <si>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</si>
  <si>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</si>
  <si>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</si>
  <si>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</si>
  <si>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</si>
  <si>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</si>
  <si>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</si>
  <si>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</si>
  <si>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</si>
  <si>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</si>
  <si>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</si>
  <si>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</si>
  <si>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</si>
  <si>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</si>
  <si>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</si>
  <si>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</si>
  <si>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</si>
  <si>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</si>
  <si>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ATTEST: /s/ _________________</t>
  </si>
  <si>
    <t>City Clerk</t>
  </si>
  <si>
    <t>(SEAL)</t>
  </si>
  <si>
    <t>(Must be published and publication attached to budget)</t>
  </si>
  <si>
    <t xml:space="preserve">Mayor                    </t>
  </si>
  <si>
    <t>Current</t>
  </si>
  <si>
    <t>Proposed</t>
  </si>
  <si>
    <t>City 2 Spreadsheet Instructions</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</si>
  <si>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</si>
  <si>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</si>
  <si>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NON-BUDGETED FUNDS (A)</t>
  </si>
  <si>
    <t>(1) Fund Name:</t>
  </si>
  <si>
    <t>(2) Fund Name:</t>
  </si>
  <si>
    <t>(3) Fund Name:</t>
  </si>
  <si>
    <t>(4) Fund Name:</t>
  </si>
  <si>
    <t>(5) Fund Name:</t>
  </si>
  <si>
    <t xml:space="preserve">Unencumbered </t>
  </si>
  <si>
    <t>Cash Balance Dec 31</t>
  </si>
  <si>
    <t>Territory Added: (Current Year Only)</t>
  </si>
  <si>
    <t>Neighborhood Revitalization</t>
  </si>
  <si>
    <t>16\20 M Vehicle Tax</t>
  </si>
  <si>
    <t>LAVTR</t>
  </si>
  <si>
    <t>City and County Revenue Sharing</t>
  </si>
  <si>
    <t xml:space="preserve">   </t>
  </si>
  <si>
    <t>Enter year being budgeted (YYYY)</t>
  </si>
  <si>
    <t>10-113</t>
  </si>
  <si>
    <t xml:space="preserve">  G.O. Bonds</t>
  </si>
  <si>
    <t xml:space="preserve">  Revenue Bonds</t>
  </si>
  <si>
    <t xml:space="preserve">  Other</t>
  </si>
  <si>
    <t xml:space="preserve">  Lease Purchase Principal</t>
  </si>
  <si>
    <t>Other (non-tax levy) fund names:</t>
  </si>
  <si>
    <t xml:space="preserve">City Official Title: </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</si>
  <si>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</si>
  <si>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</si>
  <si>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</si>
  <si>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</si>
  <si>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</si>
  <si>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</si>
  <si>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</si>
  <si>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</si>
  <si>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</si>
  <si>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</si>
  <si>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</si>
  <si>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</si>
  <si>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</si>
  <si>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</si>
  <si>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</si>
  <si>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</si>
  <si>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Budgeted Fund</t>
  </si>
  <si>
    <t>adopt an ordinance to exceed this limit, publish the ordinance, and</t>
  </si>
  <si>
    <t>attach a copy of the published ordinance to this budget.</t>
  </si>
  <si>
    <t>Non-Budgeted Funds-A</t>
  </si>
  <si>
    <t>Estimate</t>
  </si>
  <si>
    <t xml:space="preserve">Section Two.  After careful public deliberations, the governing body has determined that </t>
  </si>
  <si>
    <t xml:space="preserve">in order to maintain the public services that are essential for the citizens of this city, it will be </t>
  </si>
  <si>
    <t>budget.</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</si>
  <si>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</si>
  <si>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</si>
  <si>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</si>
  <si>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</si>
  <si>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</si>
  <si>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</si>
  <si>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</si>
  <si>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</si>
  <si>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</si>
  <si>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</si>
  <si>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</si>
  <si>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</si>
  <si>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</si>
  <si>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</si>
  <si>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</si>
  <si>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</si>
  <si>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Read these instructions carefully.  If after reviewing them you still have questions, call Municipal Services at 785-296-2311 or e-mail : armunis@da.ks.gov</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</si>
  <si>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</si>
  <si>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</si>
  <si>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</si>
  <si>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</si>
  <si>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</si>
  <si>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</si>
  <si>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</si>
  <si>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</si>
  <si>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</si>
  <si>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</si>
  <si>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</si>
  <si>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</si>
  <si>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</si>
  <si>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</si>
  <si>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</si>
  <si>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</si>
  <si>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</si>
  <si>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</si>
  <si>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</si>
  <si>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</si>
  <si>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</si>
  <si>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</si>
  <si>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</si>
  <si>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</si>
  <si>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</si>
  <si>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</si>
  <si>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</si>
  <si>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</si>
  <si>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</si>
  <si>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</si>
  <si>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</si>
  <si>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</si>
  <si>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The following were changed to this spreadsheet on7/16/09</t>
  </si>
  <si>
    <t>1. Mvalloc tab, change table reference for each cell from 'D' to 'E'</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</si>
  <si>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</si>
  <si>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</si>
  <si>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</si>
  <si>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</si>
  <si>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</si>
  <si>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</si>
  <si>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</si>
  <si>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</si>
  <si>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</si>
  <si>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</si>
  <si>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</si>
  <si>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</si>
  <si>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</si>
  <si>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</si>
  <si>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</si>
  <si>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</si>
  <si>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</si>
  <si>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</si>
  <si>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</si>
  <si>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</si>
  <si>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</si>
  <si>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</si>
  <si>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</si>
  <si>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</si>
  <si>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</si>
  <si>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</si>
  <si>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</si>
  <si>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</si>
  <si>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</si>
  <si>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</si>
  <si>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</si>
  <si>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</si>
  <si>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</si>
  <si>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</si>
  <si>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</si>
  <si>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</si>
  <si>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</si>
  <si>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</si>
  <si>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</si>
  <si>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</si>
  <si>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</si>
  <si>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</si>
  <si>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</si>
  <si>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</si>
  <si>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</si>
  <si>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</si>
  <si>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</si>
  <si>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Page 1 - Total</t>
  </si>
  <si>
    <t>Page 1 -Total</t>
  </si>
  <si>
    <t>Page 2 -Total</t>
  </si>
  <si>
    <t xml:space="preserve">Grand Total </t>
  </si>
  <si>
    <t xml:space="preserve">           General Fund - Detail Page 1</t>
  </si>
  <si>
    <t xml:space="preserve">           General Fund - Detail Page 2</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</si>
  <si>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</si>
  <si>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</si>
  <si>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</si>
  <si>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</si>
  <si>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</si>
  <si>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</si>
  <si>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</si>
  <si>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</si>
  <si>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InputOth tab changed line A21 from Bond &amp; Interest to Debt Service</t>
  </si>
  <si>
    <t>10. Gen tab added eight additional detail lines and linked to the detail page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</si>
  <si>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</si>
  <si>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</si>
  <si>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</si>
  <si>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</si>
  <si>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</si>
  <si>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</si>
  <si>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</si>
  <si>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</si>
  <si>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</si>
  <si>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</si>
  <si>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The following were changed to this spreadsheet on 12/08/09</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</si>
  <si>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</si>
  <si>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</si>
  <si>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</si>
  <si>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</si>
  <si>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</si>
  <si>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</si>
  <si>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</si>
  <si>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</si>
  <si>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</si>
  <si>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</si>
  <si>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</si>
  <si>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</si>
  <si>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</si>
  <si>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</si>
  <si>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</si>
  <si>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</si>
  <si>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</si>
  <si>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</si>
  <si>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</si>
  <si>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</si>
  <si>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</si>
  <si>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</si>
  <si>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</si>
  <si>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</si>
  <si>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</si>
  <si>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</si>
  <si>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</si>
  <si>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</si>
  <si>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</si>
  <si>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</si>
  <si>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</si>
  <si>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</si>
  <si>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</si>
  <si>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</si>
  <si>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</si>
  <si>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</si>
  <si>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</si>
  <si>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</si>
  <si>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</si>
  <si>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</si>
  <si>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</si>
  <si>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</si>
  <si>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</si>
  <si>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</si>
  <si>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</si>
  <si>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</si>
  <si>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</si>
  <si>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</si>
  <si>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</si>
  <si>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</si>
  <si>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</si>
  <si>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</si>
  <si>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</si>
  <si>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</si>
  <si>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</si>
  <si>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</si>
  <si>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</si>
  <si>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</si>
  <si>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</si>
  <si>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</si>
  <si>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</si>
  <si>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</si>
  <si>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</si>
  <si>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</si>
  <si>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</si>
  <si>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</si>
  <si>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</si>
  <si>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</si>
  <si>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</si>
  <si>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</si>
  <si>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</si>
  <si>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</si>
  <si>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</si>
  <si>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</si>
  <si>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</si>
  <si>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</si>
  <si>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</si>
  <si>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</si>
  <si>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</si>
  <si>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</si>
  <si>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</si>
  <si>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</si>
  <si>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</si>
  <si>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</si>
  <si>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</si>
  <si>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</si>
  <si>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</si>
  <si>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</si>
  <si>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</si>
  <si>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</si>
  <si>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</si>
  <si>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</si>
  <si>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</si>
  <si>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</si>
  <si>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</si>
  <si>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</si>
  <si>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</si>
  <si>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</si>
  <si>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</si>
  <si>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</si>
  <si>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</si>
  <si>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</si>
  <si>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</si>
  <si>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</si>
  <si>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</si>
  <si>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</si>
  <si>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</si>
  <si>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</si>
  <si>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</si>
  <si>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</si>
  <si>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</si>
  <si>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</si>
  <si>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</si>
  <si>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</si>
  <si>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</si>
  <si>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</si>
  <si>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</si>
  <si>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</si>
  <si>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</si>
  <si>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</si>
  <si>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</si>
  <si>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</si>
  <si>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</si>
  <si>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</si>
  <si>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</si>
  <si>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</si>
  <si>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</si>
  <si>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</si>
  <si>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</si>
  <si>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</si>
  <si>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</si>
  <si>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</si>
  <si>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</si>
  <si>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</si>
  <si>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</si>
  <si>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</si>
  <si>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</si>
  <si>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</si>
  <si>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</si>
  <si>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</si>
  <si>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</si>
  <si>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</si>
  <si>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</si>
  <si>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</si>
  <si>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</si>
  <si>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</si>
  <si>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</si>
  <si>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</si>
  <si>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</si>
  <si>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</si>
  <si>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</si>
  <si>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</si>
  <si>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</si>
  <si>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</si>
  <si>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</si>
  <si>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</si>
  <si>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</si>
  <si>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</si>
  <si>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</si>
  <si>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</si>
  <si>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</si>
  <si>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</si>
  <si>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</si>
  <si>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</si>
  <si>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</si>
  <si>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</si>
  <si>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</si>
  <si>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</si>
  <si>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</si>
  <si>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</si>
  <si>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</si>
  <si>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</si>
  <si>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</si>
  <si>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</si>
  <si>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</si>
  <si>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</si>
  <si>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</si>
  <si>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</si>
  <si>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</si>
  <si>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</si>
  <si>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</si>
  <si>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</si>
  <si>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</si>
  <si>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</si>
  <si>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</si>
  <si>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</si>
  <si>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</si>
  <si>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</si>
  <si>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</si>
  <si>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</si>
  <si>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</si>
  <si>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</si>
  <si>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</si>
  <si>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</si>
  <si>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</si>
  <si>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</si>
  <si>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</si>
  <si>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</si>
  <si>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</si>
  <si>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</si>
  <si>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</si>
  <si>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</si>
  <si>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</si>
  <si>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</si>
  <si>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</si>
  <si>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</si>
  <si>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</si>
  <si>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</si>
  <si>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</si>
  <si>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</si>
  <si>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</si>
  <si>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</si>
  <si>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</si>
  <si>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</si>
  <si>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</si>
  <si>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</si>
  <si>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</si>
  <si>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</si>
  <si>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</si>
  <si>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</si>
  <si>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</si>
  <si>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</si>
  <si>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</si>
  <si>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</si>
  <si>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</si>
  <si>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</si>
  <si>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</si>
  <si>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</si>
  <si>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</si>
  <si>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</si>
  <si>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</si>
  <si>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</si>
  <si>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</si>
  <si>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</si>
  <si>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</si>
  <si>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</si>
  <si>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</si>
  <si>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</si>
  <si>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</si>
  <si>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Delinquent Comp Rate:</t>
  </si>
  <si>
    <t>Non-Appropriated Balance</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</si>
  <si>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</si>
  <si>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</si>
  <si>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</si>
  <si>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for Expenditures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</si>
  <si>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</si>
  <si>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</si>
  <si>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</si>
  <si>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</si>
  <si>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</si>
  <si>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</si>
  <si>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</si>
  <si>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</si>
  <si>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</si>
  <si>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</si>
  <si>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</si>
  <si>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</si>
  <si>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</si>
  <si>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</si>
  <si>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</si>
  <si>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</si>
  <si>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</si>
  <si>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</si>
  <si>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</si>
  <si>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</si>
  <si>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</si>
  <si>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</si>
  <si>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</si>
  <si>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</si>
  <si>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</si>
  <si>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</si>
  <si>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</si>
  <si>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</si>
  <si>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</si>
  <si>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</si>
  <si>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</si>
  <si>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</si>
  <si>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</si>
  <si>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</si>
  <si>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</si>
  <si>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</si>
  <si>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</si>
  <si>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</si>
  <si>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</si>
  <si>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</si>
  <si>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</si>
  <si>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</si>
  <si>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</si>
  <si>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</si>
  <si>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</si>
  <si>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</si>
  <si>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</si>
  <si>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</si>
  <si>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</si>
  <si>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</si>
  <si>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</si>
  <si>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</si>
  <si>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</si>
  <si>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</si>
  <si>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</si>
  <si>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</si>
  <si>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</si>
  <si>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</si>
  <si>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</si>
  <si>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</si>
  <si>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</si>
  <si>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</si>
  <si>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</si>
  <si>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</si>
  <si>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</si>
  <si>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</si>
  <si>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</si>
  <si>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</si>
  <si>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</si>
  <si>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</si>
  <si>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</si>
  <si>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</si>
  <si>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</si>
  <si>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</si>
  <si>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</si>
  <si>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</si>
  <si>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</si>
  <si>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1. All pages removed the revision date</t>
  </si>
  <si>
    <t>2. All tax levy fund pages reduced the columns and revised the bottom of pages for see tabs</t>
  </si>
  <si>
    <t>3. Instruction tab added lines 4c (cert-rec), 11b (fund-rec), 11c (signature), 11d (last year mill rate), 11e (desired mill rate), 10a(project carryover), 10b (Desired Carryover), and 14 (protection)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</si>
  <si>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</si>
  <si>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</si>
  <si>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</si>
  <si>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</si>
  <si>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</si>
  <si>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</si>
  <si>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The following were changed to this spreadsheet on 8/29/10</t>
  </si>
  <si>
    <t>The estimated value of one mill would be:</t>
  </si>
  <si>
    <t>Change in Ad Valorem Tax Revenue:</t>
  </si>
  <si>
    <t>What Mill Rate Would Be Desired?</t>
  </si>
  <si>
    <t>Official Title:</t>
  </si>
  <si>
    <t>City Clerk, City Treasurer, Mayor</t>
  </si>
  <si>
    <t>Compensating Use Tax</t>
  </si>
  <si>
    <t>Local Sales Tax</t>
  </si>
  <si>
    <t>Franchise Tax</t>
  </si>
  <si>
    <t>Licenses</t>
  </si>
  <si>
    <t>Desired Carryover Amount:</t>
  </si>
  <si>
    <t>Estimated Mill Rate Impact:</t>
  </si>
  <si>
    <t xml:space="preserve">Totals </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</si>
  <si>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</si>
  <si>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</si>
  <si>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</si>
  <si>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</si>
  <si>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</si>
  <si>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</si>
  <si>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</si>
  <si>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</si>
  <si>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</si>
  <si>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</si>
  <si>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</si>
  <si>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Does miscellanous exceed 10% Total Exp</t>
  </si>
  <si>
    <t>The following were changed to this spreadsheet on 4/8/11</t>
  </si>
  <si>
    <t xml:space="preserve">1. Mvalloc tab cells c19, d19, and e19 changed formula from InputPrYrE31 to E30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</si>
  <si>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</si>
  <si>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</si>
  <si>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</si>
  <si>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</si>
  <si>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</si>
  <si>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</si>
  <si>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</si>
  <si>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</si>
  <si>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</si>
  <si>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</si>
  <si>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another tax levy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</si>
  <si>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</si>
  <si>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</si>
  <si>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</si>
  <si>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</si>
  <si>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</si>
  <si>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</si>
  <si>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</si>
  <si>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</si>
  <si>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</si>
  <si>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</si>
  <si>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</si>
  <si>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</si>
  <si>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</si>
  <si>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Added four more no tax levy fund pages</t>
  </si>
  <si>
    <t>29. Inputoth tab changed Actual Delinquency tax from -2 to -3</t>
  </si>
  <si>
    <t>The following were changed to this spreadsheet on 4/19/11</t>
  </si>
  <si>
    <t>1. Summ tab changed proposed year expenditure column to 'Budget Authority for Expenditures'</t>
  </si>
  <si>
    <t>The following were changed to this spreadsheet on 6/17/11</t>
  </si>
  <si>
    <t>1.Tabs levy page 9 to 13 changed cell reference for current ad valorem taxes</t>
  </si>
  <si>
    <t>2. Tab levy page 11 cell D7 change current budget authority reference</t>
  </si>
  <si>
    <t>3. Tab Cert corrected cells for the ad valorem column to link correctly with the fund pages</t>
  </si>
  <si>
    <t>The following were changed to this spreadsheet on 6/23/11</t>
  </si>
  <si>
    <t>1. Tabs no levy pages 19-21, changes to fund name and budget authority links</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</si>
  <si>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</si>
  <si>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</si>
  <si>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</si>
  <si>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</si>
  <si>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</si>
  <si>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</si>
  <si>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</si>
  <si>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</si>
  <si>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</si>
  <si>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</si>
  <si>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</si>
  <si>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</si>
  <si>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</si>
  <si>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</si>
  <si>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</si>
  <si>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</si>
  <si>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</si>
  <si>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</si>
  <si>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</si>
  <si>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</si>
  <si>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</si>
  <si>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</si>
  <si>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</si>
  <si>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</si>
  <si>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</si>
  <si>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</si>
  <si>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</si>
  <si>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</si>
  <si>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</si>
  <si>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</si>
  <si>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</si>
  <si>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</si>
  <si>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</si>
  <si>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</si>
  <si>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</si>
  <si>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Added KSA 14-568 to the transfer tab</t>
  </si>
  <si>
    <t>35. Certificate tab added a place for the email address of the assisted by</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</si>
  <si>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</si>
  <si>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</si>
  <si>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</si>
  <si>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</si>
  <si>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</si>
  <si>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</si>
  <si>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 xml:space="preserve"> Debt</t>
  </si>
  <si>
    <t>Type of</t>
  </si>
  <si>
    <t xml:space="preserve"> Purchased</t>
  </si>
  <si>
    <t>Item</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</si>
  <si>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</si>
  <si>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</si>
  <si>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Library</t>
  </si>
  <si>
    <t>12-1220</t>
  </si>
  <si>
    <t>Delinquency % used in this budget will be shown on all fund pages with a tax levy**</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</si>
  <si>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</si>
  <si>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</si>
  <si>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</si>
  <si>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</si>
  <si>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</si>
  <si>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</si>
  <si>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</si>
  <si>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</si>
  <si>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</si>
  <si>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</si>
  <si>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</si>
  <si>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</si>
  <si>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</si>
  <si>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</si>
  <si>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t>Expenditures Must Be Changed By:</t>
  </si>
  <si>
    <t>Mill Rate Comparison</t>
  </si>
  <si>
    <t>Expenditures Must Be Changed by: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</si>
  <si>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</si>
  <si>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</si>
  <si>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</si>
  <si>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</si>
  <si>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</si>
  <si>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</si>
  <si>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</si>
  <si>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</si>
  <si>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</si>
  <si>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</si>
  <si>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</si>
  <si>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</si>
  <si>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</si>
  <si>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</si>
  <si>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</si>
  <si>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</si>
  <si>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</si>
  <si>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</si>
  <si>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</si>
  <si>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</si>
  <si>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</si>
  <si>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</si>
  <si>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</si>
  <si>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</si>
  <si>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</si>
  <si>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</si>
  <si>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</si>
  <si>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</si>
  <si>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</si>
  <si>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</si>
  <si>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</si>
  <si>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</si>
  <si>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</si>
  <si>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</si>
  <si>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</si>
  <si>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</si>
  <si>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</si>
  <si>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</si>
  <si>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</si>
  <si>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</si>
  <si>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</si>
  <si>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</si>
  <si>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</si>
  <si>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</si>
  <si>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</si>
  <si>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</si>
  <si>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</si>
  <si>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</si>
  <si>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</si>
  <si>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</si>
  <si>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</si>
  <si>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</si>
  <si>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________________________   _________________________</t>
  </si>
  <si>
    <t>________________________  __________________________</t>
  </si>
  <si>
    <t>Email:</t>
  </si>
  <si>
    <t>Allocation of MVT, RVT, 16/20M Veh Tax</t>
  </si>
  <si>
    <t xml:space="preserve">Budget Tax Levy </t>
  </si>
  <si>
    <t xml:space="preserve">Prior Year </t>
  </si>
  <si>
    <t xml:space="preserve">Current Year </t>
  </si>
  <si>
    <t xml:space="preserve">Proposed Budget </t>
  </si>
  <si>
    <t>City 2 spreadsheets has General Fund page (general), Debt Service and Library tax levy fund page (DebtSvs-Library), 10 tax levy pages (levy page9 to levy page13), Special Highway page (Sp Hiway), 15 no levy fund pages (nolevypage15 to nolevypage21 with one under the Sp Hiway tab), 4 single no levy pages (SinNoLevy18-SinNolevy21), and 20 non-budgeted fund pages (NonBudA to NonBudD).</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</si>
  <si>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</si>
  <si>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</si>
  <si>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</si>
  <si>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</si>
  <si>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</si>
  <si>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</si>
  <si>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</si>
  <si>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</si>
  <si>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</si>
  <si>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</si>
  <si>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</si>
  <si>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</si>
  <si>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</si>
  <si>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</si>
  <si>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</si>
  <si>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</si>
  <si>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</si>
  <si>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</si>
  <si>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</si>
  <si>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</si>
  <si>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</si>
  <si>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</si>
  <si>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</si>
  <si>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</si>
  <si>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</si>
  <si>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</si>
  <si>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</si>
  <si>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</si>
  <si>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12f.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</si>
  <si>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</si>
  <si>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</si>
  <si>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</si>
  <si>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</si>
  <si>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34. Certificate tab added a place for the email address of the assisted by</t>
  </si>
  <si>
    <t>35. Cert tab, link general page number to the general tab page number</t>
  </si>
  <si>
    <t>36. General tab, link receipt page number to expenditure page number</t>
  </si>
  <si>
    <t>37. GenDetail tab, link general receipt page number to detail page numbers</t>
  </si>
  <si>
    <t>11a. General Fund page and General Fund Detail page number are linked.   If the municipality has a Library Fund, the Library Grant page becomes number 7 and the General Fund page would be numbered 8, otherwise the General would be 7.</t>
  </si>
  <si>
    <t>5. The information for the Computation to Determine Limit Page (computation) comes from data on the Input Pages (inputpryr and inputOth) and Debt Service Page (DebtSvs-Library). If there is incorrect information on the Computation Page, please correct the source of the information from either the Input Pages or Debt Service Page. If you can not correct the error, please call us for assistance.</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</si>
  <si>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</si>
  <si>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</si>
  <si>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#4c for showing new table on Certificate page for Library tab</t>
  </si>
  <si>
    <t xml:space="preserve">peter.haxton@library.ks.gov </t>
  </si>
  <si>
    <t>The following were changed to this spreadsheet on 2/22/12</t>
  </si>
  <si>
    <t>1. Library Grant tab, updated State Library e-mail contact address</t>
  </si>
  <si>
    <t>The following were changed to this spreadsheet on 4/10/12</t>
  </si>
  <si>
    <t>1. Corrected addition computation in column D, inputPrYr tab</t>
  </si>
  <si>
    <t xml:space="preserve">Ad Valorem </t>
  </si>
  <si>
    <t xml:space="preserve">Recreational Vehicle Tax </t>
  </si>
  <si>
    <t xml:space="preserve">16/20M Vehicle Tax </t>
  </si>
  <si>
    <t>City of Frankfort</t>
  </si>
  <si>
    <t>Marshall County</t>
  </si>
  <si>
    <t>Special Parks &amp; Recreation</t>
  </si>
  <si>
    <t>Ambulance</t>
  </si>
  <si>
    <t>Water Utility</t>
  </si>
  <si>
    <t>Sewer Utility</t>
  </si>
  <si>
    <t>Capital Improvement</t>
  </si>
  <si>
    <t>9:00 p.m.</t>
  </si>
  <si>
    <t>Melody Tommer</t>
  </si>
  <si>
    <t>August 13, 2012</t>
  </si>
  <si>
    <t>12-1,118</t>
  </si>
  <si>
    <t>10-117a</t>
  </si>
  <si>
    <t xml:space="preserve">  NONE</t>
  </si>
  <si>
    <t>Fire Truck</t>
  </si>
  <si>
    <t>Swimming Pool</t>
  </si>
  <si>
    <t>3.00-4.50</t>
  </si>
  <si>
    <t>General Administration:</t>
  </si>
  <si>
    <t>Total General Administration</t>
  </si>
  <si>
    <t>Park:</t>
  </si>
  <si>
    <t>Total Park</t>
  </si>
  <si>
    <t>Total Police Protection</t>
  </si>
  <si>
    <t>Police Protection:</t>
  </si>
  <si>
    <t>Fire Protection:</t>
  </si>
  <si>
    <t>Total Fire Protection</t>
  </si>
  <si>
    <t>Total Streets &amp; Alleys</t>
  </si>
  <si>
    <t>Streets &amp; Alleys:</t>
  </si>
  <si>
    <t>Employee Benefits:</t>
  </si>
  <si>
    <t>Total Employee Benefits</t>
  </si>
  <si>
    <t xml:space="preserve">  Payroll Taxes</t>
  </si>
  <si>
    <t xml:space="preserve">  Pension/Retirement</t>
  </si>
  <si>
    <t xml:space="preserve">  Health Insurance</t>
  </si>
  <si>
    <t>Sales Tax - Streets &amp; Improvements:</t>
  </si>
  <si>
    <t>Total Sales Tax - Streets &amp; Improv.</t>
  </si>
  <si>
    <t>Capital Outlay:</t>
  </si>
  <si>
    <t xml:space="preserve">  General</t>
  </si>
  <si>
    <t xml:space="preserve">  Library</t>
  </si>
  <si>
    <t>Total Capital Outlay</t>
  </si>
  <si>
    <t>Fines and Court Costs</t>
  </si>
  <si>
    <t>ATV Tags</t>
  </si>
  <si>
    <t>Occupation Tax</t>
  </si>
  <si>
    <t>Park-Pool Receipts</t>
  </si>
  <si>
    <t>Refuse Collections</t>
  </si>
  <si>
    <t>Dog Licenses</t>
  </si>
  <si>
    <t>Building Permits</t>
  </si>
  <si>
    <t>Licenses (Card/CMB)</t>
  </si>
  <si>
    <t>Library Payroll &amp; Benefits Reimbursed</t>
  </si>
  <si>
    <t>Reimbursed Spending</t>
  </si>
  <si>
    <t>Revitalization Rebates</t>
  </si>
  <si>
    <t>Supplies Sold</t>
  </si>
  <si>
    <t>Rent</t>
  </si>
  <si>
    <t>Services Sold</t>
  </si>
  <si>
    <t>Miscellaneous, Other</t>
  </si>
  <si>
    <t>Donations from Private Sources</t>
  </si>
  <si>
    <t>GAC Building Interest on Idle Funds</t>
  </si>
  <si>
    <t>Transfer from Debt Service Fund</t>
  </si>
  <si>
    <t>Markus Frese, CPA</t>
  </si>
  <si>
    <t>720 Broadway</t>
  </si>
  <si>
    <t>Marysville, KS  66508</t>
  </si>
  <si>
    <t>Donations</t>
  </si>
  <si>
    <t>Transfer fr General</t>
  </si>
  <si>
    <t>Sales &amp; Late Charges</t>
  </si>
  <si>
    <t>Refunds-Reimbursements</t>
  </si>
  <si>
    <t>Labor-Supplies Sold</t>
  </si>
  <si>
    <t>Personal Services</t>
  </si>
  <si>
    <t>Contractual Services</t>
  </si>
  <si>
    <t>Commodities</t>
  </si>
  <si>
    <t>Capital Outlay</t>
  </si>
  <si>
    <t>Appropriation - Marshall County</t>
  </si>
  <si>
    <t>Charges for Services</t>
  </si>
  <si>
    <t>Charges to Customers</t>
  </si>
  <si>
    <t>Materials/Labor Sold</t>
  </si>
  <si>
    <t>Operations:</t>
  </si>
  <si>
    <t>Sales Tax</t>
  </si>
  <si>
    <t>Alcoholic Liquor Tax</t>
  </si>
  <si>
    <t>Bond Principal</t>
  </si>
  <si>
    <t>Bond Interest</t>
  </si>
  <si>
    <t>Commissions &amp; Postage</t>
  </si>
  <si>
    <t>Transfer to General Fund</t>
  </si>
  <si>
    <t>Appropriation to Library Board</t>
  </si>
  <si>
    <t>Utility Service - Contractual</t>
  </si>
  <si>
    <t>Waste Disposal - Contractual</t>
  </si>
  <si>
    <t>GAC Building</t>
  </si>
  <si>
    <t>Transfer to Capital Improvement Fund</t>
  </si>
  <si>
    <t>Special Assessments</t>
  </si>
  <si>
    <t>Energy Grant Proceeds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</si>
</sst>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000"/>
    <numFmt numFmtId="168" formatCode="m/d/yy"/>
    <numFmt numFmtId="169" formatCode="m/d"/>
    <numFmt numFmtId="170" formatCode="_(* #,##0_);_(* \(#,##0\);_(* &quot;-&quot;??_);_(@_)"/>
    <numFmt numFmtId="171" formatCode="0.000"/>
    <numFmt numFmtId="172" formatCode="#,##0.000"/>
    <numFmt numFmtId="173" formatCode="[$-409]mmmm\ d\,\ yyyy;@"/>
    <numFmt numFmtId="174" formatCode="[$-409]h:mm\ AM/PM;@"/>
    <numFmt numFmtId="175" formatCode="&quot;$&quot;#,##0"/>
    <numFmt numFmtId="176" formatCode="&quot;$&quot;#,##0.00"/>
    <numFmt numFmtId="177" formatCode="#,###"/>
    <numFmt numFmtId="178" formatCode="0.0%"/>
    <numFmt numFmtId="179" formatCode="#,##0.000_);[Red]\(#,##0.000\)"/>
  </numFmts>
  <fonts count="91">
    <font>
      <sz val="12"/>
      <name val="Courier"/>
      <family val="0"/>
    </font>
    <font>
      <sz val="11"/>
      <color indexed="8"/>
      <name val="Calibri"/>
      <family val="2"/>
    </font>
    <font>
      <b/>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8"/>
      <name val="Courier"/>
      <family val="3"/>
    </font>
    <font>
      <u val="single"/>
      <sz val="12"/>
      <color indexed="12"/>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val="single"/>
      <sz val="8"/>
      <color indexed="10"/>
      <name val="Times New Roman"/>
      <family val="1"/>
    </font>
    <font>
      <sz val="12"/>
      <name val="Courier New"/>
      <family val="3"/>
    </font>
    <font>
      <i/>
      <sz val="12"/>
      <name val="Courier"/>
      <family val="3"/>
    </font>
    <font>
      <i/>
      <u val="single"/>
      <sz val="12"/>
      <name val="Courier"/>
      <family val="3"/>
    </font>
    <font>
      <b/>
      <u val="single"/>
      <sz val="8"/>
      <name val="Times New Roman"/>
      <family val="1"/>
    </font>
    <font>
      <sz val="9"/>
      <color indexed="10"/>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sz val="10"/>
      <name val="Times New Roman"/>
      <family val="1"/>
    </font>
    <font>
      <b/>
      <u val="single"/>
      <sz val="10"/>
      <name val="Times New Roman"/>
      <family val="1"/>
    </font>
    <font>
      <b/>
      <sz val="10"/>
      <name val="Times New Roman"/>
      <family val="1"/>
    </font>
    <font>
      <sz val="10"/>
      <color indexed="10"/>
      <name val="Times New Roman"/>
      <family val="1"/>
    </font>
    <font>
      <sz val="10"/>
      <name val="Courier"/>
      <family val="3"/>
    </font>
    <font>
      <u val="single"/>
      <sz val="12"/>
      <color indexed="10"/>
      <name val="Times New Roman"/>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0"/>
      <color rgb="FFFF0000"/>
      <name val="Times New Roman"/>
      <family val="1"/>
    </font>
    <font>
      <sz val="12"/>
      <color rgb="FFFF0000"/>
      <name val="Times New Roman"/>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
      <patternFill patternType="solid">
        <fgColor indexed="34"/>
        <bgColor indexed="64"/>
      </patternFill>
    </fill>
    <fill>
      <patternFill patternType="solid">
        <fgColor rgb="FFFFFF99"/>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double"/>
    </border>
    <border>
      <left/>
      <right/>
      <top style="thin"/>
      <bottom style="thin"/>
    </border>
    <border>
      <left/>
      <right style="thin"/>
      <top/>
      <bottom style="thin"/>
    </border>
    <border>
      <left/>
      <right style="thin"/>
      <top style="thin"/>
      <bottom style="thin"/>
    </border>
    <border>
      <left/>
      <right/>
      <top style="thin"/>
      <bottom/>
    </border>
    <border>
      <left style="thin"/>
      <right/>
      <top style="thin"/>
      <bottom style="thin"/>
    </border>
    <border>
      <left/>
      <right style="thin"/>
      <top/>
      <bottom/>
    </border>
    <border>
      <left/>
      <right style="thin"/>
      <top style="thin"/>
      <bottom/>
    </border>
    <border>
      <left/>
      <right/>
      <top/>
      <bottom style="double"/>
    </border>
    <border>
      <left style="thin"/>
      <right/>
      <top style="thin"/>
      <bottom/>
    </border>
    <border>
      <left style="thin"/>
      <right/>
      <top/>
      <bottom style="thin"/>
    </border>
    <border>
      <left style="thin"/>
      <right/>
      <top/>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medium"/>
      <bottom style="thin"/>
    </border>
  </borders>
  <cellStyleXfs count="3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47">
    <xf numFmtId="0" fontId="0" fillId="0" borderId="0" xfId="0" applyAlignment="1">
      <alignment/>
    </xf>
    <xf numFmtId="0" fontId="4" fillId="0" borderId="0" xfId="0" applyFont="1" applyAlignment="1">
      <alignment/>
    </xf>
    <xf numFmtId="0" fontId="4" fillId="0" borderId="0" xfId="0" applyFont="1" applyAlignment="1" applyProtection="1">
      <alignment/>
      <protection locked="0"/>
    </xf>
    <xf numFmtId="0" fontId="4" fillId="33" borderId="10" xfId="0" applyFont="1" applyFill="1" applyBorder="1" applyAlignment="1" applyProtection="1">
      <alignment/>
      <protection locked="0"/>
    </xf>
    <xf numFmtId="0" fontId="4" fillId="34" borderId="11" xfId="0" applyFont="1" applyFill="1" applyBorder="1" applyAlignment="1" applyProtection="1">
      <alignment/>
      <protection/>
    </xf>
    <xf numFmtId="0" fontId="4" fillId="34" borderId="0" xfId="0" applyFont="1" applyFill="1" applyAlignment="1" applyProtection="1">
      <alignment/>
      <protection/>
    </xf>
    <xf numFmtId="0" fontId="4" fillId="34" borderId="0" xfId="0" applyFont="1" applyFill="1" applyAlignment="1" applyProtection="1">
      <alignment horizontal="right"/>
      <protection/>
    </xf>
    <xf numFmtId="37" fontId="4" fillId="34" borderId="0" xfId="0" applyNumberFormat="1" applyFont="1" applyFill="1" applyAlignment="1" applyProtection="1">
      <alignment horizontal="right"/>
      <protection/>
    </xf>
    <xf numFmtId="0" fontId="4" fillId="34" borderId="0" xfId="0" applyFont="1" applyFill="1" applyAlignment="1" applyProtection="1">
      <alignment horizontal="centerContinuous"/>
      <protection/>
    </xf>
    <xf numFmtId="0" fontId="4" fillId="34" borderId="12" xfId="0" applyFont="1" applyFill="1" applyBorder="1" applyAlignment="1" applyProtection="1">
      <alignment/>
      <protection/>
    </xf>
    <xf numFmtId="37" fontId="4" fillId="34" borderId="0" xfId="0" applyNumberFormat="1" applyFont="1" applyFill="1" applyAlignment="1" applyProtection="1">
      <alignment/>
      <protection/>
    </xf>
    <xf numFmtId="0" fontId="3" fillId="34" borderId="0" xfId="366" applyFont="1" applyFill="1" applyAlignment="1" applyProtection="1">
      <alignment horizontal="centerContinuous"/>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horizontal="center"/>
      <protection/>
    </xf>
    <xf numFmtId="0" fontId="4" fillId="34" borderId="14" xfId="0" applyFont="1" applyFill="1" applyBorder="1" applyAlignment="1" applyProtection="1">
      <alignment horizontal="center"/>
      <protection/>
    </xf>
    <xf numFmtId="14" fontId="4" fillId="34" borderId="14" xfId="0" applyNumberFormat="1" applyFont="1" applyFill="1" applyBorder="1" applyAlignment="1" applyProtection="1" quotePrefix="1">
      <alignment horizontal="center"/>
      <protection/>
    </xf>
    <xf numFmtId="0" fontId="4" fillId="34" borderId="11" xfId="0" applyFont="1" applyFill="1" applyBorder="1" applyAlignment="1" applyProtection="1">
      <alignment horizontal="fill"/>
      <protection/>
    </xf>
    <xf numFmtId="0" fontId="3" fillId="34" borderId="0" xfId="0" applyFont="1" applyFill="1" applyAlignment="1" applyProtection="1">
      <alignment horizontal="left"/>
      <protection/>
    </xf>
    <xf numFmtId="0" fontId="7" fillId="34" borderId="14" xfId="0" applyFont="1" applyFill="1" applyBorder="1" applyAlignment="1" applyProtection="1">
      <alignment horizontal="center"/>
      <protection/>
    </xf>
    <xf numFmtId="0" fontId="4" fillId="34" borderId="0" xfId="0" applyFont="1" applyFill="1" applyAlignment="1" applyProtection="1">
      <alignment horizontal="center"/>
      <protection/>
    </xf>
    <xf numFmtId="0" fontId="4" fillId="34" borderId="0" xfId="0" applyNumberFormat="1" applyFont="1" applyFill="1" applyAlignment="1" applyProtection="1">
      <alignment horizontal="right"/>
      <protection/>
    </xf>
    <xf numFmtId="2" fontId="4" fillId="33" borderId="10" xfId="0" applyNumberFormat="1" applyFont="1" applyFill="1" applyBorder="1" applyAlignment="1" applyProtection="1">
      <alignment horizontal="center"/>
      <protection locked="0"/>
    </xf>
    <xf numFmtId="3" fontId="4" fillId="33" borderId="10" xfId="0" applyNumberFormat="1" applyFont="1" applyFill="1" applyBorder="1" applyAlignment="1" applyProtection="1">
      <alignment horizontal="center"/>
      <protection locked="0"/>
    </xf>
    <xf numFmtId="1" fontId="4" fillId="33" borderId="10" xfId="0" applyNumberFormat="1" applyFont="1" applyFill="1" applyBorder="1" applyAlignment="1" applyProtection="1">
      <alignment horizontal="center"/>
      <protection locked="0"/>
    </xf>
    <xf numFmtId="0" fontId="4" fillId="0" borderId="0" xfId="0" applyFont="1" applyAlignment="1">
      <alignment vertical="justify" wrapText="1"/>
    </xf>
    <xf numFmtId="0" fontId="4" fillId="0" borderId="0" xfId="0" applyFont="1" applyAlignment="1">
      <alignment horizontal="left" vertical="justify" wrapText="1"/>
    </xf>
    <xf numFmtId="0" fontId="4" fillId="0" borderId="0" xfId="0" applyFont="1" applyAlignment="1">
      <alignment horizontal="left" vertical="justify"/>
    </xf>
    <xf numFmtId="3" fontId="3" fillId="35" borderId="15" xfId="0" applyNumberFormat="1" applyFont="1" applyFill="1" applyBorder="1" applyAlignment="1" applyProtection="1">
      <alignment horizontal="center"/>
      <protection/>
    </xf>
    <xf numFmtId="14" fontId="4" fillId="33" borderId="10" xfId="0" applyNumberFormat="1" applyFont="1" applyFill="1" applyBorder="1" applyAlignment="1" applyProtection="1">
      <alignment horizontal="center"/>
      <protection locked="0"/>
    </xf>
    <xf numFmtId="0" fontId="4" fillId="36" borderId="0" xfId="365" applyFont="1" applyFill="1" applyProtection="1">
      <alignment/>
      <protection/>
    </xf>
    <xf numFmtId="0" fontId="4" fillId="36" borderId="0" xfId="0" applyFont="1" applyFill="1" applyAlignment="1" applyProtection="1">
      <alignment/>
      <protection/>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protection/>
    </xf>
    <xf numFmtId="0" fontId="16" fillId="0" borderId="0" xfId="0" applyFont="1" applyAlignment="1">
      <alignment vertical="center" wrapText="1"/>
    </xf>
    <xf numFmtId="0" fontId="4" fillId="33" borderId="0" xfId="0" applyFont="1" applyFill="1" applyAlignment="1">
      <alignment vertical="center"/>
    </xf>
    <xf numFmtId="0" fontId="4" fillId="0" borderId="0" xfId="0" applyFont="1" applyFill="1" applyAlignment="1">
      <alignment vertical="center"/>
    </xf>
    <xf numFmtId="0" fontId="4" fillId="34" borderId="0" xfId="0" applyFont="1" applyFill="1" applyAlignment="1">
      <alignment vertical="center" wrapText="1"/>
    </xf>
    <xf numFmtId="0" fontId="4" fillId="0" borderId="0" xfId="0" applyFont="1" applyFill="1" applyAlignment="1">
      <alignment vertical="center" wrapText="1"/>
    </xf>
    <xf numFmtId="0" fontId="4" fillId="37" borderId="0" xfId="0" applyFont="1" applyFill="1" applyAlignment="1">
      <alignment vertical="center" wrapText="1"/>
    </xf>
    <xf numFmtId="0" fontId="4" fillId="36" borderId="0" xfId="0" applyFont="1" applyFill="1" applyAlignment="1">
      <alignment vertical="center"/>
    </xf>
    <xf numFmtId="37" fontId="4" fillId="0" borderId="0" xfId="0" applyNumberFormat="1" applyFont="1" applyFill="1" applyAlignment="1" applyProtection="1">
      <alignment horizontal="left" vertical="center" wrapText="1"/>
      <protection/>
    </xf>
    <xf numFmtId="0" fontId="4" fillId="0" borderId="0" xfId="0" applyFont="1" applyAlignment="1" applyProtection="1">
      <alignment vertical="center"/>
      <protection locked="0"/>
    </xf>
    <xf numFmtId="37" fontId="3" fillId="34" borderId="0" xfId="0" applyNumberFormat="1" applyFont="1" applyFill="1" applyAlignment="1" applyProtection="1">
      <alignment horizontal="left" vertical="center"/>
      <protection/>
    </xf>
    <xf numFmtId="0" fontId="4" fillId="34" borderId="0" xfId="0" applyFont="1" applyFill="1" applyAlignment="1" applyProtection="1">
      <alignment vertical="center"/>
      <protection/>
    </xf>
    <xf numFmtId="37" fontId="4" fillId="33" borderId="11" xfId="0" applyNumberFormat="1" applyFont="1" applyFill="1" applyBorder="1" applyAlignment="1" applyProtection="1">
      <alignment horizontal="left" vertical="center"/>
      <protection locked="0"/>
    </xf>
    <xf numFmtId="0" fontId="4" fillId="33" borderId="11" xfId="0" applyFont="1" applyFill="1" applyBorder="1" applyAlignment="1" applyProtection="1">
      <alignment vertical="center"/>
      <protection/>
    </xf>
    <xf numFmtId="37" fontId="4" fillId="33" borderId="16" xfId="0" applyNumberFormat="1" applyFont="1" applyFill="1" applyBorder="1" applyAlignment="1" applyProtection="1">
      <alignment horizontal="left" vertical="center"/>
      <protection locked="0"/>
    </xf>
    <xf numFmtId="0" fontId="4" fillId="33" borderId="16" xfId="0"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locked="0"/>
    </xf>
    <xf numFmtId="0" fontId="3" fillId="33" borderId="10" xfId="0" applyFont="1" applyFill="1" applyBorder="1" applyAlignment="1" applyProtection="1">
      <alignment horizontal="center" vertical="center"/>
      <protection locked="0"/>
    </xf>
    <xf numFmtId="37" fontId="3"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3" fillId="38" borderId="0" xfId="0" applyFont="1" applyFill="1" applyAlignment="1" applyProtection="1">
      <alignment vertical="center"/>
      <protection/>
    </xf>
    <xf numFmtId="0" fontId="4" fillId="38" borderId="0" xfId="0" applyFont="1" applyFill="1" applyAlignment="1" applyProtection="1">
      <alignment vertical="center"/>
      <protection/>
    </xf>
    <xf numFmtId="37" fontId="3"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7" borderId="12" xfId="0" applyNumberFormat="1" applyFont="1" applyFill="1" applyBorder="1" applyAlignment="1" applyProtection="1">
      <alignment horizontal="center" vertical="center"/>
      <protection/>
    </xf>
    <xf numFmtId="37" fontId="4" fillId="34" borderId="17" xfId="0" applyNumberFormat="1" applyFont="1" applyFill="1" applyBorder="1" applyAlignment="1" applyProtection="1">
      <alignment horizontal="center" vertical="center"/>
      <protection/>
    </xf>
    <xf numFmtId="37" fontId="4" fillId="37" borderId="14"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3" borderId="14" xfId="0" applyNumberFormat="1" applyFont="1" applyFill="1" applyBorder="1" applyAlignment="1" applyProtection="1">
      <alignment vertical="center"/>
      <protection locked="0"/>
    </xf>
    <xf numFmtId="3" fontId="4" fillId="33" borderId="10" xfId="0" applyNumberFormat="1" applyFont="1" applyFill="1" applyBorder="1" applyAlignment="1" applyProtection="1">
      <alignment vertical="center"/>
      <protection locked="0"/>
    </xf>
    <xf numFmtId="0" fontId="0" fillId="34" borderId="0" xfId="0" applyFill="1" applyAlignment="1">
      <alignment vertical="center"/>
    </xf>
    <xf numFmtId="0" fontId="4" fillId="33" borderId="10" xfId="0"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0" fontId="4" fillId="34" borderId="16" xfId="0" applyFont="1" applyFill="1" applyBorder="1" applyAlignment="1" applyProtection="1">
      <alignment vertical="center"/>
      <protection/>
    </xf>
    <xf numFmtId="37" fontId="4" fillId="34" borderId="18" xfId="0" applyNumberFormat="1" applyFont="1" applyFill="1" applyBorder="1" applyAlignment="1" applyProtection="1">
      <alignment vertical="center"/>
      <protection/>
    </xf>
    <xf numFmtId="37" fontId="4" fillId="35" borderId="18" xfId="0" applyNumberFormat="1" applyFont="1" applyFill="1" applyBorder="1" applyAlignment="1" applyProtection="1">
      <alignment vertical="center"/>
      <protection/>
    </xf>
    <xf numFmtId="37" fontId="4" fillId="34" borderId="0" xfId="0" applyNumberFormat="1"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3" borderId="10" xfId="0" applyNumberFormat="1" applyFont="1" applyFill="1" applyBorder="1" applyAlignment="1" applyProtection="1">
      <alignment vertical="center"/>
      <protection locked="0"/>
    </xf>
    <xf numFmtId="164" fontId="4" fillId="34" borderId="10" xfId="0" applyNumberFormat="1" applyFont="1" applyFill="1" applyBorder="1" applyAlignment="1" applyProtection="1">
      <alignment vertical="center"/>
      <protection locked="0"/>
    </xf>
    <xf numFmtId="164" fontId="4" fillId="34" borderId="11" xfId="0" applyNumberFormat="1"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3" fontId="4" fillId="35" borderId="10" xfId="0" applyNumberFormat="1" applyFont="1" applyFill="1" applyBorder="1" applyAlignment="1" applyProtection="1">
      <alignment vertical="center"/>
      <protection/>
    </xf>
    <xf numFmtId="164" fontId="4" fillId="34" borderId="14" xfId="0" applyNumberFormat="1" applyFont="1" applyFill="1" applyBorder="1" applyAlignment="1" applyProtection="1">
      <alignment vertical="center"/>
      <protection locked="0"/>
    </xf>
    <xf numFmtId="3" fontId="4" fillId="34" borderId="0" xfId="0" applyNumberFormat="1" applyFont="1" applyFill="1" applyBorder="1" applyAlignment="1" applyProtection="1">
      <alignment vertical="center"/>
      <protection locked="0"/>
    </xf>
    <xf numFmtId="37" fontId="4" fillId="38" borderId="0" xfId="0" applyNumberFormat="1" applyFont="1" applyFill="1" applyAlignment="1" applyProtection="1">
      <alignment horizontal="center" vertical="center"/>
      <protection/>
    </xf>
    <xf numFmtId="0" fontId="4" fillId="38" borderId="11" xfId="0" applyFont="1" applyFill="1" applyBorder="1" applyAlignment="1">
      <alignment horizontal="center" vertical="center"/>
    </xf>
    <xf numFmtId="37" fontId="4" fillId="34" borderId="10" xfId="0" applyNumberFormat="1" applyFont="1" applyFill="1" applyBorder="1" applyAlignment="1" applyProtection="1">
      <alignment vertical="center"/>
      <protection/>
    </xf>
    <xf numFmtId="164" fontId="4" fillId="35" borderId="10" xfId="0" applyNumberFormat="1" applyFont="1" applyFill="1" applyBorder="1" applyAlignment="1" applyProtection="1">
      <alignment vertical="center"/>
      <protection/>
    </xf>
    <xf numFmtId="37" fontId="4" fillId="37" borderId="11" xfId="0" applyNumberFormat="1" applyFont="1" applyFill="1" applyBorder="1" applyAlignment="1" applyProtection="1">
      <alignment horizontal="left" vertical="center"/>
      <protection/>
    </xf>
    <xf numFmtId="0" fontId="4" fillId="37" borderId="11" xfId="0" applyFont="1" applyFill="1" applyBorder="1" applyAlignment="1" applyProtection="1">
      <alignment vertical="center"/>
      <protection/>
    </xf>
    <xf numFmtId="37" fontId="4" fillId="37" borderId="16" xfId="0" applyNumberFormat="1" applyFont="1" applyFill="1" applyBorder="1" applyAlignment="1" applyProtection="1">
      <alignment horizontal="left" vertical="center"/>
      <protection/>
    </xf>
    <xf numFmtId="0" fontId="4" fillId="37" borderId="16"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7" fontId="12" fillId="38" borderId="0" xfId="0" applyNumberFormat="1" applyFont="1" applyFill="1" applyAlignment="1" applyProtection="1">
      <alignment horizontal="left" vertical="center"/>
      <protection/>
    </xf>
    <xf numFmtId="0" fontId="5" fillId="37" borderId="0" xfId="0" applyFont="1" applyFill="1" applyAlignment="1" applyProtection="1">
      <alignment vertical="center"/>
      <protection/>
    </xf>
    <xf numFmtId="0" fontId="5" fillId="34" borderId="0" xfId="0" applyFont="1" applyFill="1" applyAlignment="1" applyProtection="1">
      <alignment horizontal="center" vertical="center"/>
      <protection/>
    </xf>
    <xf numFmtId="3" fontId="4" fillId="34" borderId="0" xfId="0" applyNumberFormat="1" applyFont="1" applyFill="1" applyAlignment="1" applyProtection="1">
      <alignment vertical="center"/>
      <protection/>
    </xf>
    <xf numFmtId="0" fontId="4" fillId="34" borderId="0" xfId="0" applyFont="1" applyFill="1" applyAlignment="1" applyProtection="1">
      <alignment vertical="center"/>
      <protection locked="0"/>
    </xf>
    <xf numFmtId="0" fontId="4" fillId="34" borderId="11" xfId="0"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locked="0"/>
    </xf>
    <xf numFmtId="0" fontId="4" fillId="38"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3" fontId="4" fillId="33" borderId="10" xfId="0" applyNumberFormat="1" applyFont="1" applyFill="1" applyBorder="1" applyAlignment="1" applyProtection="1">
      <alignment vertical="center"/>
      <protection locked="0"/>
    </xf>
    <xf numFmtId="0" fontId="4" fillId="38" borderId="16" xfId="0" applyFont="1" applyFill="1" applyBorder="1" applyAlignment="1" applyProtection="1">
      <alignment vertical="center"/>
      <protection/>
    </xf>
    <xf numFmtId="0" fontId="4" fillId="34" borderId="18" xfId="0" applyFont="1" applyFill="1" applyBorder="1" applyAlignment="1" applyProtection="1">
      <alignment vertical="center"/>
      <protection locked="0"/>
    </xf>
    <xf numFmtId="0" fontId="0" fillId="0" borderId="0" xfId="0" applyAlignment="1">
      <alignment vertical="center"/>
    </xf>
    <xf numFmtId="37" fontId="4" fillId="34" borderId="16" xfId="0" applyNumberFormat="1" applyFont="1" applyFill="1" applyBorder="1" applyAlignment="1" applyProtection="1">
      <alignment horizontal="left" vertical="center"/>
      <protection/>
    </xf>
    <xf numFmtId="37" fontId="4" fillId="33" borderId="10" xfId="0" applyNumberFormat="1" applyFont="1" applyFill="1" applyBorder="1" applyAlignment="1" applyProtection="1">
      <alignment vertical="center"/>
      <protection locked="0"/>
    </xf>
    <xf numFmtId="37" fontId="3" fillId="34" borderId="16" xfId="0" applyNumberFormat="1" applyFont="1" applyFill="1" applyBorder="1" applyAlignment="1" applyProtection="1">
      <alignment horizontal="left" vertical="center"/>
      <protection/>
    </xf>
    <xf numFmtId="0" fontId="12" fillId="34" borderId="0" xfId="0" applyFont="1" applyFill="1" applyBorder="1" applyAlignment="1" applyProtection="1">
      <alignment horizontal="center" vertical="center"/>
      <protection/>
    </xf>
    <xf numFmtId="171" fontId="4" fillId="33" borderId="11" xfId="0" applyNumberFormat="1" applyFont="1" applyFill="1" applyBorder="1" applyAlignment="1" applyProtection="1">
      <alignment vertical="center"/>
      <protection locked="0"/>
    </xf>
    <xf numFmtId="171" fontId="4" fillId="33" borderId="16" xfId="0" applyNumberFormat="1" applyFont="1" applyFill="1" applyBorder="1" applyAlignment="1" applyProtection="1">
      <alignment vertical="center"/>
      <protection locked="0"/>
    </xf>
    <xf numFmtId="0" fontId="4" fillId="34" borderId="19" xfId="0" applyFont="1" applyFill="1" applyBorder="1" applyAlignment="1" applyProtection="1">
      <alignment vertical="center"/>
      <protection/>
    </xf>
    <xf numFmtId="171" fontId="4" fillId="33" borderId="19"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1" xfId="0" applyFill="1" applyBorder="1" applyAlignment="1" applyProtection="1">
      <alignment vertical="center"/>
      <protection/>
    </xf>
    <xf numFmtId="37" fontId="3" fillId="38" borderId="0" xfId="0" applyNumberFormat="1" applyFont="1" applyFill="1" applyAlignment="1" applyProtection="1">
      <alignment horizontal="left" vertical="center"/>
      <protection/>
    </xf>
    <xf numFmtId="3" fontId="4" fillId="38" borderId="0" xfId="0" applyNumberFormat="1" applyFont="1" applyFill="1" applyAlignment="1" applyProtection="1">
      <alignment vertical="center"/>
      <protection/>
    </xf>
    <xf numFmtId="3" fontId="4" fillId="34" borderId="17"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0" fontId="3" fillId="38" borderId="0" xfId="0" applyFont="1" applyFill="1" applyAlignment="1">
      <alignment vertical="center"/>
    </xf>
    <xf numFmtId="0" fontId="2" fillId="38" borderId="0" xfId="0" applyFont="1" applyFill="1" applyAlignment="1">
      <alignment vertical="center"/>
    </xf>
    <xf numFmtId="0" fontId="0" fillId="38" borderId="0" xfId="0" applyFill="1" applyAlignment="1" applyProtection="1">
      <alignment vertical="center"/>
      <protection locked="0"/>
    </xf>
    <xf numFmtId="0" fontId="4"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4" fillId="34" borderId="16" xfId="0" applyFont="1" applyFill="1" applyBorder="1" applyAlignment="1">
      <alignment vertical="center"/>
    </xf>
    <xf numFmtId="0" fontId="0" fillId="34" borderId="16" xfId="0" applyFill="1" applyBorder="1" applyAlignment="1">
      <alignment vertical="center"/>
    </xf>
    <xf numFmtId="0" fontId="0" fillId="34" borderId="18" xfId="0" applyFill="1" applyBorder="1" applyAlignment="1">
      <alignment vertical="center"/>
    </xf>
    <xf numFmtId="0" fontId="0" fillId="36" borderId="0" xfId="0" applyFill="1" applyAlignment="1">
      <alignment vertical="center"/>
    </xf>
    <xf numFmtId="0" fontId="4" fillId="37" borderId="12" xfId="0" applyFont="1" applyFill="1" applyBorder="1" applyAlignment="1">
      <alignment horizontal="center" vertical="center"/>
    </xf>
    <xf numFmtId="0" fontId="4" fillId="37" borderId="14" xfId="0" applyFont="1" applyFill="1" applyBorder="1" applyAlignment="1">
      <alignment horizontal="center" vertical="center"/>
    </xf>
    <xf numFmtId="0" fontId="15" fillId="34" borderId="0" xfId="0" applyFont="1" applyFill="1" applyAlignment="1">
      <alignment vertical="center"/>
    </xf>
    <xf numFmtId="0" fontId="18" fillId="34" borderId="0" xfId="0" applyFont="1" applyFill="1" applyAlignment="1">
      <alignment vertical="center"/>
    </xf>
    <xf numFmtId="37" fontId="4" fillId="34" borderId="10" xfId="0" applyNumberFormat="1" applyFont="1" applyFill="1" applyBorder="1" applyAlignment="1">
      <alignment vertical="center"/>
    </xf>
    <xf numFmtId="0" fontId="4" fillId="34" borderId="0" xfId="0" applyFont="1" applyFill="1" applyAlignment="1" applyProtection="1">
      <alignment horizontal="right" vertical="center"/>
      <protection/>
    </xf>
    <xf numFmtId="37" fontId="4" fillId="34" borderId="0" xfId="0" applyNumberFormat="1"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37" fontId="4" fillId="34" borderId="20" xfId="0" applyNumberFormat="1" applyFont="1" applyFill="1" applyBorder="1" applyAlignment="1" applyProtection="1">
      <alignment horizontal="centerContinuous" vertical="center"/>
      <protection/>
    </xf>
    <xf numFmtId="0" fontId="4" fillId="34" borderId="16" xfId="0" applyFont="1" applyFill="1" applyBorder="1" applyAlignment="1" applyProtection="1">
      <alignment horizontal="centerContinuous" vertical="center"/>
      <protection/>
    </xf>
    <xf numFmtId="0" fontId="4" fillId="34" borderId="18" xfId="0" applyFont="1" applyFill="1" applyBorder="1" applyAlignment="1" applyProtection="1">
      <alignment horizontal="centerContinuous" vertical="center"/>
      <protection/>
    </xf>
    <xf numFmtId="37" fontId="4" fillId="34" borderId="11" xfId="0" applyNumberFormat="1" applyFont="1" applyFill="1" applyBorder="1" applyAlignment="1" applyProtection="1">
      <alignment horizontal="fill" vertical="center"/>
      <protection/>
    </xf>
    <xf numFmtId="37" fontId="4" fillId="34" borderId="12" xfId="0" applyNumberFormat="1" applyFont="1" applyFill="1" applyBorder="1" applyAlignment="1" applyProtection="1">
      <alignment horizontal="left" vertical="center"/>
      <protection/>
    </xf>
    <xf numFmtId="37" fontId="4" fillId="34" borderId="12" xfId="0" applyNumberFormat="1" applyFont="1" applyFill="1" applyBorder="1" applyAlignment="1" applyProtection="1">
      <alignment horizontal="center" vertical="center"/>
      <protection/>
    </xf>
    <xf numFmtId="37" fontId="4" fillId="34" borderId="13" xfId="0" applyNumberFormat="1" applyFont="1" applyFill="1" applyBorder="1" applyAlignment="1" applyProtection="1">
      <alignment horizontal="center" vertical="center"/>
      <protection/>
    </xf>
    <xf numFmtId="0" fontId="4" fillId="34" borderId="13" xfId="0" applyFont="1" applyFill="1" applyBorder="1" applyAlignment="1">
      <alignment horizontal="center" vertical="center"/>
    </xf>
    <xf numFmtId="37" fontId="3" fillId="34" borderId="11" xfId="0" applyNumberFormat="1" applyFont="1" applyFill="1" applyBorder="1" applyAlignment="1" applyProtection="1">
      <alignment horizontal="left" vertical="center"/>
      <protection/>
    </xf>
    <xf numFmtId="37" fontId="4" fillId="34" borderId="14" xfId="0" applyNumberFormat="1" applyFont="1" applyFill="1" applyBorder="1" applyAlignment="1" applyProtection="1">
      <alignment horizontal="center" vertical="center"/>
      <protection/>
    </xf>
    <xf numFmtId="0" fontId="4" fillId="34" borderId="14" xfId="0" applyFont="1" applyFill="1" applyBorder="1" applyAlignment="1">
      <alignment horizontal="center" vertical="center"/>
    </xf>
    <xf numFmtId="37" fontId="4" fillId="34" borderId="20" xfId="0" applyNumberFormat="1" applyFont="1" applyFill="1" applyBorder="1" applyAlignment="1" applyProtection="1">
      <alignment horizontal="left" vertical="center"/>
      <protection/>
    </xf>
    <xf numFmtId="37" fontId="4" fillId="34" borderId="10" xfId="0" applyNumberFormat="1" applyFont="1" applyFill="1" applyBorder="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3" xfId="0" applyFont="1" applyFill="1" applyBorder="1" applyAlignment="1" applyProtection="1">
      <alignment vertical="center"/>
      <protection/>
    </xf>
    <xf numFmtId="37" fontId="12" fillId="34" borderId="20" xfId="0" applyNumberFormat="1" applyFont="1" applyFill="1" applyBorder="1" applyAlignment="1" applyProtection="1">
      <alignment horizontal="left" vertical="center"/>
      <protection/>
    </xf>
    <xf numFmtId="37" fontId="12" fillId="34" borderId="18" xfId="0" applyNumberFormat="1"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xf>
    <xf numFmtId="0" fontId="4" fillId="34" borderId="14" xfId="0" applyFont="1" applyFill="1" applyBorder="1" applyAlignment="1" applyProtection="1">
      <alignment vertical="center"/>
      <protection/>
    </xf>
    <xf numFmtId="37" fontId="4" fillId="35" borderId="10"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vertical="center"/>
      <protection/>
    </xf>
    <xf numFmtId="0" fontId="4" fillId="34" borderId="18" xfId="0" applyFont="1" applyFill="1" applyBorder="1" applyAlignment="1" applyProtection="1">
      <alignment horizontal="center" vertical="center"/>
      <protection/>
    </xf>
    <xf numFmtId="37" fontId="4" fillId="34" borderId="18" xfId="0" applyNumberFormat="1" applyFont="1" applyFill="1" applyBorder="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4" fillId="34" borderId="22" xfId="0" applyFont="1" applyFill="1" applyBorder="1" applyAlignment="1" applyProtection="1">
      <alignment horizontal="center" vertical="center"/>
      <protection/>
    </xf>
    <xf numFmtId="37" fontId="4" fillId="40" borderId="10" xfId="0" applyNumberFormat="1" applyFont="1" applyFill="1" applyBorder="1" applyAlignment="1" applyProtection="1">
      <alignment horizontal="left" vertical="center"/>
      <protection/>
    </xf>
    <xf numFmtId="0" fontId="4" fillId="40" borderId="10" xfId="0" applyFont="1" applyFill="1" applyBorder="1" applyAlignment="1" applyProtection="1">
      <alignment vertical="center"/>
      <protection/>
    </xf>
    <xf numFmtId="37" fontId="4" fillId="40" borderId="10" xfId="0" applyNumberFormat="1" applyFont="1" applyFill="1" applyBorder="1" applyAlignment="1" applyProtection="1">
      <alignment vertical="center"/>
      <protection/>
    </xf>
    <xf numFmtId="0" fontId="0" fillId="40" borderId="10" xfId="0" applyFill="1" applyBorder="1" applyAlignment="1" applyProtection="1">
      <alignment vertical="center"/>
      <protection/>
    </xf>
    <xf numFmtId="0" fontId="15" fillId="40" borderId="18" xfId="0" applyFont="1" applyFill="1" applyBorder="1" applyAlignment="1" applyProtection="1">
      <alignment horizontal="center" vertical="center"/>
      <protection/>
    </xf>
    <xf numFmtId="37" fontId="4" fillId="34" borderId="0" xfId="0" applyNumberFormat="1" applyFont="1" applyFill="1" applyAlignment="1" applyProtection="1">
      <alignment horizontal="right" vertical="center"/>
      <protection/>
    </xf>
    <xf numFmtId="0" fontId="4" fillId="34" borderId="0" xfId="0" applyFont="1" applyFill="1" applyBorder="1" applyAlignment="1" applyProtection="1">
      <alignment horizontal="right" vertical="center"/>
      <protection/>
    </xf>
    <xf numFmtId="0" fontId="4" fillId="34" borderId="0" xfId="0" applyFont="1" applyFill="1" applyAlignment="1" applyProtection="1">
      <alignment horizontal="left" vertical="center"/>
      <protection/>
    </xf>
    <xf numFmtId="0" fontId="4" fillId="34" borderId="0" xfId="0" applyFont="1" applyFill="1" applyAlignment="1" applyProtection="1">
      <alignment horizontal="center" vertical="center"/>
      <protection/>
    </xf>
    <xf numFmtId="0" fontId="4" fillId="34" borderId="0" xfId="0" applyFont="1" applyFill="1" applyAlignment="1">
      <alignment vertical="center"/>
    </xf>
    <xf numFmtId="37" fontId="4" fillId="34" borderId="0" xfId="0" applyNumberFormat="1" applyFont="1" applyFill="1" applyAlignment="1">
      <alignment vertical="center"/>
    </xf>
    <xf numFmtId="0" fontId="3" fillId="34" borderId="0" xfId="0" applyFont="1" applyFill="1" applyAlignment="1">
      <alignment horizontal="center" vertical="center"/>
    </xf>
    <xf numFmtId="0" fontId="3" fillId="34" borderId="0" xfId="0" applyFont="1" applyFill="1" applyAlignment="1">
      <alignment horizontal="center" vertical="center" wrapText="1"/>
    </xf>
    <xf numFmtId="0" fontId="4" fillId="34" borderId="0" xfId="0" applyFont="1" applyFill="1" applyAlignment="1" quotePrefix="1">
      <alignment horizontal="right" vertical="center"/>
    </xf>
    <xf numFmtId="3" fontId="4" fillId="34" borderId="0" xfId="0" applyNumberFormat="1" applyFont="1" applyFill="1" applyAlignment="1">
      <alignment vertical="center"/>
    </xf>
    <xf numFmtId="3" fontId="4" fillId="34" borderId="0" xfId="0" applyNumberFormat="1" applyFont="1" applyFill="1" applyAlignment="1" quotePrefix="1">
      <alignment vertical="center"/>
    </xf>
    <xf numFmtId="3" fontId="4" fillId="34" borderId="11" xfId="0" applyNumberFormat="1" applyFont="1" applyFill="1" applyBorder="1" applyAlignment="1">
      <alignment vertical="center"/>
    </xf>
    <xf numFmtId="3" fontId="4" fillId="34" borderId="16" xfId="0" applyNumberFormat="1" applyFont="1" applyFill="1" applyBorder="1" applyAlignment="1" applyProtection="1">
      <alignment horizontal="right" vertical="center"/>
      <protection/>
    </xf>
    <xf numFmtId="0" fontId="3" fillId="34" borderId="0" xfId="0" applyFont="1" applyFill="1" applyAlignment="1">
      <alignment vertical="center"/>
    </xf>
    <xf numFmtId="3" fontId="4" fillId="34" borderId="16" xfId="0" applyNumberFormat="1" applyFont="1" applyFill="1" applyBorder="1" applyAlignment="1">
      <alignment vertical="center"/>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lignment vertical="center"/>
    </xf>
    <xf numFmtId="0" fontId="4" fillId="34" borderId="0" xfId="0" applyFont="1" applyFill="1" applyAlignment="1" quotePrefix="1">
      <alignment vertical="center"/>
    </xf>
    <xf numFmtId="0" fontId="4" fillId="34" borderId="0" xfId="0" applyFont="1" applyFill="1" applyAlignment="1">
      <alignment horizontal="right" vertical="center"/>
    </xf>
    <xf numFmtId="3" fontId="4" fillId="34" borderId="16" xfId="0" applyNumberFormat="1" applyFont="1" applyFill="1" applyBorder="1" applyAlignment="1" applyProtection="1">
      <alignment vertical="center"/>
      <protection/>
    </xf>
    <xf numFmtId="3" fontId="4" fillId="34" borderId="19" xfId="0" applyNumberFormat="1" applyFont="1" applyFill="1" applyBorder="1" applyAlignment="1">
      <alignment vertical="center"/>
    </xf>
    <xf numFmtId="0" fontId="4" fillId="34" borderId="19" xfId="0" applyFont="1" applyFill="1" applyBorder="1" applyAlignment="1">
      <alignment vertical="center"/>
    </xf>
    <xf numFmtId="0" fontId="4" fillId="34" borderId="0" xfId="0" applyFont="1" applyFill="1" applyBorder="1" applyAlignment="1">
      <alignment vertical="center"/>
    </xf>
    <xf numFmtId="167" fontId="4" fillId="34" borderId="11" xfId="0" applyNumberFormat="1" applyFont="1" applyFill="1" applyBorder="1" applyAlignment="1">
      <alignment vertical="center"/>
    </xf>
    <xf numFmtId="0" fontId="4" fillId="34" borderId="0" xfId="0" applyFont="1" applyFill="1" applyBorder="1" applyAlignment="1" quotePrefix="1">
      <alignment vertical="center"/>
    </xf>
    <xf numFmtId="3" fontId="4" fillId="34" borderId="23" xfId="0" applyNumberFormat="1" applyFont="1" applyFill="1" applyBorder="1" applyAlignment="1">
      <alignment vertical="center"/>
    </xf>
    <xf numFmtId="3" fontId="4" fillId="34" borderId="11" xfId="42" applyNumberFormat="1" applyFont="1" applyFill="1" applyBorder="1" applyAlignment="1" applyProtection="1">
      <alignment vertical="center"/>
      <protection/>
    </xf>
    <xf numFmtId="0" fontId="6" fillId="0" borderId="0" xfId="0" applyFont="1" applyAlignment="1">
      <alignment vertical="center"/>
    </xf>
    <xf numFmtId="37" fontId="4" fillId="34" borderId="0" xfId="0" applyNumberFormat="1" applyFont="1" applyFill="1" applyAlignment="1" applyProtection="1">
      <alignment vertical="center"/>
      <protection/>
    </xf>
    <xf numFmtId="0" fontId="4" fillId="34" borderId="11"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66" fontId="4" fillId="34" borderId="0" xfId="0" applyNumberFormat="1" applyFont="1" applyFill="1" applyAlignment="1" applyProtection="1">
      <alignment vertical="center"/>
      <protection/>
    </xf>
    <xf numFmtId="37" fontId="4" fillId="34" borderId="11" xfId="0" applyNumberFormat="1" applyFont="1" applyFill="1" applyBorder="1" applyAlignment="1" applyProtection="1">
      <alignment vertical="center"/>
      <protection/>
    </xf>
    <xf numFmtId="165" fontId="4" fillId="35" borderId="11" xfId="0" applyNumberFormat="1" applyFont="1" applyFill="1" applyBorder="1" applyAlignment="1" applyProtection="1">
      <alignment vertical="center"/>
      <protection/>
    </xf>
    <xf numFmtId="0" fontId="3" fillId="34" borderId="11" xfId="0" applyFont="1" applyFill="1" applyBorder="1" applyAlignment="1" applyProtection="1">
      <alignment horizontal="center" vertical="center"/>
      <protection/>
    </xf>
    <xf numFmtId="0" fontId="3" fillId="34" borderId="12" xfId="0" applyFont="1" applyFill="1" applyBorder="1" applyAlignment="1" applyProtection="1">
      <alignment horizontal="center" vertical="center"/>
      <protection/>
    </xf>
    <xf numFmtId="0" fontId="3" fillId="34" borderId="13" xfId="0" applyFont="1" applyFill="1" applyBorder="1" applyAlignment="1" applyProtection="1">
      <alignment horizontal="center" vertical="center"/>
      <protection/>
    </xf>
    <xf numFmtId="0" fontId="3"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33" borderId="14" xfId="0" applyFont="1" applyFill="1" applyBorder="1" applyAlignment="1" applyProtection="1">
      <alignment vertical="center"/>
      <protection locked="0"/>
    </xf>
    <xf numFmtId="170" fontId="4" fillId="33" borderId="14" xfId="42" applyNumberFormat="1" applyFont="1" applyFill="1" applyBorder="1" applyAlignment="1" applyProtection="1">
      <alignment horizontal="center" vertical="center"/>
      <protection locked="0"/>
    </xf>
    <xf numFmtId="0" fontId="4" fillId="33" borderId="14" xfId="0" applyFont="1" applyFill="1" applyBorder="1" applyAlignment="1" applyProtection="1">
      <alignment horizontal="center" vertical="center"/>
      <protection locked="0"/>
    </xf>
    <xf numFmtId="0" fontId="4" fillId="33" borderId="10" xfId="0" applyFont="1" applyFill="1" applyBorder="1" applyAlignment="1" applyProtection="1">
      <alignment vertical="center"/>
      <protection locked="0"/>
    </xf>
    <xf numFmtId="170" fontId="4" fillId="33" borderId="10" xfId="42" applyNumberFormat="1" applyFont="1" applyFill="1" applyBorder="1" applyAlignment="1" applyProtection="1">
      <alignment horizontal="center" vertical="center"/>
      <protection locked="0"/>
    </xf>
    <xf numFmtId="0" fontId="3" fillId="34" borderId="10" xfId="0" applyFont="1" applyFill="1" applyBorder="1" applyAlignment="1" applyProtection="1">
      <alignment horizontal="center" vertical="center"/>
      <protection/>
    </xf>
    <xf numFmtId="3" fontId="4" fillId="35" borderId="10" xfId="0" applyNumberFormat="1" applyFont="1" applyFill="1" applyBorder="1" applyAlignment="1" applyProtection="1">
      <alignment horizontal="center" vertical="center"/>
      <protection/>
    </xf>
    <xf numFmtId="0" fontId="4" fillId="34" borderId="0" xfId="0" applyFont="1" applyFill="1" applyAlignment="1" applyProtection="1">
      <alignment horizontal="center" vertical="center"/>
      <protection locked="0"/>
    </xf>
    <xf numFmtId="37" fontId="3" fillId="34" borderId="10" xfId="0" applyNumberFormat="1"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locked="0"/>
    </xf>
    <xf numFmtId="1" fontId="4" fillId="34" borderId="0" xfId="0" applyNumberFormat="1" applyFont="1" applyFill="1" applyBorder="1" applyAlignment="1" applyProtection="1">
      <alignment horizontal="right" vertical="center"/>
      <protection/>
    </xf>
    <xf numFmtId="0" fontId="3" fillId="34" borderId="0" xfId="366" applyFont="1" applyFill="1" applyAlignment="1" applyProtection="1">
      <alignment horizontal="centerContinuous" vertical="center"/>
      <protection/>
    </xf>
    <xf numFmtId="0" fontId="4" fillId="34" borderId="11" xfId="0" applyFont="1" applyFill="1" applyBorder="1" applyAlignment="1" applyProtection="1">
      <alignment horizontal="fill" vertical="center"/>
      <protection/>
    </xf>
    <xf numFmtId="0" fontId="4" fillId="34" borderId="24"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 vertical="center"/>
      <protection/>
    </xf>
    <xf numFmtId="1" fontId="4" fillId="34" borderId="25" xfId="0" applyNumberFormat="1" applyFont="1" applyFill="1" applyBorder="1" applyAlignment="1" applyProtection="1">
      <alignment horizontal="center" vertical="center"/>
      <protection/>
    </xf>
    <xf numFmtId="0" fontId="4" fillId="34" borderId="10" xfId="0" applyFont="1" applyFill="1" applyBorder="1" applyAlignment="1" applyProtection="1">
      <alignment horizontal="left" vertical="center"/>
      <protection/>
    </xf>
    <xf numFmtId="2" fontId="4" fillId="34" borderId="10"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2" fontId="4" fillId="33" borderId="10" xfId="0" applyNumberFormat="1" applyFont="1" applyFill="1" applyBorder="1" applyAlignment="1" applyProtection="1">
      <alignment horizontal="center" vertical="center"/>
      <protection locked="0"/>
    </xf>
    <xf numFmtId="3" fontId="4" fillId="33" borderId="10" xfId="0" applyNumberFormat="1" applyFont="1" applyFill="1" applyBorder="1" applyAlignment="1" applyProtection="1">
      <alignment horizontal="center" vertical="center"/>
      <protection locked="0"/>
    </xf>
    <xf numFmtId="37" fontId="4" fillId="33" borderId="10" xfId="0" applyNumberFormat="1" applyFont="1" applyFill="1" applyBorder="1" applyAlignment="1" applyProtection="1">
      <alignment horizontal="center" vertical="center"/>
      <protection locked="0"/>
    </xf>
    <xf numFmtId="169" fontId="4" fillId="33" borderId="10" xfId="0" applyNumberFormat="1" applyFont="1" applyFill="1" applyBorder="1" applyAlignment="1" applyProtection="1">
      <alignment horizontal="center" vertical="center"/>
      <protection locked="0"/>
    </xf>
    <xf numFmtId="0" fontId="3" fillId="34" borderId="10" xfId="0" applyFont="1" applyFill="1" applyBorder="1" applyAlignment="1" applyProtection="1">
      <alignment horizontal="left" vertical="center"/>
      <protection/>
    </xf>
    <xf numFmtId="168" fontId="3" fillId="34" borderId="10" xfId="0" applyNumberFormat="1" applyFont="1" applyFill="1" applyBorder="1" applyAlignment="1" applyProtection="1">
      <alignment horizontal="center" vertical="center"/>
      <protection/>
    </xf>
    <xf numFmtId="2" fontId="3" fillId="34" borderId="10" xfId="0" applyNumberFormat="1" applyFont="1" applyFill="1" applyBorder="1" applyAlignment="1" applyProtection="1">
      <alignment horizontal="center" vertical="center"/>
      <protection/>
    </xf>
    <xf numFmtId="3" fontId="3" fillId="34" borderId="10" xfId="0" applyNumberFormat="1" applyFont="1" applyFill="1" applyBorder="1" applyAlignment="1" applyProtection="1">
      <alignment horizontal="center" vertical="center"/>
      <protection/>
    </xf>
    <xf numFmtId="37" fontId="3" fillId="35" borderId="10" xfId="0" applyNumberFormat="1" applyFont="1" applyFill="1" applyBorder="1" applyAlignment="1" applyProtection="1">
      <alignment horizontal="center" vertical="center"/>
      <protection/>
    </xf>
    <xf numFmtId="169" fontId="3" fillId="34" borderId="10" xfId="0" applyNumberFormat="1" applyFont="1" applyFill="1" applyBorder="1" applyAlignment="1" applyProtection="1">
      <alignment horizontal="center" vertical="center"/>
      <protection/>
    </xf>
    <xf numFmtId="168"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69" fontId="4" fillId="34" borderId="10" xfId="0" applyNumberFormat="1" applyFont="1" applyFill="1" applyBorder="1" applyAlignment="1" applyProtection="1">
      <alignment horizontal="center" vertical="center"/>
      <protection/>
    </xf>
    <xf numFmtId="1" fontId="3" fillId="34" borderId="10" xfId="0" applyNumberFormat="1" applyFont="1" applyFill="1" applyBorder="1" applyAlignment="1" applyProtection="1">
      <alignment horizontal="center" vertical="center"/>
      <protection/>
    </xf>
    <xf numFmtId="3" fontId="3" fillId="35"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34" borderId="0" xfId="0" applyNumberFormat="1" applyFont="1" applyFill="1" applyAlignment="1" applyProtection="1">
      <alignment horizontal="right" vertical="center"/>
      <protection/>
    </xf>
    <xf numFmtId="0" fontId="3" fillId="34" borderId="0" xfId="0" applyFont="1" applyFill="1" applyAlignment="1" applyProtection="1">
      <alignment vertical="center"/>
      <protection/>
    </xf>
    <xf numFmtId="0" fontId="4" fillId="34" borderId="0" xfId="0" applyFont="1" applyFill="1" applyBorder="1" applyAlignment="1" applyProtection="1">
      <alignment horizontal="fill" vertical="center"/>
      <protection/>
    </xf>
    <xf numFmtId="0" fontId="4" fillId="34" borderId="14" xfId="0" applyNumberFormat="1" applyFont="1" applyFill="1" applyBorder="1" applyAlignment="1" applyProtection="1">
      <alignment horizontal="center" vertical="center"/>
      <protection/>
    </xf>
    <xf numFmtId="0" fontId="4" fillId="34" borderId="20" xfId="0" applyFont="1" applyFill="1" applyBorder="1" applyAlignment="1" applyProtection="1">
      <alignment horizontal="left" vertical="center"/>
      <protection/>
    </xf>
    <xf numFmtId="37" fontId="4" fillId="33" borderId="20" xfId="0" applyNumberFormat="1" applyFont="1" applyFill="1" applyBorder="1" applyAlignment="1" applyProtection="1">
      <alignment vertical="center"/>
      <protection locked="0"/>
    </xf>
    <xf numFmtId="3" fontId="4" fillId="34" borderId="20" xfId="0" applyNumberFormat="1"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3" fontId="4" fillId="33" borderId="20" xfId="0" applyNumberFormat="1" applyFont="1" applyFill="1" applyBorder="1" applyAlignment="1" applyProtection="1">
      <alignment vertical="center"/>
      <protection locked="0"/>
    </xf>
    <xf numFmtId="3" fontId="4" fillId="33" borderId="18" xfId="0" applyNumberFormat="1" applyFont="1" applyFill="1" applyBorder="1" applyAlignment="1" applyProtection="1">
      <alignment vertical="center"/>
      <protection locked="0"/>
    </xf>
    <xf numFmtId="37" fontId="4" fillId="34" borderId="10" xfId="0" applyNumberFormat="1" applyFont="1" applyFill="1" applyBorder="1" applyAlignment="1" applyProtection="1">
      <alignment horizontal="fill" vertical="center"/>
      <protection/>
    </xf>
    <xf numFmtId="37" fontId="4" fillId="33" borderId="10" xfId="0" applyNumberFormat="1" applyFont="1" applyFill="1" applyBorder="1" applyAlignment="1" applyProtection="1">
      <alignment vertical="center"/>
      <protection locked="0"/>
    </xf>
    <xf numFmtId="0" fontId="4" fillId="33" borderId="20" xfId="0" applyFont="1" applyFill="1" applyBorder="1" applyAlignment="1" applyProtection="1">
      <alignment horizontal="left" vertical="center"/>
      <protection locked="0"/>
    </xf>
    <xf numFmtId="37" fontId="15" fillId="40" borderId="20" xfId="0" applyNumberFormat="1" applyFont="1" applyFill="1" applyBorder="1" applyAlignment="1" applyProtection="1">
      <alignment horizontal="center" vertical="center"/>
      <protection/>
    </xf>
    <xf numFmtId="37" fontId="15" fillId="40" borderId="18" xfId="0" applyNumberFormat="1" applyFont="1" applyFill="1" applyBorder="1" applyAlignment="1" applyProtection="1">
      <alignment horizontal="center" vertical="center"/>
      <protection/>
    </xf>
    <xf numFmtId="37" fontId="3" fillId="34" borderId="20" xfId="0" applyNumberFormat="1" applyFont="1" applyFill="1" applyBorder="1" applyAlignment="1" applyProtection="1">
      <alignment horizontal="left" vertical="center"/>
      <protection/>
    </xf>
    <xf numFmtId="37" fontId="3" fillId="35" borderId="10" xfId="0" applyNumberFormat="1" applyFont="1" applyFill="1" applyBorder="1" applyAlignment="1" applyProtection="1">
      <alignment vertical="center"/>
      <protection/>
    </xf>
    <xf numFmtId="3" fontId="3" fillId="35" borderId="20" xfId="0" applyNumberFormat="1" applyFont="1" applyFill="1" applyBorder="1" applyAlignment="1" applyProtection="1">
      <alignment vertical="center"/>
      <protection/>
    </xf>
    <xf numFmtId="3" fontId="3" fillId="35" borderId="10" xfId="0" applyNumberFormat="1" applyFont="1" applyFill="1" applyBorder="1" applyAlignment="1" applyProtection="1">
      <alignment vertical="center"/>
      <protection/>
    </xf>
    <xf numFmtId="0" fontId="3" fillId="34" borderId="0" xfId="0" applyFont="1" applyFill="1" applyAlignment="1" applyProtection="1">
      <alignment horizontal="left" vertical="center"/>
      <protection/>
    </xf>
    <xf numFmtId="0" fontId="3" fillId="34" borderId="20" xfId="0" applyFont="1" applyFill="1" applyBorder="1" applyAlignment="1" applyProtection="1">
      <alignment horizontal="left" vertical="center"/>
      <protection/>
    </xf>
    <xf numFmtId="3" fontId="4" fillId="35" borderId="20" xfId="0" applyNumberFormat="1" applyFont="1" applyFill="1" applyBorder="1" applyAlignment="1" applyProtection="1">
      <alignment vertical="center"/>
      <protection/>
    </xf>
    <xf numFmtId="3" fontId="4" fillId="0" borderId="0" xfId="0" applyNumberFormat="1" applyFont="1" applyFill="1" applyBorder="1" applyAlignment="1" applyProtection="1">
      <alignment vertical="center"/>
      <protection locked="0"/>
    </xf>
    <xf numFmtId="0" fontId="4" fillId="35" borderId="20" xfId="0" applyFont="1" applyFill="1" applyBorder="1" applyAlignment="1" applyProtection="1">
      <alignment vertical="center"/>
      <protection/>
    </xf>
    <xf numFmtId="0" fontId="4" fillId="33" borderId="20" xfId="0" applyFont="1" applyFill="1" applyBorder="1" applyAlignment="1" applyProtection="1">
      <alignment vertical="center"/>
      <protection locked="0"/>
    </xf>
    <xf numFmtId="0" fontId="4" fillId="34" borderId="20" xfId="0" applyFont="1" applyFill="1" applyBorder="1" applyAlignment="1" applyProtection="1">
      <alignment vertical="center"/>
      <protection/>
    </xf>
    <xf numFmtId="37" fontId="4" fillId="35" borderId="10" xfId="0" applyNumberFormat="1" applyFont="1" applyFill="1" applyBorder="1" applyAlignment="1" applyProtection="1">
      <alignment vertical="center"/>
      <protection/>
    </xf>
    <xf numFmtId="0" fontId="15" fillId="0" borderId="0" xfId="0" applyFont="1" applyAlignment="1" applyProtection="1">
      <alignment vertical="center"/>
      <protection/>
    </xf>
    <xf numFmtId="0" fontId="13"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1" fontId="4" fillId="34" borderId="12" xfId="0" applyNumberFormat="1" applyFont="1" applyFill="1" applyBorder="1" applyAlignment="1" applyProtection="1">
      <alignment horizontal="center" vertical="center"/>
      <protection/>
    </xf>
    <xf numFmtId="0" fontId="4" fillId="33" borderId="10" xfId="0" applyFont="1" applyFill="1" applyBorder="1" applyAlignment="1" applyProtection="1">
      <alignment horizontal="left" vertical="center"/>
      <protection locked="0"/>
    </xf>
    <xf numFmtId="0" fontId="4" fillId="33" borderId="10" xfId="0" applyFont="1" applyFill="1" applyBorder="1" applyAlignment="1" applyProtection="1">
      <alignment horizontal="left" vertical="center"/>
      <protection locked="0"/>
    </xf>
    <xf numFmtId="0" fontId="4" fillId="33" borderId="0" xfId="0" applyFont="1" applyFill="1" applyAlignment="1" applyProtection="1">
      <alignment horizontal="left" vertical="center"/>
      <protection locked="0"/>
    </xf>
    <xf numFmtId="37" fontId="3" fillId="35" borderId="15" xfId="0" applyNumberFormat="1" applyFont="1" applyFill="1" applyBorder="1" applyAlignment="1" applyProtection="1">
      <alignment vertical="center"/>
      <protection/>
    </xf>
    <xf numFmtId="0" fontId="15" fillId="34" borderId="0" xfId="0" applyFont="1" applyFill="1" applyAlignment="1" applyProtection="1">
      <alignment vertical="center"/>
      <protection/>
    </xf>
    <xf numFmtId="37" fontId="4" fillId="34" borderId="25" xfId="0" applyNumberFormat="1" applyFont="1" applyFill="1" applyBorder="1" applyAlignment="1" applyProtection="1">
      <alignment horizontal="left" vertical="center"/>
      <protection/>
    </xf>
    <xf numFmtId="3" fontId="4" fillId="41" borderId="10" xfId="0" applyNumberFormat="1" applyFont="1" applyFill="1" applyBorder="1" applyAlignment="1" applyProtection="1">
      <alignment vertical="center"/>
      <protection/>
    </xf>
    <xf numFmtId="37" fontId="4" fillId="34" borderId="0" xfId="0" applyNumberFormat="1" applyFont="1" applyFill="1" applyBorder="1" applyAlignment="1" applyProtection="1">
      <alignment horizontal="fill" vertical="center"/>
      <protection/>
    </xf>
    <xf numFmtId="3" fontId="4" fillId="34" borderId="10" xfId="0" applyNumberFormat="1" applyFont="1" applyFill="1" applyBorder="1" applyAlignment="1" applyProtection="1">
      <alignment vertical="center"/>
      <protection locked="0"/>
    </xf>
    <xf numFmtId="0" fontId="4" fillId="34" borderId="20" xfId="0" applyFont="1" applyFill="1" applyBorder="1" applyAlignment="1" applyProtection="1">
      <alignment vertical="center"/>
      <protection locked="0"/>
    </xf>
    <xf numFmtId="3" fontId="4" fillId="34" borderId="11" xfId="0" applyNumberFormat="1" applyFont="1" applyFill="1" applyBorder="1" applyAlignment="1" applyProtection="1">
      <alignment horizontal="fill" vertical="center"/>
      <protection/>
    </xf>
    <xf numFmtId="0" fontId="4" fillId="34" borderId="24" xfId="0" applyFont="1" applyFill="1" applyBorder="1" applyAlignment="1" applyProtection="1">
      <alignment vertical="center"/>
      <protection/>
    </xf>
    <xf numFmtId="37" fontId="15" fillId="40" borderId="10"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19" fillId="34" borderId="0" xfId="0" applyFont="1" applyFill="1" applyAlignment="1">
      <alignment horizontal="center" vertical="center"/>
    </xf>
    <xf numFmtId="0" fontId="12" fillId="34" borderId="0" xfId="0" applyFont="1" applyFill="1" applyAlignment="1">
      <alignment horizontal="center" vertical="center"/>
    </xf>
    <xf numFmtId="0" fontId="4" fillId="34" borderId="18" xfId="0" applyFont="1" applyFill="1" applyBorder="1" applyAlignment="1">
      <alignment horizontal="center" vertical="center"/>
    </xf>
    <xf numFmtId="0" fontId="11" fillId="34" borderId="12" xfId="0" applyFont="1" applyFill="1" applyBorder="1" applyAlignment="1">
      <alignment vertical="center"/>
    </xf>
    <xf numFmtId="0" fontId="11" fillId="34" borderId="18" xfId="0" applyFont="1" applyFill="1" applyBorder="1" applyAlignment="1">
      <alignment horizontal="center" vertical="center"/>
    </xf>
    <xf numFmtId="0" fontId="11" fillId="34" borderId="22" xfId="0" applyFont="1" applyFill="1" applyBorder="1" applyAlignment="1">
      <alignment vertical="center"/>
    </xf>
    <xf numFmtId="0" fontId="11" fillId="34" borderId="10" xfId="0" applyFont="1" applyFill="1" applyBorder="1" applyAlignment="1">
      <alignment horizontal="center" vertical="center"/>
    </xf>
    <xf numFmtId="0" fontId="4" fillId="34" borderId="18" xfId="0" applyFont="1" applyFill="1" applyBorder="1" applyAlignment="1">
      <alignment vertical="center"/>
    </xf>
    <xf numFmtId="0" fontId="4" fillId="34" borderId="10" xfId="0" applyFont="1" applyFill="1" applyBorder="1" applyAlignment="1">
      <alignment horizontal="center" vertical="center"/>
    </xf>
    <xf numFmtId="0" fontId="11" fillId="34" borderId="25" xfId="0" applyFont="1" applyFill="1" applyBorder="1" applyAlignment="1">
      <alignment vertical="center"/>
    </xf>
    <xf numFmtId="3" fontId="11" fillId="33" borderId="10" xfId="0" applyNumberFormat="1" applyFont="1" applyFill="1" applyBorder="1" applyAlignment="1" applyProtection="1">
      <alignment horizontal="center" vertical="center"/>
      <protection locked="0"/>
    </xf>
    <xf numFmtId="0" fontId="11" fillId="34" borderId="11" xfId="0" applyFont="1" applyFill="1" applyBorder="1" applyAlignment="1">
      <alignment vertical="center"/>
    </xf>
    <xf numFmtId="3" fontId="11" fillId="35" borderId="10" xfId="0" applyNumberFormat="1" applyFont="1" applyFill="1" applyBorder="1" applyAlignment="1">
      <alignment horizontal="center" vertical="center"/>
    </xf>
    <xf numFmtId="0" fontId="11" fillId="34" borderId="0" xfId="0" applyFont="1" applyFill="1" applyAlignment="1">
      <alignment vertical="center"/>
    </xf>
    <xf numFmtId="3" fontId="11" fillId="34" borderId="0" xfId="0" applyNumberFormat="1" applyFont="1" applyFill="1" applyAlignment="1">
      <alignment horizontal="center" vertical="center"/>
    </xf>
    <xf numFmtId="0" fontId="11" fillId="34" borderId="0" xfId="0" applyFont="1" applyFill="1" applyAlignment="1">
      <alignment horizontal="center" vertical="center"/>
    </xf>
    <xf numFmtId="0" fontId="11" fillId="33" borderId="10" xfId="0" applyFont="1" applyFill="1" applyBorder="1" applyAlignment="1" applyProtection="1">
      <alignment vertical="center"/>
      <protection locked="0"/>
    </xf>
    <xf numFmtId="0" fontId="11" fillId="33" borderId="22" xfId="0" applyFont="1" applyFill="1" applyBorder="1" applyAlignment="1" applyProtection="1">
      <alignment vertical="center"/>
      <protection locked="0"/>
    </xf>
    <xf numFmtId="0" fontId="11" fillId="33" borderId="0" xfId="0" applyFont="1" applyFill="1" applyAlignment="1" applyProtection="1">
      <alignment vertical="center"/>
      <protection locked="0"/>
    </xf>
    <xf numFmtId="0" fontId="11" fillId="33" borderId="18" xfId="0" applyFont="1" applyFill="1" applyBorder="1" applyAlignment="1" applyProtection="1">
      <alignment vertical="center"/>
      <protection locked="0"/>
    </xf>
    <xf numFmtId="0" fontId="11" fillId="33" borderId="14" xfId="0" applyFont="1" applyFill="1" applyBorder="1" applyAlignment="1" applyProtection="1">
      <alignment vertical="center"/>
      <protection locked="0"/>
    </xf>
    <xf numFmtId="0" fontId="11" fillId="33" borderId="21" xfId="0" applyFont="1" applyFill="1" applyBorder="1" applyAlignment="1" applyProtection="1">
      <alignment vertical="center"/>
      <protection locked="0"/>
    </xf>
    <xf numFmtId="3" fontId="17" fillId="40" borderId="10" xfId="0" applyNumberFormat="1" applyFont="1" applyFill="1" applyBorder="1" applyAlignment="1">
      <alignment horizontal="center" vertical="center"/>
    </xf>
    <xf numFmtId="3" fontId="4" fillId="0" borderId="0" xfId="0" applyNumberFormat="1" applyFont="1" applyAlignment="1">
      <alignment vertical="center"/>
    </xf>
    <xf numFmtId="0" fontId="4" fillId="0" borderId="0" xfId="0" applyFont="1" applyAlignment="1">
      <alignment horizontal="centerContinuous" vertical="center"/>
    </xf>
    <xf numFmtId="1" fontId="4" fillId="34" borderId="20" xfId="0" applyNumberFormat="1" applyFont="1" applyFill="1" applyBorder="1" applyAlignment="1" applyProtection="1">
      <alignment horizontal="centerContinuous" vertical="center"/>
      <protection/>
    </xf>
    <xf numFmtId="164" fontId="4" fillId="34" borderId="10" xfId="0" applyNumberFormat="1" applyFont="1" applyFill="1" applyBorder="1" applyAlignment="1" applyProtection="1">
      <alignment vertical="center"/>
      <protection/>
    </xf>
    <xf numFmtId="37" fontId="4" fillId="34" borderId="14" xfId="0" applyNumberFormat="1" applyFont="1" applyFill="1" applyBorder="1" applyAlignment="1" applyProtection="1">
      <alignment horizontal="fill" vertical="center"/>
      <protection/>
    </xf>
    <xf numFmtId="1" fontId="5" fillId="34" borderId="0" xfId="0" applyNumberFormat="1" applyFont="1" applyFill="1" applyAlignment="1" applyProtection="1">
      <alignment horizontal="center" vertical="center"/>
      <protection/>
    </xf>
    <xf numFmtId="3" fontId="4" fillId="34" borderId="11"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2"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3" fontId="4" fillId="33" borderId="10" xfId="0" applyNumberFormat="1" applyFont="1" applyFill="1" applyBorder="1" applyAlignment="1" applyProtection="1">
      <alignment horizontal="center" vertical="center"/>
      <protection locked="0"/>
    </xf>
    <xf numFmtId="172" fontId="4" fillId="34" borderId="10" xfId="0" applyNumberFormat="1" applyFont="1" applyFill="1" applyBorder="1" applyAlignment="1" applyProtection="1">
      <alignment horizontal="center" vertical="center"/>
      <protection/>
    </xf>
    <xf numFmtId="3" fontId="4" fillId="33" borderId="12" xfId="0" applyNumberFormat="1" applyFont="1" applyFill="1" applyBorder="1" applyAlignment="1" applyProtection="1">
      <alignment horizontal="center" vertical="center"/>
      <protection locked="0"/>
    </xf>
    <xf numFmtId="3" fontId="4" fillId="34" borderId="15" xfId="0" applyNumberFormat="1" applyFont="1" applyFill="1" applyBorder="1" applyAlignment="1" applyProtection="1">
      <alignment horizontal="center" vertical="center"/>
      <protection/>
    </xf>
    <xf numFmtId="172" fontId="4" fillId="34" borderId="15" xfId="0" applyNumberFormat="1" applyFont="1" applyFill="1" applyBorder="1" applyAlignment="1" applyProtection="1">
      <alignment horizontal="center" vertical="center"/>
      <protection/>
    </xf>
    <xf numFmtId="172" fontId="4" fillId="34" borderId="11" xfId="0" applyNumberFormat="1" applyFont="1" applyFill="1" applyBorder="1" applyAlignment="1" applyProtection="1">
      <alignment horizontal="center" vertical="center"/>
      <protection/>
    </xf>
    <xf numFmtId="172" fontId="4" fillId="34" borderId="0" xfId="0" applyNumberFormat="1" applyFont="1" applyFill="1" applyBorder="1" applyAlignment="1" applyProtection="1">
      <alignment horizontal="center" vertical="center"/>
      <protection/>
    </xf>
    <xf numFmtId="3" fontId="4" fillId="34" borderId="11" xfId="0" applyNumberFormat="1" applyFont="1" applyFill="1" applyBorder="1" applyAlignment="1">
      <alignment horizontal="center" vertical="center"/>
    </xf>
    <xf numFmtId="0" fontId="0" fillId="34" borderId="0" xfId="0" applyFill="1" applyAlignment="1">
      <alignment horizontal="center" vertical="center"/>
    </xf>
    <xf numFmtId="172" fontId="4" fillId="34" borderId="11" xfId="0" applyNumberFormat="1" applyFont="1" applyFill="1" applyBorder="1" applyAlignment="1">
      <alignment horizontal="center" vertical="center"/>
    </xf>
    <xf numFmtId="171" fontId="4" fillId="34" borderId="0" xfId="0" applyNumberFormat="1" applyFont="1" applyFill="1" applyBorder="1" applyAlignment="1" applyProtection="1">
      <alignment vertical="center"/>
      <protection/>
    </xf>
    <xf numFmtId="0" fontId="5" fillId="0" borderId="0" xfId="0" applyFont="1" applyAlignment="1">
      <alignment vertical="center"/>
    </xf>
    <xf numFmtId="3" fontId="26" fillId="40" borderId="0" xfId="0" applyNumberFormat="1" applyFont="1" applyFill="1" applyAlignment="1">
      <alignment horizontal="center" vertical="center"/>
    </xf>
    <xf numFmtId="37" fontId="3" fillId="42" borderId="10" xfId="0" applyNumberFormat="1" applyFont="1" applyFill="1" applyBorder="1" applyAlignment="1" applyProtection="1">
      <alignment vertical="center"/>
      <protection/>
    </xf>
    <xf numFmtId="37" fontId="4" fillId="42" borderId="10" xfId="0" applyNumberFormat="1" applyFont="1" applyFill="1" applyBorder="1" applyAlignment="1" applyProtection="1">
      <alignment vertical="center"/>
      <protection/>
    </xf>
    <xf numFmtId="0" fontId="4" fillId="0" borderId="0" xfId="354" applyFont="1" applyAlignment="1">
      <alignment vertical="center"/>
      <protection/>
    </xf>
    <xf numFmtId="0" fontId="4" fillId="0" borderId="0" xfId="134" applyFont="1" applyAlignment="1">
      <alignment vertical="center" wrapText="1"/>
      <protection/>
    </xf>
    <xf numFmtId="0" fontId="4" fillId="33" borderId="11" xfId="0" applyFont="1" applyFill="1" applyBorder="1" applyAlignment="1" applyProtection="1">
      <alignment vertical="center"/>
      <protection locked="0"/>
    </xf>
    <xf numFmtId="0" fontId="4" fillId="33" borderId="16" xfId="0" applyFont="1" applyFill="1" applyBorder="1" applyAlignment="1" applyProtection="1">
      <alignment vertical="center"/>
      <protection locked="0"/>
    </xf>
    <xf numFmtId="0" fontId="27" fillId="0" borderId="0" xfId="356">
      <alignment/>
      <protection/>
    </xf>
    <xf numFmtId="0" fontId="4" fillId="0" borderId="0" xfId="356" applyFont="1" applyAlignment="1">
      <alignment horizontal="left" vertical="center"/>
      <protection/>
    </xf>
    <xf numFmtId="173" fontId="11" fillId="0" borderId="0" xfId="356" applyNumberFormat="1" applyFont="1" applyAlignment="1">
      <alignment horizontal="left" vertical="center"/>
      <protection/>
    </xf>
    <xf numFmtId="49" fontId="4" fillId="0" borderId="0" xfId="356" applyNumberFormat="1" applyFont="1" applyAlignment="1">
      <alignment horizontal="left" vertical="center"/>
      <protection/>
    </xf>
    <xf numFmtId="0" fontId="11" fillId="0" borderId="0" xfId="356" applyFont="1" applyAlignment="1">
      <alignment horizontal="left" vertical="center"/>
      <protection/>
    </xf>
    <xf numFmtId="174" fontId="11" fillId="0" borderId="0" xfId="356" applyNumberFormat="1" applyFont="1" applyAlignment="1">
      <alignment horizontal="left" vertical="center"/>
      <protection/>
    </xf>
    <xf numFmtId="0" fontId="0" fillId="0" borderId="0" xfId="173" applyFont="1" applyFill="1">
      <alignment/>
      <protection/>
    </xf>
    <xf numFmtId="0" fontId="0" fillId="0" borderId="0" xfId="173" applyFont="1">
      <alignment/>
      <protection/>
    </xf>
    <xf numFmtId="0" fontId="14" fillId="0" borderId="0" xfId="0" applyFont="1" applyAlignment="1">
      <alignment horizontal="center"/>
    </xf>
    <xf numFmtId="0" fontId="0"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Font="1" applyAlignment="1" quotePrefix="1">
      <alignment/>
    </xf>
    <xf numFmtId="0" fontId="0" fillId="0" borderId="0" xfId="0" applyFont="1" applyAlignment="1">
      <alignment/>
    </xf>
    <xf numFmtId="0" fontId="0" fillId="0" borderId="0" xfId="0" applyAlignment="1">
      <alignment/>
    </xf>
    <xf numFmtId="0" fontId="2" fillId="0" borderId="0" xfId="0" applyFont="1" applyAlignment="1">
      <alignment horizontal="center"/>
    </xf>
    <xf numFmtId="0" fontId="4" fillId="0" borderId="0" xfId="105" applyFont="1" applyAlignment="1">
      <alignment vertical="center"/>
      <protection/>
    </xf>
    <xf numFmtId="0" fontId="5" fillId="0" borderId="0" xfId="109" applyFont="1" applyAlignment="1">
      <alignment vertical="center"/>
      <protection/>
    </xf>
    <xf numFmtId="0" fontId="4" fillId="0" borderId="0" xfId="248" applyFont="1" applyAlignment="1">
      <alignment vertical="center" wrapText="1"/>
      <protection/>
    </xf>
    <xf numFmtId="0" fontId="4" fillId="0" borderId="0" xfId="117" applyFont="1" applyAlignment="1">
      <alignment vertical="center" wrapText="1"/>
      <protection/>
    </xf>
    <xf numFmtId="0" fontId="4" fillId="0" borderId="0" xfId="126" applyFont="1" applyAlignment="1">
      <alignment vertical="center" wrapText="1"/>
      <protection/>
    </xf>
    <xf numFmtId="0" fontId="4" fillId="34" borderId="0" xfId="0" applyFont="1" applyFill="1" applyAlignment="1">
      <alignment/>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14" fontId="4" fillId="33" borderId="10" xfId="0" applyNumberFormat="1" applyFont="1" applyFill="1" applyBorder="1" applyAlignment="1" applyProtection="1">
      <alignment horizontal="center" vertical="center"/>
      <protection locked="0"/>
    </xf>
    <xf numFmtId="3" fontId="11" fillId="35" borderId="14" xfId="0" applyNumberFormat="1" applyFont="1" applyFill="1" applyBorder="1" applyAlignment="1">
      <alignment horizontal="center" vertical="center"/>
    </xf>
    <xf numFmtId="3" fontId="4" fillId="41" borderId="20" xfId="0" applyNumberFormat="1" applyFont="1" applyFill="1" applyBorder="1" applyAlignment="1" applyProtection="1">
      <alignment vertical="center"/>
      <protection/>
    </xf>
    <xf numFmtId="37" fontId="13" fillId="34" borderId="10" xfId="0" applyNumberFormat="1" applyFont="1" applyFill="1" applyBorder="1" applyAlignment="1" applyProtection="1">
      <alignment horizontal="center" vertical="center"/>
      <protection/>
    </xf>
    <xf numFmtId="3" fontId="4" fillId="34" borderId="0" xfId="0" applyNumberFormat="1" applyFont="1" applyFill="1" applyBorder="1" applyAlignment="1" applyProtection="1">
      <alignment vertical="center"/>
      <protection/>
    </xf>
    <xf numFmtId="49" fontId="4" fillId="33" borderId="10" xfId="0" applyNumberFormat="1" applyFont="1" applyFill="1" applyBorder="1" applyAlignment="1" applyProtection="1">
      <alignment horizontal="center" vertical="center"/>
      <protection locked="0"/>
    </xf>
    <xf numFmtId="0" fontId="4" fillId="34" borderId="0" xfId="78" applyFont="1" applyFill="1" applyAlignment="1" applyProtection="1">
      <alignment horizontal="right" vertical="center"/>
      <protection/>
    </xf>
    <xf numFmtId="0" fontId="0" fillId="0" borderId="0" xfId="74">
      <alignment/>
      <protection/>
    </xf>
    <xf numFmtId="0" fontId="4" fillId="34" borderId="0" xfId="74" applyFont="1" applyFill="1" applyAlignment="1" applyProtection="1">
      <alignment vertical="center"/>
      <protection/>
    </xf>
    <xf numFmtId="0" fontId="4" fillId="0" borderId="0" xfId="74" applyFont="1" applyAlignment="1" applyProtection="1">
      <alignment vertical="center"/>
      <protection locked="0"/>
    </xf>
    <xf numFmtId="37" fontId="4" fillId="34" borderId="0" xfId="74" applyNumberFormat="1" applyFont="1" applyFill="1" applyAlignment="1" applyProtection="1">
      <alignment horizontal="left" vertical="center"/>
      <protection/>
    </xf>
    <xf numFmtId="0" fontId="3" fillId="34" borderId="0" xfId="74" applyFont="1" applyFill="1" applyAlignment="1" applyProtection="1">
      <alignment vertical="center"/>
      <protection/>
    </xf>
    <xf numFmtId="3" fontId="4" fillId="33" borderId="10" xfId="74" applyNumberFormat="1" applyFont="1" applyFill="1" applyBorder="1" applyAlignment="1" applyProtection="1">
      <alignment vertical="center"/>
      <protection locked="0"/>
    </xf>
    <xf numFmtId="3" fontId="4" fillId="35" borderId="10" xfId="74" applyNumberFormat="1" applyFont="1" applyFill="1" applyBorder="1" applyAlignment="1" applyProtection="1">
      <alignment vertical="center"/>
      <protection/>
    </xf>
    <xf numFmtId="0" fontId="4" fillId="34" borderId="0" xfId="74" applyFont="1" applyFill="1" applyAlignment="1" applyProtection="1">
      <alignment vertical="center"/>
      <protection locked="0"/>
    </xf>
    <xf numFmtId="0" fontId="0" fillId="0" borderId="0" xfId="74" applyAlignment="1">
      <alignment vertical="center"/>
      <protection/>
    </xf>
    <xf numFmtId="1" fontId="4" fillId="34" borderId="0" xfId="74" applyNumberFormat="1" applyFont="1" applyFill="1" applyBorder="1" applyAlignment="1" applyProtection="1">
      <alignment horizontal="right" vertical="center"/>
      <protection/>
    </xf>
    <xf numFmtId="37" fontId="4" fillId="34" borderId="0" xfId="74" applyNumberFormat="1" applyFont="1" applyFill="1" applyAlignment="1" applyProtection="1" quotePrefix="1">
      <alignment horizontal="right" vertical="center"/>
      <protection/>
    </xf>
    <xf numFmtId="37" fontId="4" fillId="34" borderId="20" xfId="74" applyNumberFormat="1" applyFont="1" applyFill="1" applyBorder="1" applyAlignment="1" applyProtection="1">
      <alignment horizontal="left" vertical="center"/>
      <protection/>
    </xf>
    <xf numFmtId="3" fontId="4" fillId="34" borderId="10" xfId="74" applyNumberFormat="1" applyFont="1" applyFill="1" applyBorder="1" applyAlignment="1" applyProtection="1">
      <alignment vertical="center"/>
      <protection/>
    </xf>
    <xf numFmtId="37" fontId="4" fillId="34" borderId="20" xfId="74" applyNumberFormat="1" applyFont="1" applyFill="1" applyBorder="1" applyAlignment="1" applyProtection="1">
      <alignment vertical="center"/>
      <protection/>
    </xf>
    <xf numFmtId="0" fontId="4" fillId="34" borderId="20" xfId="74" applyFont="1" applyFill="1" applyBorder="1" applyAlignment="1" applyProtection="1">
      <alignment vertical="center"/>
      <protection/>
    </xf>
    <xf numFmtId="37" fontId="4" fillId="34" borderId="0" xfId="74" applyNumberFormat="1" applyFont="1" applyFill="1" applyAlignment="1" applyProtection="1">
      <alignment vertical="center"/>
      <protection/>
    </xf>
    <xf numFmtId="0" fontId="4" fillId="34" borderId="0" xfId="74" applyFont="1" applyFill="1" applyAlignment="1" applyProtection="1">
      <alignment horizontal="right" vertical="center"/>
      <protection/>
    </xf>
    <xf numFmtId="37" fontId="4" fillId="34" borderId="0" xfId="74" applyNumberFormat="1" applyFont="1" applyFill="1" applyAlignment="1" applyProtection="1">
      <alignment horizontal="right" vertical="center"/>
      <protection/>
    </xf>
    <xf numFmtId="3" fontId="4" fillId="34" borderId="10" xfId="74" applyNumberFormat="1" applyFont="1" applyFill="1" applyBorder="1" applyAlignment="1" applyProtection="1">
      <alignment horizontal="center" vertical="center"/>
      <protection/>
    </xf>
    <xf numFmtId="37" fontId="4" fillId="34" borderId="0" xfId="74" applyNumberFormat="1" applyFont="1" applyFill="1" applyAlignment="1" applyProtection="1">
      <alignment horizontal="fill" vertical="center"/>
      <protection/>
    </xf>
    <xf numFmtId="37" fontId="4" fillId="34" borderId="25" xfId="74" applyNumberFormat="1" applyFont="1" applyFill="1" applyBorder="1" applyAlignment="1" applyProtection="1">
      <alignment horizontal="left" vertical="center"/>
      <protection/>
    </xf>
    <xf numFmtId="37" fontId="3" fillId="34" borderId="20" xfId="74" applyNumberFormat="1" applyFont="1" applyFill="1" applyBorder="1" applyAlignment="1" applyProtection="1">
      <alignment horizontal="left" vertical="center"/>
      <protection/>
    </xf>
    <xf numFmtId="3" fontId="4" fillId="34" borderId="0" xfId="74" applyNumberFormat="1" applyFont="1" applyFill="1" applyAlignment="1" applyProtection="1">
      <alignment horizontal="center" vertical="center"/>
      <protection/>
    </xf>
    <xf numFmtId="0" fontId="15" fillId="0" borderId="0" xfId="74" applyFont="1" applyAlignment="1" applyProtection="1">
      <alignment vertical="center"/>
      <protection/>
    </xf>
    <xf numFmtId="0" fontId="13" fillId="34" borderId="0" xfId="74" applyFont="1" applyFill="1" applyAlignment="1" applyProtection="1">
      <alignment horizontal="center" vertical="center"/>
      <protection/>
    </xf>
    <xf numFmtId="37" fontId="4" fillId="33" borderId="20" xfId="74" applyNumberFormat="1" applyFont="1" applyFill="1" applyBorder="1" applyAlignment="1" applyProtection="1">
      <alignment horizontal="left" vertical="center"/>
      <protection locked="0"/>
    </xf>
    <xf numFmtId="3" fontId="3" fillId="35" borderId="10" xfId="74" applyNumberFormat="1" applyFont="1" applyFill="1" applyBorder="1" applyAlignment="1" applyProtection="1">
      <alignment vertical="center"/>
      <protection/>
    </xf>
    <xf numFmtId="0" fontId="4" fillId="34" borderId="20" xfId="74" applyFont="1" applyFill="1" applyBorder="1" applyAlignment="1" applyProtection="1">
      <alignment vertical="center"/>
      <protection locked="0"/>
    </xf>
    <xf numFmtId="3" fontId="4" fillId="34" borderId="10" xfId="74" applyNumberFormat="1" applyFont="1" applyFill="1" applyBorder="1" applyAlignment="1" applyProtection="1">
      <alignment horizontal="fill" vertical="center"/>
      <protection/>
    </xf>
    <xf numFmtId="37" fontId="4" fillId="33" borderId="0" xfId="74" applyNumberFormat="1" applyFont="1" applyFill="1" applyAlignment="1" applyProtection="1">
      <alignment horizontal="left" vertical="center"/>
      <protection locked="0"/>
    </xf>
    <xf numFmtId="0" fontId="4" fillId="33" borderId="20" xfId="74" applyFont="1" applyFill="1" applyBorder="1" applyAlignment="1" applyProtection="1">
      <alignment horizontal="left" vertical="center"/>
      <protection locked="0"/>
    </xf>
    <xf numFmtId="3" fontId="3" fillId="34" borderId="10" xfId="74" applyNumberFormat="1" applyFont="1" applyFill="1" applyBorder="1" applyAlignment="1" applyProtection="1">
      <alignment vertical="center"/>
      <protection/>
    </xf>
    <xf numFmtId="0" fontId="4" fillId="43" borderId="26" xfId="74" applyFont="1" applyFill="1" applyBorder="1" applyAlignment="1" applyProtection="1">
      <alignment vertical="center"/>
      <protection locked="0"/>
    </xf>
    <xf numFmtId="0" fontId="4" fillId="43" borderId="21" xfId="74" applyFont="1" applyFill="1" applyBorder="1" applyAlignment="1" applyProtection="1">
      <alignment vertical="center"/>
      <protection locked="0"/>
    </xf>
    <xf numFmtId="175" fontId="11" fillId="43" borderId="26" xfId="74" applyNumberFormat="1" applyFont="1" applyFill="1" applyBorder="1" applyAlignment="1" applyProtection="1">
      <alignment vertical="center"/>
      <protection locked="0"/>
    </xf>
    <xf numFmtId="175" fontId="11" fillId="43" borderId="25" xfId="74" applyNumberFormat="1" applyFont="1" applyFill="1" applyBorder="1" applyAlignment="1" applyProtection="1">
      <alignment horizontal="center" vertical="center"/>
      <protection locked="0"/>
    </xf>
    <xf numFmtId="175" fontId="11" fillId="43" borderId="26" xfId="74" applyNumberFormat="1" applyFont="1" applyFill="1" applyBorder="1" applyAlignment="1" applyProtection="1">
      <alignment horizontal="center" vertical="center"/>
      <protection locked="0"/>
    </xf>
    <xf numFmtId="0" fontId="11" fillId="43" borderId="0" xfId="74" applyFont="1" applyFill="1" applyBorder="1" applyAlignment="1" applyProtection="1">
      <alignment vertical="center"/>
      <protection locked="0"/>
    </xf>
    <xf numFmtId="0" fontId="11" fillId="43" borderId="0" xfId="74" applyFont="1" applyFill="1" applyBorder="1" applyAlignment="1" applyProtection="1">
      <alignment horizontal="left" vertical="center"/>
      <protection locked="0"/>
    </xf>
    <xf numFmtId="37" fontId="4" fillId="33" borderId="20" xfId="74" applyNumberFormat="1" applyFont="1" applyFill="1" applyBorder="1" applyAlignment="1" applyProtection="1">
      <alignment horizontal="right" vertical="center"/>
      <protection locked="0"/>
    </xf>
    <xf numFmtId="3" fontId="3" fillId="35" borderId="20" xfId="74" applyNumberFormat="1" applyFont="1" applyFill="1" applyBorder="1" applyAlignment="1" applyProtection="1">
      <alignment vertical="center"/>
      <protection/>
    </xf>
    <xf numFmtId="3" fontId="4" fillId="34" borderId="20" xfId="74" applyNumberFormat="1" applyFont="1" applyFill="1" applyBorder="1" applyAlignment="1" applyProtection="1">
      <alignment vertical="center"/>
      <protection/>
    </xf>
    <xf numFmtId="37" fontId="4" fillId="33" borderId="20" xfId="74" applyNumberFormat="1" applyFont="1" applyFill="1" applyBorder="1" applyAlignment="1" applyProtection="1">
      <alignment vertical="center"/>
      <protection locked="0"/>
    </xf>
    <xf numFmtId="3" fontId="4" fillId="33" borderId="20" xfId="74" applyNumberFormat="1" applyFont="1" applyFill="1" applyBorder="1" applyAlignment="1" applyProtection="1">
      <alignment vertical="center"/>
      <protection locked="0"/>
    </xf>
    <xf numFmtId="3" fontId="3" fillId="34" borderId="20" xfId="74" applyNumberFormat="1" applyFont="1" applyFill="1" applyBorder="1" applyAlignment="1" applyProtection="1">
      <alignment vertical="center"/>
      <protection/>
    </xf>
    <xf numFmtId="3" fontId="4" fillId="35" borderId="20" xfId="74" applyNumberFormat="1" applyFont="1" applyFill="1" applyBorder="1" applyAlignment="1" applyProtection="1">
      <alignment vertical="center"/>
      <protection/>
    </xf>
    <xf numFmtId="37" fontId="3" fillId="34" borderId="11" xfId="74" applyNumberFormat="1" applyFont="1" applyFill="1" applyBorder="1" applyAlignment="1" applyProtection="1">
      <alignment vertical="center"/>
      <protection/>
    </xf>
    <xf numFmtId="37" fontId="3" fillId="34" borderId="0" xfId="74" applyNumberFormat="1" applyFont="1" applyFill="1" applyBorder="1" applyAlignment="1" applyProtection="1">
      <alignment vertical="center"/>
      <protection/>
    </xf>
    <xf numFmtId="0" fontId="8" fillId="37" borderId="10" xfId="0" applyFont="1" applyFill="1" applyBorder="1" applyAlignment="1" applyProtection="1">
      <alignment vertical="center" shrinkToFit="1"/>
      <protection/>
    </xf>
    <xf numFmtId="37" fontId="4" fillId="34" borderId="13" xfId="74" applyNumberFormat="1" applyFont="1" applyFill="1" applyBorder="1" applyAlignment="1" applyProtection="1">
      <alignment horizontal="center" vertical="center"/>
      <protection/>
    </xf>
    <xf numFmtId="37" fontId="4" fillId="34" borderId="14" xfId="74" applyNumberFormat="1" applyFont="1" applyFill="1" applyBorder="1" applyAlignment="1" applyProtection="1">
      <alignment horizontal="center" vertical="center"/>
      <protection/>
    </xf>
    <xf numFmtId="0" fontId="31" fillId="0" borderId="0" xfId="0" applyFont="1" applyAlignment="1" applyProtection="1">
      <alignment vertical="center"/>
      <protection/>
    </xf>
    <xf numFmtId="0" fontId="32" fillId="0" borderId="0" xfId="0" applyFont="1" applyAlignment="1">
      <alignment/>
    </xf>
    <xf numFmtId="0" fontId="32" fillId="44" borderId="0" xfId="0" applyFont="1" applyFill="1" applyAlignment="1">
      <alignment/>
    </xf>
    <xf numFmtId="0" fontId="32" fillId="43" borderId="0" xfId="0" applyFont="1" applyFill="1" applyAlignment="1">
      <alignment/>
    </xf>
    <xf numFmtId="0" fontId="80" fillId="44" borderId="0" xfId="0" applyFont="1" applyFill="1" applyAlignment="1">
      <alignment horizontal="center" wrapText="1"/>
    </xf>
    <xf numFmtId="0" fontId="80" fillId="43" borderId="0" xfId="0" applyFont="1" applyFill="1" applyAlignment="1">
      <alignment/>
    </xf>
    <xf numFmtId="0" fontId="32" fillId="43" borderId="0" xfId="0" applyFont="1" applyFill="1" applyAlignment="1">
      <alignment horizontal="center"/>
    </xf>
    <xf numFmtId="0" fontId="80" fillId="43" borderId="27" xfId="0" applyFont="1" applyFill="1" applyBorder="1" applyAlignment="1">
      <alignment/>
    </xf>
    <xf numFmtId="0" fontId="32" fillId="43" borderId="28" xfId="0" applyFont="1" applyFill="1" applyBorder="1" applyAlignment="1">
      <alignment/>
    </xf>
    <xf numFmtId="0" fontId="32" fillId="43" borderId="29" xfId="0" applyFont="1" applyFill="1" applyBorder="1" applyAlignment="1">
      <alignment/>
    </xf>
    <xf numFmtId="175" fontId="32" fillId="43" borderId="30" xfId="0" applyNumberFormat="1" applyFont="1" applyFill="1" applyBorder="1" applyAlignment="1">
      <alignment/>
    </xf>
    <xf numFmtId="0" fontId="32" fillId="43" borderId="0" xfId="0" applyFont="1" applyFill="1" applyBorder="1" applyAlignment="1">
      <alignment/>
    </xf>
    <xf numFmtId="175" fontId="32" fillId="43" borderId="11" xfId="0" applyNumberFormat="1" applyFont="1" applyFill="1" applyBorder="1" applyAlignment="1">
      <alignment horizontal="center"/>
    </xf>
    <xf numFmtId="0" fontId="32" fillId="43" borderId="31" xfId="0" applyFont="1" applyFill="1" applyBorder="1" applyAlignment="1">
      <alignment/>
    </xf>
    <xf numFmtId="0" fontId="32" fillId="43" borderId="32" xfId="0" applyFont="1" applyFill="1" applyBorder="1" applyAlignment="1">
      <alignment/>
    </xf>
    <xf numFmtId="0" fontId="32" fillId="43" borderId="33" xfId="0" applyFont="1" applyFill="1" applyBorder="1" applyAlignment="1">
      <alignment/>
    </xf>
    <xf numFmtId="0" fontId="32" fillId="43" borderId="34" xfId="0" applyFont="1" applyFill="1" applyBorder="1" applyAlignment="1">
      <alignment/>
    </xf>
    <xf numFmtId="175" fontId="32" fillId="43" borderId="0" xfId="0" applyNumberFormat="1" applyFont="1" applyFill="1" applyAlignment="1">
      <alignment/>
    </xf>
    <xf numFmtId="0" fontId="32" fillId="43" borderId="27" xfId="0" applyFont="1" applyFill="1" applyBorder="1" applyAlignment="1">
      <alignment/>
    </xf>
    <xf numFmtId="0" fontId="32" fillId="43" borderId="35" xfId="0" applyFont="1" applyFill="1" applyBorder="1" applyAlignment="1">
      <alignment/>
    </xf>
    <xf numFmtId="175" fontId="32" fillId="45" borderId="30" xfId="0" applyNumberFormat="1" applyFont="1" applyFill="1" applyBorder="1" applyAlignment="1" applyProtection="1">
      <alignment horizontal="center"/>
      <protection locked="0"/>
    </xf>
    <xf numFmtId="172" fontId="32" fillId="43" borderId="0" xfId="0" applyNumberFormat="1" applyFont="1" applyFill="1" applyBorder="1" applyAlignment="1">
      <alignment horizontal="center"/>
    </xf>
    <xf numFmtId="0" fontId="81" fillId="0" borderId="0" xfId="0" applyFont="1" applyBorder="1" applyAlignment="1">
      <alignment/>
    </xf>
    <xf numFmtId="0" fontId="32" fillId="0" borderId="0" xfId="0" applyFont="1" applyBorder="1" applyAlignment="1">
      <alignment/>
    </xf>
    <xf numFmtId="0" fontId="80"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0" fontId="32" fillId="43" borderId="36" xfId="0" applyFont="1" applyFill="1" applyBorder="1" applyAlignment="1">
      <alignment/>
    </xf>
    <xf numFmtId="0" fontId="32" fillId="43" borderId="19" xfId="0" applyFont="1" applyFill="1" applyBorder="1" applyAlignment="1">
      <alignment/>
    </xf>
    <xf numFmtId="0" fontId="32" fillId="43" borderId="37" xfId="0" applyFont="1" applyFill="1" applyBorder="1" applyAlignment="1">
      <alignment/>
    </xf>
    <xf numFmtId="5" fontId="32" fillId="43" borderId="33" xfId="0" applyNumberFormat="1" applyFont="1" applyFill="1" applyBorder="1" applyAlignment="1">
      <alignment horizontal="center"/>
    </xf>
    <xf numFmtId="0" fontId="32" fillId="43" borderId="33" xfId="0" applyFont="1" applyFill="1" applyBorder="1" applyAlignment="1">
      <alignment horizontal="center"/>
    </xf>
    <xf numFmtId="172" fontId="32" fillId="43" borderId="33" xfId="0" applyNumberFormat="1" applyFont="1" applyFill="1" applyBorder="1" applyAlignment="1">
      <alignment horizontal="center"/>
    </xf>
    <xf numFmtId="176" fontId="32" fillId="43" borderId="33" xfId="0" applyNumberFormat="1" applyFont="1" applyFill="1" applyBorder="1" applyAlignment="1">
      <alignment horizontal="center"/>
    </xf>
    <xf numFmtId="0" fontId="32" fillId="43" borderId="0" xfId="0" applyFont="1" applyFill="1" applyAlignment="1">
      <alignment horizontal="center" wrapText="1"/>
    </xf>
    <xf numFmtId="0" fontId="80" fillId="43" borderId="27" xfId="0" applyFont="1" applyFill="1" applyBorder="1" applyAlignment="1">
      <alignment/>
    </xf>
    <xf numFmtId="0" fontId="32" fillId="43" borderId="28" xfId="0" applyFont="1" applyFill="1" applyBorder="1" applyAlignment="1">
      <alignment/>
    </xf>
    <xf numFmtId="0" fontId="32" fillId="43" borderId="29" xfId="0" applyFont="1" applyFill="1" applyBorder="1" applyAlignment="1">
      <alignment/>
    </xf>
    <xf numFmtId="0" fontId="32" fillId="43" borderId="35" xfId="0" applyFont="1" applyFill="1" applyBorder="1" applyAlignment="1">
      <alignment/>
    </xf>
    <xf numFmtId="0" fontId="32" fillId="43" borderId="31" xfId="0" applyFont="1" applyFill="1" applyBorder="1" applyAlignment="1">
      <alignment/>
    </xf>
    <xf numFmtId="0" fontId="32" fillId="43" borderId="36" xfId="0" applyFont="1" applyFill="1" applyBorder="1" applyAlignment="1">
      <alignment/>
    </xf>
    <xf numFmtId="0" fontId="32" fillId="43" borderId="19" xfId="0" applyFont="1" applyFill="1" applyBorder="1" applyAlignment="1">
      <alignment/>
    </xf>
    <xf numFmtId="0" fontId="32" fillId="43" borderId="37" xfId="0" applyFont="1" applyFill="1" applyBorder="1" applyAlignment="1">
      <alignment/>
    </xf>
    <xf numFmtId="171" fontId="32" fillId="43" borderId="0" xfId="0" applyNumberFormat="1" applyFont="1" applyFill="1" applyBorder="1" applyAlignment="1">
      <alignment horizontal="center"/>
    </xf>
    <xf numFmtId="0" fontId="32" fillId="43" borderId="32" xfId="0" applyFont="1" applyFill="1" applyBorder="1" applyAlignment="1">
      <alignment/>
    </xf>
    <xf numFmtId="5" fontId="32" fillId="43" borderId="0" xfId="0" applyNumberFormat="1" applyFont="1" applyFill="1" applyBorder="1" applyAlignment="1">
      <alignment horizontal="center"/>
    </xf>
    <xf numFmtId="0" fontId="32" fillId="44" borderId="0" xfId="0" applyFont="1" applyFill="1" applyAlignment="1">
      <alignment/>
    </xf>
    <xf numFmtId="172" fontId="32" fillId="45" borderId="11" xfId="0" applyNumberFormat="1" applyFont="1" applyFill="1" applyBorder="1" applyAlignment="1" applyProtection="1">
      <alignment horizontal="center"/>
      <protection locked="0"/>
    </xf>
    <xf numFmtId="176" fontId="32" fillId="43" borderId="0" xfId="0" applyNumberFormat="1" applyFont="1" applyFill="1" applyBorder="1" applyAlignment="1">
      <alignment/>
    </xf>
    <xf numFmtId="0" fontId="32" fillId="46" borderId="0" xfId="0" applyFont="1" applyFill="1" applyAlignment="1">
      <alignment/>
    </xf>
    <xf numFmtId="0" fontId="34" fillId="0" borderId="0" xfId="0" applyFont="1" applyAlignment="1">
      <alignment horizontal="center"/>
    </xf>
    <xf numFmtId="0" fontId="4" fillId="0" borderId="0" xfId="0" applyFont="1" applyAlignment="1">
      <alignment wrapText="1"/>
    </xf>
    <xf numFmtId="0" fontId="35" fillId="0" borderId="0" xfId="57" applyFont="1" applyAlignment="1" applyProtection="1">
      <alignment/>
      <protection/>
    </xf>
    <xf numFmtId="3" fontId="4" fillId="34" borderId="14" xfId="0" applyNumberFormat="1" applyFont="1" applyFill="1" applyBorder="1" applyAlignment="1" applyProtection="1">
      <alignment horizontal="center" vertical="center"/>
      <protection/>
    </xf>
    <xf numFmtId="3" fontId="4" fillId="34" borderId="12" xfId="0" applyNumberFormat="1" applyFont="1" applyFill="1" applyBorder="1" applyAlignment="1" applyProtection="1">
      <alignment horizontal="center" vertical="center"/>
      <protection/>
    </xf>
    <xf numFmtId="3" fontId="4" fillId="33" borderId="20" xfId="74" applyNumberFormat="1" applyFont="1" applyFill="1" applyBorder="1" applyAlignment="1" applyProtection="1">
      <alignment horizontal="right" vertical="center"/>
      <protection locked="0"/>
    </xf>
    <xf numFmtId="0" fontId="4" fillId="0" borderId="0" xfId="78" applyFont="1" applyAlignment="1">
      <alignment vertical="center" wrapText="1"/>
      <protection/>
    </xf>
    <xf numFmtId="0" fontId="20" fillId="0" borderId="0" xfId="0" applyFont="1" applyAlignment="1">
      <alignment/>
    </xf>
    <xf numFmtId="0" fontId="21" fillId="0" borderId="0" xfId="0" applyFont="1" applyAlignment="1">
      <alignment horizontal="center"/>
    </xf>
    <xf numFmtId="0" fontId="3" fillId="0" borderId="0" xfId="0" applyFont="1" applyAlignment="1">
      <alignment wrapText="1"/>
    </xf>
    <xf numFmtId="0" fontId="0"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wrapText="1"/>
      <protection/>
    </xf>
    <xf numFmtId="0" fontId="20"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4" fillId="0" borderId="0" xfId="78" applyFont="1" applyAlignment="1">
      <alignment vertical="center"/>
      <protection/>
    </xf>
    <xf numFmtId="0" fontId="82" fillId="0" borderId="0" xfId="0" applyFont="1" applyAlignment="1">
      <alignment wrapText="1"/>
    </xf>
    <xf numFmtId="0" fontId="23" fillId="0" borderId="0" xfId="0" applyFont="1" applyAlignment="1">
      <alignment wrapText="1"/>
    </xf>
    <xf numFmtId="172" fontId="4" fillId="45" borderId="21" xfId="74" applyNumberFormat="1" applyFont="1" applyFill="1" applyBorder="1" applyAlignment="1" applyProtection="1">
      <alignment horizontal="center"/>
      <protection locked="0"/>
    </xf>
    <xf numFmtId="0" fontId="36" fillId="43" borderId="26" xfId="74" applyFont="1" applyFill="1" applyBorder="1" applyProtection="1">
      <alignment/>
      <protection/>
    </xf>
    <xf numFmtId="0" fontId="4" fillId="43" borderId="0" xfId="74" applyFont="1" applyFill="1" applyBorder="1" applyProtection="1">
      <alignment/>
      <protection/>
    </xf>
    <xf numFmtId="175" fontId="4" fillId="43" borderId="21" xfId="74" applyNumberFormat="1" applyFont="1" applyFill="1" applyBorder="1" applyAlignment="1" applyProtection="1">
      <alignment horizontal="center"/>
      <protection/>
    </xf>
    <xf numFmtId="0" fontId="4" fillId="43" borderId="25" xfId="74" applyFont="1" applyFill="1" applyBorder="1" applyProtection="1">
      <alignment/>
      <protection/>
    </xf>
    <xf numFmtId="0" fontId="4" fillId="43" borderId="11" xfId="74" applyFont="1" applyFill="1" applyBorder="1" applyProtection="1">
      <alignment/>
      <protection/>
    </xf>
    <xf numFmtId="175" fontId="4" fillId="47" borderId="17" xfId="74" applyNumberFormat="1" applyFont="1" applyFill="1" applyBorder="1" applyAlignment="1" applyProtection="1">
      <alignment horizontal="center"/>
      <protection/>
    </xf>
    <xf numFmtId="0" fontId="4" fillId="0" borderId="0" xfId="74" applyFont="1" applyFill="1" applyBorder="1" applyProtection="1">
      <alignment/>
      <protection/>
    </xf>
    <xf numFmtId="0" fontId="4" fillId="43" borderId="26" xfId="74" applyFont="1" applyFill="1" applyBorder="1" applyProtection="1">
      <alignment/>
      <protection/>
    </xf>
    <xf numFmtId="0" fontId="4" fillId="43" borderId="21" xfId="74" applyFont="1" applyFill="1" applyBorder="1" applyProtection="1">
      <alignment/>
      <protection/>
    </xf>
    <xf numFmtId="171" fontId="4" fillId="43" borderId="21" xfId="74" applyNumberFormat="1" applyFont="1" applyFill="1" applyBorder="1" applyAlignment="1" applyProtection="1">
      <alignment horizontal="center"/>
      <protection/>
    </xf>
    <xf numFmtId="0" fontId="4" fillId="47" borderId="26" xfId="74" applyFont="1" applyFill="1" applyBorder="1" applyProtection="1">
      <alignment/>
      <protection/>
    </xf>
    <xf numFmtId="0" fontId="4" fillId="47" borderId="0" xfId="74" applyFont="1" applyFill="1" applyBorder="1" applyProtection="1">
      <alignment/>
      <protection/>
    </xf>
    <xf numFmtId="0" fontId="4" fillId="47" borderId="25" xfId="74" applyFont="1" applyFill="1" applyBorder="1" applyProtection="1">
      <alignment/>
      <protection/>
    </xf>
    <xf numFmtId="0" fontId="4" fillId="47" borderId="11" xfId="74" applyFont="1" applyFill="1" applyBorder="1" applyProtection="1">
      <alignment/>
      <protection/>
    </xf>
    <xf numFmtId="0" fontId="4" fillId="0" borderId="0" xfId="74" applyFont="1" applyProtection="1">
      <alignment/>
      <protection/>
    </xf>
    <xf numFmtId="175" fontId="4" fillId="43" borderId="17" xfId="74" applyNumberFormat="1" applyFont="1" applyFill="1" applyBorder="1" applyAlignment="1" applyProtection="1">
      <alignment horizontal="center"/>
      <protection/>
    </xf>
    <xf numFmtId="0" fontId="5" fillId="0" borderId="0" xfId="110" applyFont="1" applyAlignment="1">
      <alignment vertical="center"/>
      <protection/>
    </xf>
    <xf numFmtId="0" fontId="83" fillId="0" borderId="0" xfId="0" applyFont="1" applyAlignment="1">
      <alignment vertical="center"/>
    </xf>
    <xf numFmtId="0" fontId="84" fillId="0" borderId="0" xfId="0" applyFont="1" applyAlignment="1" applyProtection="1">
      <alignment horizontal="center" vertical="center"/>
      <protection locked="0"/>
    </xf>
    <xf numFmtId="0" fontId="85" fillId="34" borderId="0" xfId="0" applyFont="1" applyFill="1" applyAlignment="1" applyProtection="1">
      <alignment horizontal="center" vertical="center"/>
      <protection/>
    </xf>
    <xf numFmtId="37" fontId="4" fillId="34" borderId="38" xfId="0" applyNumberFormat="1" applyFont="1" applyFill="1" applyBorder="1" applyAlignment="1" applyProtection="1">
      <alignment vertical="center"/>
      <protection/>
    </xf>
    <xf numFmtId="0" fontId="4" fillId="34" borderId="38" xfId="0" applyFont="1" applyFill="1" applyBorder="1" applyAlignment="1" applyProtection="1">
      <alignment vertical="center"/>
      <protection/>
    </xf>
    <xf numFmtId="170" fontId="4" fillId="33" borderId="10" xfId="42" applyNumberFormat="1" applyFont="1" applyFill="1" applyBorder="1" applyAlignment="1" applyProtection="1">
      <alignment vertical="center"/>
      <protection locked="0"/>
    </xf>
    <xf numFmtId="37" fontId="3" fillId="34" borderId="0" xfId="0" applyNumberFormat="1" applyFont="1" applyFill="1" applyBorder="1" applyAlignment="1" applyProtection="1">
      <alignment vertical="center"/>
      <protection/>
    </xf>
    <xf numFmtId="0" fontId="4" fillId="33" borderId="20" xfId="67" applyNumberFormat="1" applyFont="1" applyFill="1" applyBorder="1" applyAlignment="1" applyProtection="1">
      <alignment horizontal="left" vertical="center"/>
      <protection locked="0"/>
    </xf>
    <xf numFmtId="0" fontId="4" fillId="33" borderId="20" xfId="78" applyNumberFormat="1" applyFont="1" applyFill="1" applyBorder="1" applyAlignment="1" applyProtection="1">
      <alignment horizontal="left" vertical="center"/>
      <protection locked="0"/>
    </xf>
    <xf numFmtId="0" fontId="4" fillId="43" borderId="0" xfId="74" applyFont="1" applyFill="1" applyBorder="1" applyAlignment="1" applyProtection="1">
      <alignment vertical="center"/>
      <protection locked="0"/>
    </xf>
    <xf numFmtId="0" fontId="4" fillId="43" borderId="0" xfId="74" applyFont="1" applyFill="1" applyBorder="1" applyAlignment="1" applyProtection="1">
      <alignment vertical="center"/>
      <protection/>
    </xf>
    <xf numFmtId="0" fontId="36" fillId="43" borderId="0" xfId="74" applyFont="1" applyFill="1" applyBorder="1" applyAlignment="1" applyProtection="1">
      <alignment vertical="center"/>
      <protection locked="0"/>
    </xf>
    <xf numFmtId="175" fontId="36" fillId="45" borderId="10" xfId="74" applyNumberFormat="1" applyFont="1" applyFill="1" applyBorder="1" applyAlignment="1" applyProtection="1">
      <alignment horizontal="center" vertical="center"/>
      <protection locked="0"/>
    </xf>
    <xf numFmtId="0" fontId="4" fillId="43" borderId="26" xfId="74" applyFont="1" applyFill="1" applyBorder="1" applyAlignment="1" applyProtection="1">
      <alignment vertical="center"/>
      <protection/>
    </xf>
    <xf numFmtId="0" fontId="4" fillId="43" borderId="21" xfId="74" applyFont="1" applyFill="1" applyBorder="1" applyAlignment="1" applyProtection="1">
      <alignment vertical="center"/>
      <protection/>
    </xf>
    <xf numFmtId="175" fontId="36" fillId="43" borderId="26" xfId="74" applyNumberFormat="1" applyFont="1" applyFill="1" applyBorder="1" applyAlignment="1" applyProtection="1">
      <alignment horizontal="center" vertical="center"/>
      <protection/>
    </xf>
    <xf numFmtId="0" fontId="36" fillId="43" borderId="0" xfId="74" applyFont="1" applyFill="1" applyBorder="1" applyAlignment="1" applyProtection="1">
      <alignment horizontal="left" vertical="center"/>
      <protection/>
    </xf>
    <xf numFmtId="0" fontId="36" fillId="43" borderId="21" xfId="74" applyFont="1" applyFill="1" applyBorder="1" applyAlignment="1" applyProtection="1">
      <alignment vertical="center"/>
      <protection/>
    </xf>
    <xf numFmtId="0" fontId="36" fillId="43" borderId="0" xfId="74" applyFont="1" applyFill="1" applyBorder="1" applyAlignment="1" applyProtection="1">
      <alignment vertical="center"/>
      <protection/>
    </xf>
    <xf numFmtId="175" fontId="36" fillId="43" borderId="25" xfId="74" applyNumberFormat="1" applyFont="1" applyFill="1" applyBorder="1" applyAlignment="1" applyProtection="1">
      <alignment horizontal="center" vertical="center"/>
      <protection/>
    </xf>
    <xf numFmtId="175" fontId="36" fillId="43" borderId="26" xfId="74" applyNumberFormat="1" applyFont="1" applyFill="1" applyBorder="1" applyAlignment="1" applyProtection="1">
      <alignment vertical="center"/>
      <protection/>
    </xf>
    <xf numFmtId="0" fontId="38" fillId="47" borderId="11" xfId="74" applyFont="1" applyFill="1" applyBorder="1" applyAlignment="1" applyProtection="1">
      <alignment vertical="center"/>
      <protection/>
    </xf>
    <xf numFmtId="0" fontId="36" fillId="47" borderId="17" xfId="74" applyFont="1" applyFill="1" applyBorder="1" applyAlignment="1" applyProtection="1">
      <alignment vertical="center"/>
      <protection/>
    </xf>
    <xf numFmtId="0" fontId="4" fillId="47" borderId="17" xfId="74" applyFont="1" applyFill="1" applyBorder="1" applyAlignment="1" applyProtection="1">
      <alignment vertical="center"/>
      <protection/>
    </xf>
    <xf numFmtId="0" fontId="36" fillId="43" borderId="26" xfId="74" applyFont="1" applyFill="1" applyBorder="1" applyAlignment="1" applyProtection="1">
      <alignment horizontal="left" vertical="center"/>
      <protection/>
    </xf>
    <xf numFmtId="175" fontId="38" fillId="47" borderId="25" xfId="74" applyNumberFormat="1" applyFont="1" applyFill="1" applyBorder="1" applyAlignment="1" applyProtection="1">
      <alignment horizontal="center" vertical="center"/>
      <protection/>
    </xf>
    <xf numFmtId="175" fontId="38" fillId="47" borderId="17" xfId="74" applyNumberFormat="1" applyFont="1" applyFill="1" applyBorder="1" applyAlignment="1" applyProtection="1">
      <alignment horizontal="center" vertical="center"/>
      <protection locked="0"/>
    </xf>
    <xf numFmtId="172" fontId="36" fillId="43" borderId="18" xfId="74" applyNumberFormat="1" applyFont="1" applyFill="1" applyBorder="1" applyAlignment="1" applyProtection="1">
      <alignment horizontal="center" vertical="center"/>
      <protection locked="0"/>
    </xf>
    <xf numFmtId="0" fontId="36" fillId="43" borderId="26" xfId="74" applyFont="1" applyFill="1" applyBorder="1" applyAlignment="1" applyProtection="1">
      <alignment vertical="center"/>
      <protection/>
    </xf>
    <xf numFmtId="3" fontId="4" fillId="34" borderId="0" xfId="0" applyNumberFormat="1" applyFont="1" applyFill="1" applyBorder="1" applyAlignment="1" applyProtection="1">
      <alignment horizontal="center" vertical="center"/>
      <protection/>
    </xf>
    <xf numFmtId="3" fontId="4" fillId="0" borderId="0" xfId="0" applyNumberFormat="1" applyFont="1" applyFill="1" applyBorder="1" applyAlignment="1" applyProtection="1">
      <alignment horizontal="center" vertical="center"/>
      <protection/>
    </xf>
    <xf numFmtId="171" fontId="4" fillId="34" borderId="0" xfId="0" applyNumberFormat="1" applyFont="1" applyFill="1" applyBorder="1" applyAlignment="1" applyProtection="1">
      <alignment horizontal="center" vertical="center"/>
      <protection/>
    </xf>
    <xf numFmtId="3" fontId="4" fillId="34" borderId="39" xfId="0" applyNumberFormat="1" applyFont="1" applyFill="1" applyBorder="1" applyAlignment="1" applyProtection="1">
      <alignment horizontal="center" vertical="center"/>
      <protection/>
    </xf>
    <xf numFmtId="172" fontId="4" fillId="34" borderId="39"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horizontal="left" vertical="center"/>
      <protection locked="0"/>
    </xf>
    <xf numFmtId="37" fontId="4" fillId="34" borderId="11" xfId="0" applyNumberFormat="1" applyFont="1" applyFill="1" applyBorder="1" applyAlignment="1" applyProtection="1">
      <alignment vertical="center"/>
      <protection locked="0"/>
    </xf>
    <xf numFmtId="37" fontId="4" fillId="34" borderId="12" xfId="67" applyNumberFormat="1" applyFont="1" applyFill="1" applyBorder="1" applyAlignment="1" applyProtection="1">
      <alignment horizontal="center"/>
      <protection/>
    </xf>
    <xf numFmtId="37" fontId="4" fillId="34" borderId="14" xfId="67" applyNumberFormat="1" applyFont="1" applyFill="1" applyBorder="1" applyAlignment="1" applyProtection="1">
      <alignment horizontal="center"/>
      <protection/>
    </xf>
    <xf numFmtId="3" fontId="4" fillId="42" borderId="15" xfId="0" applyNumberFormat="1" applyFont="1" applyFill="1" applyBorder="1" applyAlignment="1" applyProtection="1">
      <alignment horizontal="center" vertical="center"/>
      <protection/>
    </xf>
    <xf numFmtId="37" fontId="7" fillId="34" borderId="12" xfId="0" applyNumberFormat="1" applyFont="1" applyFill="1" applyBorder="1" applyAlignment="1" applyProtection="1">
      <alignment horizontal="center" vertical="center"/>
      <protection/>
    </xf>
    <xf numFmtId="1" fontId="7" fillId="34" borderId="12" xfId="0" applyNumberFormat="1" applyFont="1" applyFill="1" applyBorder="1" applyAlignment="1" applyProtection="1">
      <alignment horizontal="center" vertical="center"/>
      <protection/>
    </xf>
    <xf numFmtId="0" fontId="3" fillId="34" borderId="11" xfId="0" applyFont="1" applyFill="1" applyBorder="1" applyAlignment="1" applyProtection="1">
      <alignment vertical="center"/>
      <protection/>
    </xf>
    <xf numFmtId="0" fontId="80" fillId="43" borderId="35" xfId="0" applyFont="1" applyFill="1" applyBorder="1" applyAlignment="1">
      <alignment horizontal="centerContinuous" vertical="center"/>
    </xf>
    <xf numFmtId="175" fontId="80" fillId="43" borderId="0" xfId="0" applyNumberFormat="1" applyFont="1" applyFill="1" applyBorder="1" applyAlignment="1">
      <alignment horizontal="centerContinuous" vertical="center"/>
    </xf>
    <xf numFmtId="0" fontId="80" fillId="43" borderId="0" xfId="0" applyFont="1" applyFill="1" applyBorder="1" applyAlignment="1">
      <alignment horizontal="centerContinuous" vertical="center"/>
    </xf>
    <xf numFmtId="172" fontId="80" fillId="43" borderId="0" xfId="0" applyNumberFormat="1" applyFont="1" applyFill="1" applyBorder="1" applyAlignment="1" applyProtection="1">
      <alignment horizontal="centerContinuous" vertical="center"/>
      <protection locked="0"/>
    </xf>
    <xf numFmtId="176" fontId="80" fillId="43" borderId="0" xfId="0" applyNumberFormat="1" applyFont="1" applyFill="1" applyBorder="1" applyAlignment="1">
      <alignment horizontal="centerContinuous" vertical="center"/>
    </xf>
    <xf numFmtId="0" fontId="80" fillId="43" borderId="31" xfId="0" applyFont="1" applyFill="1" applyBorder="1" applyAlignment="1">
      <alignment horizontal="centerContinuous" vertical="center"/>
    </xf>
    <xf numFmtId="0" fontId="80" fillId="43" borderId="35" xfId="0" applyFont="1" applyFill="1" applyBorder="1" applyAlignment="1">
      <alignment horizontal="centerContinuous"/>
    </xf>
    <xf numFmtId="175" fontId="80" fillId="43" borderId="0" xfId="0" applyNumberFormat="1" applyFont="1" applyFill="1" applyBorder="1" applyAlignment="1">
      <alignment horizontal="centerContinuous"/>
    </xf>
    <xf numFmtId="0" fontId="80" fillId="43" borderId="0" xfId="0" applyFont="1" applyFill="1" applyBorder="1" applyAlignment="1">
      <alignment horizontal="centerContinuous"/>
    </xf>
    <xf numFmtId="172" fontId="80" fillId="43" borderId="0" xfId="0" applyNumberFormat="1" applyFont="1" applyFill="1" applyBorder="1" applyAlignment="1" applyProtection="1">
      <alignment horizontal="centerContinuous"/>
      <protection locked="0"/>
    </xf>
    <xf numFmtId="176" fontId="80" fillId="43" borderId="0" xfId="0" applyNumberFormat="1" applyFont="1" applyFill="1" applyBorder="1" applyAlignment="1">
      <alignment horizontal="centerContinuous"/>
    </xf>
    <xf numFmtId="0" fontId="80" fillId="43" borderId="31" xfId="0" applyFont="1" applyFill="1" applyBorder="1" applyAlignment="1">
      <alignment horizontal="centerContinuous"/>
    </xf>
    <xf numFmtId="175" fontId="32" fillId="0" borderId="0" xfId="0" applyNumberFormat="1" applyFont="1" applyAlignment="1">
      <alignment/>
    </xf>
    <xf numFmtId="175" fontId="32" fillId="43" borderId="33" xfId="0" applyNumberFormat="1" applyFont="1" applyFill="1" applyBorder="1" applyAlignment="1">
      <alignment horizontal="center"/>
    </xf>
    <xf numFmtId="172" fontId="32" fillId="43" borderId="33" xfId="0" applyNumberFormat="1" applyFont="1" applyFill="1" applyBorder="1" applyAlignment="1" applyProtection="1">
      <alignment horizontal="center"/>
      <protection locked="0"/>
    </xf>
    <xf numFmtId="176" fontId="32" fillId="43" borderId="33" xfId="0" applyNumberFormat="1" applyFont="1" applyFill="1" applyBorder="1" applyAlignment="1">
      <alignment/>
    </xf>
    <xf numFmtId="172" fontId="32" fillId="43" borderId="0" xfId="0" applyNumberFormat="1" applyFont="1" applyFill="1" applyBorder="1" applyAlignment="1" applyProtection="1">
      <alignment horizontal="center"/>
      <protection locked="0"/>
    </xf>
    <xf numFmtId="175" fontId="32" fillId="43" borderId="28" xfId="0" applyNumberFormat="1" applyFont="1" applyFill="1" applyBorder="1" applyAlignment="1">
      <alignment horizontal="center"/>
    </xf>
    <xf numFmtId="0" fontId="32" fillId="43" borderId="28" xfId="0" applyFont="1" applyFill="1" applyBorder="1" applyAlignment="1">
      <alignment horizontal="center"/>
    </xf>
    <xf numFmtId="172" fontId="32" fillId="43" borderId="28" xfId="0" applyNumberFormat="1" applyFont="1" applyFill="1" applyBorder="1" applyAlignment="1" applyProtection="1">
      <alignment horizontal="center"/>
      <protection locked="0"/>
    </xf>
    <xf numFmtId="176" fontId="32" fillId="43" borderId="28" xfId="0" applyNumberFormat="1" applyFont="1" applyFill="1" applyBorder="1" applyAlignment="1">
      <alignment/>
    </xf>
    <xf numFmtId="175" fontId="32" fillId="43" borderId="0" xfId="0" applyNumberFormat="1" applyFont="1" applyFill="1" applyBorder="1" applyAlignment="1" applyProtection="1">
      <alignment horizontal="center"/>
      <protection locked="0"/>
    </xf>
    <xf numFmtId="175" fontId="4" fillId="47" borderId="21" xfId="74" applyNumberFormat="1" applyFont="1" applyFill="1" applyBorder="1" applyAlignment="1" applyProtection="1">
      <alignment horizontal="center"/>
      <protection/>
    </xf>
    <xf numFmtId="0" fontId="4" fillId="47" borderId="25" xfId="0" applyFont="1" applyFill="1" applyBorder="1" applyAlignment="1">
      <alignment vertical="center"/>
    </xf>
    <xf numFmtId="0" fontId="4" fillId="47" borderId="11" xfId="0" applyFont="1" applyFill="1" applyBorder="1" applyAlignment="1">
      <alignment vertical="center"/>
    </xf>
    <xf numFmtId="175" fontId="4" fillId="47" borderId="17" xfId="0" applyNumberFormat="1" applyFont="1" applyFill="1" applyBorder="1" applyAlignment="1">
      <alignment horizontal="center" vertical="center"/>
    </xf>
    <xf numFmtId="175" fontId="32" fillId="43" borderId="0" xfId="0" applyNumberFormat="1" applyFont="1" applyFill="1" applyBorder="1" applyAlignment="1">
      <alignment horizontal="center"/>
    </xf>
    <xf numFmtId="176" fontId="32" fillId="43" borderId="0" xfId="0" applyNumberFormat="1" applyFont="1" applyFill="1" applyBorder="1" applyAlignment="1">
      <alignment horizontal="center"/>
    </xf>
    <xf numFmtId="0" fontId="80" fillId="43" borderId="0" xfId="0" applyFont="1" applyFill="1" applyAlignment="1">
      <alignment horizontal="center" wrapText="1"/>
    </xf>
    <xf numFmtId="0" fontId="32" fillId="43" borderId="0" xfId="0" applyFont="1" applyFill="1" applyBorder="1" applyAlignment="1">
      <alignment horizontal="center"/>
    </xf>
    <xf numFmtId="175" fontId="32" fillId="45" borderId="11" xfId="0" applyNumberFormat="1" applyFont="1" applyFill="1" applyBorder="1" applyAlignment="1" applyProtection="1">
      <alignment horizontal="center"/>
      <protection locked="0"/>
    </xf>
    <xf numFmtId="0" fontId="80" fillId="43" borderId="0" xfId="0" applyFont="1" applyFill="1" applyAlignment="1">
      <alignment horizontal="center"/>
    </xf>
    <xf numFmtId="175" fontId="32" fillId="43" borderId="0" xfId="0" applyNumberFormat="1" applyFont="1" applyFill="1" applyAlignment="1">
      <alignment horizontal="center"/>
    </xf>
    <xf numFmtId="0" fontId="32" fillId="43" borderId="0" xfId="0" applyFont="1" applyFill="1" applyBorder="1" applyAlignment="1">
      <alignment/>
    </xf>
    <xf numFmtId="0" fontId="32" fillId="43" borderId="34" xfId="0" applyFont="1" applyFill="1" applyBorder="1" applyAlignment="1">
      <alignment/>
    </xf>
    <xf numFmtId="0" fontId="32" fillId="43" borderId="19" xfId="0" applyFont="1" applyFill="1" applyBorder="1" applyAlignment="1">
      <alignment horizontal="center"/>
    </xf>
    <xf numFmtId="0" fontId="4" fillId="34" borderId="0" xfId="57" applyNumberFormat="1" applyFont="1" applyFill="1" applyBorder="1" applyAlignment="1" applyProtection="1">
      <alignment horizontal="right" vertical="center"/>
      <protection/>
    </xf>
    <xf numFmtId="0" fontId="4" fillId="0" borderId="0" xfId="110" applyFont="1" applyAlignment="1">
      <alignment vertical="center"/>
      <protection/>
    </xf>
    <xf numFmtId="0" fontId="4" fillId="34" borderId="13" xfId="0" applyFont="1" applyFill="1" applyBorder="1" applyAlignment="1" applyProtection="1">
      <alignment/>
      <protection/>
    </xf>
    <xf numFmtId="0" fontId="4" fillId="43" borderId="0" xfId="0" applyFont="1" applyFill="1" applyAlignment="1" applyProtection="1">
      <alignment vertical="center"/>
      <protection locked="0"/>
    </xf>
    <xf numFmtId="10" fontId="4" fillId="33" borderId="10" xfId="0" applyNumberFormat="1" applyFont="1" applyFill="1" applyBorder="1" applyAlignment="1" applyProtection="1">
      <alignment vertical="center"/>
      <protection locked="0"/>
    </xf>
    <xf numFmtId="178" fontId="4" fillId="33" borderId="10" xfId="0" applyNumberFormat="1" applyFont="1" applyFill="1" applyBorder="1" applyAlignment="1" applyProtection="1">
      <alignment vertical="center"/>
      <protection locked="0"/>
    </xf>
    <xf numFmtId="171" fontId="4" fillId="34" borderId="18" xfId="0" applyNumberFormat="1" applyFont="1" applyFill="1" applyBorder="1" applyAlignment="1" applyProtection="1">
      <alignment vertical="center"/>
      <protection/>
    </xf>
    <xf numFmtId="0" fontId="86" fillId="0" borderId="0" xfId="0" applyFont="1" applyAlignment="1">
      <alignment/>
    </xf>
    <xf numFmtId="49" fontId="4" fillId="33" borderId="0" xfId="356" applyNumberFormat="1" applyFont="1" applyFill="1" applyAlignment="1" applyProtection="1">
      <alignment horizontal="left" vertical="center"/>
      <protection locked="0"/>
    </xf>
    <xf numFmtId="49" fontId="4" fillId="0" borderId="0" xfId="356" applyNumberFormat="1" applyFont="1" applyFill="1" applyAlignment="1" applyProtection="1">
      <alignment horizontal="left" vertical="center"/>
      <protection locked="0"/>
    </xf>
    <xf numFmtId="0" fontId="4" fillId="33" borderId="0" xfId="356" applyFont="1" applyFill="1" applyAlignment="1" applyProtection="1">
      <alignment horizontal="left" vertical="center"/>
      <protection locked="0"/>
    </xf>
    <xf numFmtId="0" fontId="27" fillId="33" borderId="0" xfId="356" applyFill="1" applyAlignment="1" applyProtection="1">
      <alignment horizontal="left" vertical="center"/>
      <protection locked="0"/>
    </xf>
    <xf numFmtId="0" fontId="87" fillId="0" borderId="0" xfId="356" applyFont="1">
      <alignment/>
      <protection/>
    </xf>
    <xf numFmtId="173" fontId="88" fillId="0" borderId="0" xfId="356" applyNumberFormat="1" applyFont="1" applyAlignment="1">
      <alignment horizontal="left" vertical="center"/>
      <protection/>
    </xf>
    <xf numFmtId="0" fontId="88" fillId="0" borderId="0" xfId="356" applyNumberFormat="1" applyFont="1" applyAlignment="1">
      <alignment horizontal="left" vertical="center"/>
      <protection/>
    </xf>
    <xf numFmtId="1" fontId="88" fillId="0" borderId="0" xfId="356" applyNumberFormat="1" applyFont="1" applyAlignment="1">
      <alignment horizontal="left" vertical="center"/>
      <protection/>
    </xf>
    <xf numFmtId="0" fontId="89" fillId="0" borderId="0" xfId="356" applyFont="1" applyAlignment="1">
      <alignment horizontal="left" vertical="center"/>
      <protection/>
    </xf>
    <xf numFmtId="49" fontId="4" fillId="34" borderId="0" xfId="0" applyNumberFormat="1" applyFont="1" applyFill="1" applyAlignment="1" applyProtection="1">
      <alignment horizontal="left" vertical="center"/>
      <protection/>
    </xf>
    <xf numFmtId="0" fontId="38" fillId="47" borderId="26" xfId="74" applyFont="1" applyFill="1" applyBorder="1" applyAlignment="1" applyProtection="1">
      <alignment vertical="center"/>
      <protection locked="0"/>
    </xf>
    <xf numFmtId="0" fontId="4" fillId="47" borderId="0" xfId="74" applyFont="1" applyFill="1" applyBorder="1" applyAlignment="1" applyProtection="1">
      <alignment vertical="center"/>
      <protection locked="0"/>
    </xf>
    <xf numFmtId="0" fontId="36" fillId="47" borderId="0" xfId="74" applyFont="1" applyFill="1" applyBorder="1" applyAlignment="1" applyProtection="1">
      <alignment vertical="center"/>
      <protection locked="0"/>
    </xf>
    <xf numFmtId="0" fontId="4" fillId="0" borderId="0" xfId="0" applyFont="1" applyBorder="1" applyAlignment="1" applyProtection="1">
      <alignment vertical="center"/>
      <protection locked="0"/>
    </xf>
    <xf numFmtId="0" fontId="36" fillId="43" borderId="25" xfId="0" applyFont="1" applyFill="1" applyBorder="1" applyAlignment="1" applyProtection="1">
      <alignment vertical="center"/>
      <protection locked="0"/>
    </xf>
    <xf numFmtId="0" fontId="36" fillId="43" borderId="11" xfId="0" applyFont="1" applyFill="1" applyBorder="1" applyAlignment="1" applyProtection="1">
      <alignment vertical="center"/>
      <protection locked="0"/>
    </xf>
    <xf numFmtId="0" fontId="4" fillId="43" borderId="11" xfId="0" applyFont="1" applyFill="1" applyBorder="1" applyAlignment="1" applyProtection="1">
      <alignment vertical="center"/>
      <protection locked="0"/>
    </xf>
    <xf numFmtId="0" fontId="4" fillId="47" borderId="17" xfId="0" applyFont="1" applyFill="1" applyBorder="1" applyAlignment="1" applyProtection="1">
      <alignment vertical="center"/>
      <protection locked="0"/>
    </xf>
    <xf numFmtId="172" fontId="36" fillId="43" borderId="26" xfId="0" applyNumberFormat="1" applyFont="1" applyFill="1" applyBorder="1" applyAlignment="1" applyProtection="1">
      <alignment horizontal="center" vertical="center"/>
      <protection/>
    </xf>
    <xf numFmtId="0" fontId="36" fillId="43" borderId="0" xfId="0" applyFont="1" applyFill="1" applyBorder="1" applyAlignment="1" applyProtection="1">
      <alignment horizontal="left" vertical="center"/>
      <protection/>
    </xf>
    <xf numFmtId="0" fontId="37" fillId="43" borderId="0" xfId="0" applyFont="1" applyFill="1" applyBorder="1" applyAlignment="1" applyProtection="1">
      <alignment horizontal="center" vertical="center"/>
      <protection/>
    </xf>
    <xf numFmtId="0" fontId="0" fillId="43" borderId="21" xfId="0" applyFill="1" applyBorder="1" applyAlignment="1" applyProtection="1">
      <alignment vertical="center"/>
      <protection/>
    </xf>
    <xf numFmtId="172" fontId="36" fillId="47" borderId="25" xfId="0" applyNumberFormat="1" applyFont="1" applyFill="1" applyBorder="1" applyAlignment="1" applyProtection="1">
      <alignment horizontal="center" vertical="center"/>
      <protection/>
    </xf>
    <xf numFmtId="172" fontId="36" fillId="43" borderId="20" xfId="0" applyNumberFormat="1" applyFont="1" applyFill="1" applyBorder="1" applyAlignment="1" applyProtection="1">
      <alignment horizontal="center" vertical="center"/>
      <protection/>
    </xf>
    <xf numFmtId="172" fontId="36" fillId="47" borderId="20" xfId="0" applyNumberFormat="1" applyFont="1" applyFill="1" applyBorder="1" applyAlignment="1" applyProtection="1">
      <alignment horizontal="center" vertical="center"/>
      <protection/>
    </xf>
    <xf numFmtId="0" fontId="36" fillId="43" borderId="11" xfId="0" applyFont="1" applyFill="1" applyBorder="1" applyAlignment="1" applyProtection="1">
      <alignment horizontal="left" vertical="center"/>
      <protection/>
    </xf>
    <xf numFmtId="0" fontId="37" fillId="43" borderId="11" xfId="0" applyFont="1" applyFill="1" applyBorder="1" applyAlignment="1" applyProtection="1">
      <alignment horizontal="center" vertical="center"/>
      <protection/>
    </xf>
    <xf numFmtId="0" fontId="0" fillId="43" borderId="17" xfId="0" applyFill="1" applyBorder="1" applyAlignment="1" applyProtection="1">
      <alignment vertical="center"/>
      <protection/>
    </xf>
    <xf numFmtId="0" fontId="83" fillId="0" borderId="0" xfId="0" applyFont="1" applyAlignment="1" applyProtection="1">
      <alignment/>
      <protection locked="0"/>
    </xf>
    <xf numFmtId="175" fontId="11" fillId="47" borderId="25" xfId="74" applyNumberFormat="1" applyFont="1" applyFill="1" applyBorder="1" applyAlignment="1" applyProtection="1">
      <alignment horizontal="center" vertical="center"/>
      <protection locked="0"/>
    </xf>
    <xf numFmtId="0" fontId="11" fillId="47" borderId="11" xfId="74" applyFont="1" applyFill="1" applyBorder="1" applyAlignment="1" applyProtection="1">
      <alignment vertical="center"/>
      <protection locked="0"/>
    </xf>
    <xf numFmtId="0" fontId="4" fillId="47" borderId="17" xfId="74" applyFont="1" applyFill="1" applyBorder="1" applyAlignment="1" applyProtection="1">
      <alignment vertical="center"/>
      <protection locked="0"/>
    </xf>
    <xf numFmtId="0" fontId="4" fillId="43" borderId="21" xfId="0" applyFont="1" applyFill="1" applyBorder="1" applyAlignment="1" applyProtection="1">
      <alignment vertical="center"/>
      <protection locked="0"/>
    </xf>
    <xf numFmtId="3" fontId="4" fillId="40" borderId="15" xfId="74" applyNumberFormat="1" applyFont="1" applyFill="1" applyBorder="1" applyAlignment="1" applyProtection="1">
      <alignment vertical="center"/>
      <protection/>
    </xf>
    <xf numFmtId="3" fontId="4" fillId="41" borderId="15" xfId="0" applyNumberFormat="1" applyFont="1" applyFill="1" applyBorder="1" applyAlignment="1" applyProtection="1">
      <alignment vertical="center"/>
      <protection/>
    </xf>
    <xf numFmtId="0" fontId="36" fillId="43" borderId="26" xfId="0" applyFont="1" applyFill="1" applyBorder="1" applyAlignment="1" applyProtection="1">
      <alignment vertical="center"/>
      <protection/>
    </xf>
    <xf numFmtId="0" fontId="4" fillId="43" borderId="0" xfId="0" applyFont="1" applyFill="1" applyBorder="1" applyAlignment="1" applyProtection="1">
      <alignment vertical="center"/>
      <protection/>
    </xf>
    <xf numFmtId="0" fontId="36" fillId="43" borderId="0" xfId="0" applyFont="1" applyFill="1" applyBorder="1" applyAlignment="1" applyProtection="1">
      <alignment vertical="center"/>
      <protection/>
    </xf>
    <xf numFmtId="175" fontId="36" fillId="43" borderId="21" xfId="0" applyNumberFormat="1" applyFont="1" applyFill="1" applyBorder="1" applyAlignment="1" applyProtection="1">
      <alignment horizontal="center" vertical="center"/>
      <protection/>
    </xf>
    <xf numFmtId="0" fontId="36" fillId="43" borderId="26" xfId="0" applyFont="1" applyFill="1" applyBorder="1" applyAlignment="1" applyProtection="1">
      <alignment horizontal="left" vertical="center"/>
      <protection/>
    </xf>
    <xf numFmtId="175" fontId="36" fillId="45" borderId="10" xfId="0" applyNumberFormat="1" applyFont="1" applyFill="1" applyBorder="1" applyAlignment="1" applyProtection="1">
      <alignment horizontal="center" vertical="center"/>
      <protection locked="0"/>
    </xf>
    <xf numFmtId="172" fontId="38" fillId="43" borderId="18" xfId="0" applyNumberFormat="1" applyFont="1" applyFill="1" applyBorder="1" applyAlignment="1" applyProtection="1">
      <alignment horizontal="center" vertical="center"/>
      <protection/>
    </xf>
    <xf numFmtId="0" fontId="38" fillId="47" borderId="26"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6" fillId="47" borderId="0" xfId="0" applyFont="1" applyFill="1" applyBorder="1" applyAlignment="1" applyProtection="1">
      <alignment vertical="center"/>
      <protection/>
    </xf>
    <xf numFmtId="175" fontId="38" fillId="47" borderId="18" xfId="0" applyNumberFormat="1" applyFont="1" applyFill="1" applyBorder="1" applyAlignment="1" applyProtection="1">
      <alignment horizontal="center" vertical="center"/>
      <protection/>
    </xf>
    <xf numFmtId="37" fontId="36" fillId="34" borderId="25" xfId="0" applyNumberFormat="1" applyFont="1" applyFill="1" applyBorder="1" applyAlignment="1" applyProtection="1">
      <alignment horizontal="left" vertical="center"/>
      <protection/>
    </xf>
    <xf numFmtId="0" fontId="40" fillId="43" borderId="11" xfId="0" applyFont="1" applyFill="1" applyBorder="1" applyAlignment="1">
      <alignment horizontal="left" vertical="center"/>
    </xf>
    <xf numFmtId="175" fontId="38" fillId="47" borderId="17" xfId="0" applyNumberFormat="1" applyFont="1" applyFill="1" applyBorder="1" applyAlignment="1" applyProtection="1">
      <alignment horizontal="center" vertical="center"/>
      <protection locked="0"/>
    </xf>
    <xf numFmtId="0" fontId="4" fillId="43" borderId="26" xfId="0" applyFont="1" applyFill="1" applyBorder="1" applyAlignment="1" applyProtection="1">
      <alignment vertical="center"/>
      <protection/>
    </xf>
    <xf numFmtId="0" fontId="4" fillId="43" borderId="21" xfId="0" applyFont="1" applyFill="1" applyBorder="1" applyAlignment="1" applyProtection="1">
      <alignment/>
      <protection locked="0"/>
    </xf>
    <xf numFmtId="175" fontId="36" fillId="43" borderId="26" xfId="0" applyNumberFormat="1" applyFont="1" applyFill="1" applyBorder="1" applyAlignment="1" applyProtection="1">
      <alignment horizontal="center" vertical="center"/>
      <protection/>
    </xf>
    <xf numFmtId="0" fontId="36" fillId="43" borderId="21" xfId="0" applyFont="1" applyFill="1" applyBorder="1" applyAlignment="1" applyProtection="1">
      <alignment vertical="center"/>
      <protection/>
    </xf>
    <xf numFmtId="175" fontId="36" fillId="43" borderId="25" xfId="0" applyNumberFormat="1" applyFont="1" applyFill="1" applyBorder="1" applyAlignment="1" applyProtection="1">
      <alignment horizontal="center" vertical="center"/>
      <protection/>
    </xf>
    <xf numFmtId="0" fontId="39" fillId="0" borderId="0" xfId="0" applyFont="1" applyAlignment="1" applyProtection="1">
      <alignment horizontal="right" vertical="center"/>
      <protection/>
    </xf>
    <xf numFmtId="175" fontId="11" fillId="43" borderId="26" xfId="0" applyNumberFormat="1" applyFont="1" applyFill="1" applyBorder="1" applyAlignment="1" applyProtection="1">
      <alignment horizontal="center" vertical="center"/>
      <protection/>
    </xf>
    <xf numFmtId="0" fontId="4" fillId="43" borderId="21" xfId="0" applyFont="1" applyFill="1" applyBorder="1" applyAlignment="1" applyProtection="1">
      <alignment vertical="center"/>
      <protection/>
    </xf>
    <xf numFmtId="175" fontId="11" fillId="43" borderId="26" xfId="0" applyNumberFormat="1" applyFont="1" applyFill="1" applyBorder="1" applyAlignment="1" applyProtection="1">
      <alignment vertical="center"/>
      <protection/>
    </xf>
    <xf numFmtId="0" fontId="11" fillId="43" borderId="0" xfId="0" applyFont="1" applyFill="1" applyBorder="1" applyAlignment="1" applyProtection="1">
      <alignment vertical="center"/>
      <protection/>
    </xf>
    <xf numFmtId="175" fontId="11" fillId="43" borderId="25" xfId="0" applyNumberFormat="1" applyFont="1" applyFill="1" applyBorder="1" applyAlignment="1" applyProtection="1">
      <alignment horizontal="center" vertical="center"/>
      <protection/>
    </xf>
    <xf numFmtId="175" fontId="11" fillId="47" borderId="25" xfId="0" applyNumberFormat="1" applyFont="1" applyFill="1" applyBorder="1" applyAlignment="1" applyProtection="1">
      <alignment horizontal="center" vertical="center"/>
      <protection/>
    </xf>
    <xf numFmtId="0" fontId="11" fillId="47" borderId="11" xfId="0" applyFont="1" applyFill="1" applyBorder="1" applyAlignment="1" applyProtection="1">
      <alignment vertical="center"/>
      <protection/>
    </xf>
    <xf numFmtId="0" fontId="4" fillId="47" borderId="17" xfId="0" applyFont="1" applyFill="1" applyBorder="1" applyAlignment="1" applyProtection="1">
      <alignment vertical="center"/>
      <protection/>
    </xf>
    <xf numFmtId="0" fontId="4" fillId="47" borderId="17" xfId="0" applyFont="1" applyFill="1" applyBorder="1" applyAlignment="1" applyProtection="1">
      <alignment/>
      <protection locked="0"/>
    </xf>
    <xf numFmtId="0" fontId="83" fillId="0" borderId="0" xfId="0" applyFont="1" applyAlignment="1">
      <alignment/>
    </xf>
    <xf numFmtId="0" fontId="4" fillId="43" borderId="0" xfId="67" applyFont="1" applyFill="1">
      <alignment/>
      <protection/>
    </xf>
    <xf numFmtId="0" fontId="0" fillId="0" borderId="0" xfId="67">
      <alignment/>
      <protection/>
    </xf>
    <xf numFmtId="0" fontId="4" fillId="43" borderId="0" xfId="67" applyFont="1" applyFill="1" applyAlignment="1">
      <alignment vertical="center"/>
      <protection/>
    </xf>
    <xf numFmtId="37" fontId="4" fillId="43" borderId="0" xfId="67" applyNumberFormat="1" applyFont="1" applyFill="1" applyAlignment="1">
      <alignment vertical="center"/>
      <protection/>
    </xf>
    <xf numFmtId="0" fontId="4" fillId="43" borderId="11" xfId="67" applyFont="1" applyFill="1" applyBorder="1" applyAlignment="1">
      <alignment vertical="center"/>
      <protection/>
    </xf>
    <xf numFmtId="0" fontId="4" fillId="43" borderId="0" xfId="67" applyFont="1" applyFill="1" applyAlignment="1">
      <alignment horizontal="center" vertical="center"/>
      <protection/>
    </xf>
    <xf numFmtId="0" fontId="5" fillId="43" borderId="0" xfId="67" applyFont="1" applyFill="1" applyAlignment="1">
      <alignment horizontal="center" vertical="center"/>
      <protection/>
    </xf>
    <xf numFmtId="175" fontId="4" fillId="43" borderId="0" xfId="67" applyNumberFormat="1" applyFont="1" applyFill="1" applyAlignment="1">
      <alignment vertical="center"/>
      <protection/>
    </xf>
    <xf numFmtId="175" fontId="4" fillId="43" borderId="19" xfId="67" applyNumberFormat="1" applyFont="1" applyFill="1" applyBorder="1" applyAlignment="1">
      <alignment vertical="center"/>
      <protection/>
    </xf>
    <xf numFmtId="175" fontId="4" fillId="43" borderId="0" xfId="67" applyNumberFormat="1" applyFont="1" applyFill="1" applyBorder="1" applyAlignment="1">
      <alignment vertical="center"/>
      <protection/>
    </xf>
    <xf numFmtId="0" fontId="84" fillId="47" borderId="0" xfId="67" applyFont="1" applyFill="1" applyAlignment="1">
      <alignment vertical="center"/>
      <protection/>
    </xf>
    <xf numFmtId="0" fontId="84" fillId="43" borderId="0" xfId="67" applyFont="1" applyFill="1" applyAlignment="1">
      <alignment horizontal="center" vertical="center"/>
      <protection/>
    </xf>
    <xf numFmtId="172" fontId="4" fillId="43" borderId="0" xfId="67" applyNumberFormat="1" applyFont="1" applyFill="1" applyAlignment="1">
      <alignment horizontal="center" vertical="center"/>
      <protection/>
    </xf>
    <xf numFmtId="179" fontId="84" fillId="43" borderId="0" xfId="67" applyNumberFormat="1" applyFont="1" applyFill="1" applyAlignment="1">
      <alignment horizontal="center" vertical="center"/>
      <protection/>
    </xf>
    <xf numFmtId="0" fontId="84" fillId="47" borderId="0" xfId="67" applyFont="1" applyFill="1" applyAlignment="1">
      <alignment horizontal="center" vertical="center"/>
      <protection/>
    </xf>
    <xf numFmtId="0" fontId="90" fillId="47" borderId="0" xfId="67" applyFont="1" applyFill="1" applyAlignment="1">
      <alignment horizontal="center" vertical="center"/>
      <protection/>
    </xf>
    <xf numFmtId="0" fontId="4" fillId="43" borderId="0" xfId="67" applyFont="1" applyFill="1" applyAlignment="1">
      <alignment horizontal="right" vertical="center"/>
      <protection/>
    </xf>
    <xf numFmtId="0" fontId="4" fillId="43" borderId="0" xfId="67" applyFont="1" applyFill="1" applyAlignment="1">
      <alignment horizontal="left" vertical="center"/>
      <protection/>
    </xf>
    <xf numFmtId="0" fontId="4" fillId="43" borderId="0" xfId="64" applyFont="1" applyFill="1">
      <alignment/>
      <protection/>
    </xf>
    <xf numFmtId="0" fontId="0" fillId="43" borderId="0" xfId="67" applyFill="1">
      <alignment/>
      <protection/>
    </xf>
    <xf numFmtId="0" fontId="3" fillId="43" borderId="0" xfId="64" applyFont="1" applyFill="1">
      <alignment/>
      <protection/>
    </xf>
    <xf numFmtId="0" fontId="0" fillId="43" borderId="0" xfId="64" applyFill="1">
      <alignment/>
      <protection/>
    </xf>
    <xf numFmtId="0" fontId="10" fillId="0" borderId="0" xfId="57" applyAlignment="1" applyProtection="1">
      <alignment/>
      <protection/>
    </xf>
    <xf numFmtId="0" fontId="4" fillId="34" borderId="0" xfId="0" applyFont="1" applyFill="1" applyBorder="1" applyAlignment="1" applyProtection="1">
      <alignment horizontal="center" vertical="center"/>
      <protection/>
    </xf>
    <xf numFmtId="37" fontId="4" fillId="34" borderId="0" xfId="0" applyNumberFormat="1" applyFont="1" applyFill="1" applyBorder="1" applyAlignment="1" applyProtection="1">
      <alignment horizontal="center" vertical="center"/>
      <protection/>
    </xf>
    <xf numFmtId="0" fontId="3" fillId="34" borderId="0" xfId="0" applyFont="1" applyFill="1" applyAlignment="1" applyProtection="1">
      <alignment horizontal="right"/>
      <protection/>
    </xf>
    <xf numFmtId="6" fontId="4" fillId="43" borderId="0" xfId="67" applyNumberFormat="1" applyFont="1" applyFill="1" applyBorder="1" applyAlignment="1">
      <alignment horizontal="center" vertical="center"/>
      <protection/>
    </xf>
    <xf numFmtId="1" fontId="4" fillId="34" borderId="24" xfId="0" applyNumberFormat="1" applyFont="1" applyFill="1" applyBorder="1" applyAlignment="1" applyProtection="1">
      <alignment horizontal="center" vertical="center"/>
      <protection/>
    </xf>
    <xf numFmtId="37" fontId="4" fillId="34" borderId="24"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34" borderId="21" xfId="0" applyFont="1" applyFill="1" applyBorder="1" applyAlignment="1" applyProtection="1">
      <alignment horizontal="left" vertical="center"/>
      <protection/>
    </xf>
    <xf numFmtId="37" fontId="7" fillId="34" borderId="22" xfId="0" applyNumberFormat="1" applyFont="1" applyFill="1" applyBorder="1" applyAlignment="1" applyProtection="1">
      <alignment horizontal="center" vertical="center"/>
      <protection/>
    </xf>
    <xf numFmtId="0" fontId="4" fillId="0" borderId="0" xfId="0" applyFont="1" applyBorder="1" applyAlignment="1">
      <alignment vertical="center"/>
    </xf>
    <xf numFmtId="3" fontId="4" fillId="34" borderId="10" xfId="0" applyNumberFormat="1" applyFont="1" applyFill="1" applyBorder="1" applyAlignment="1" applyProtection="1">
      <alignment horizontal="right" vertical="center"/>
      <protection/>
    </xf>
    <xf numFmtId="177" fontId="4" fillId="34" borderId="10" xfId="0" applyNumberFormat="1" applyFont="1" applyFill="1" applyBorder="1" applyAlignment="1" applyProtection="1">
      <alignment horizontal="right" vertical="center"/>
      <protection/>
    </xf>
    <xf numFmtId="171" fontId="4" fillId="34" borderId="10" xfId="0" applyNumberFormat="1" applyFont="1" applyFill="1" applyBorder="1" applyAlignment="1" applyProtection="1">
      <alignment horizontal="right" vertical="center"/>
      <protection/>
    </xf>
    <xf numFmtId="0" fontId="4" fillId="34" borderId="10" xfId="0" applyFont="1" applyFill="1" applyBorder="1" applyAlignment="1" applyProtection="1">
      <alignment horizontal="right" vertical="center"/>
      <protection/>
    </xf>
    <xf numFmtId="3" fontId="4" fillId="34" borderId="38" xfId="0" applyNumberFormat="1" applyFont="1" applyFill="1" applyBorder="1" applyAlignment="1" applyProtection="1">
      <alignment horizontal="right" vertical="center"/>
      <protection/>
    </xf>
    <xf numFmtId="0" fontId="4" fillId="34" borderId="38" xfId="0" applyFont="1" applyFill="1" applyBorder="1" applyAlignment="1" applyProtection="1">
      <alignment horizontal="right" vertical="center"/>
      <protection/>
    </xf>
    <xf numFmtId="3" fontId="4" fillId="42" borderId="14" xfId="0" applyNumberFormat="1" applyFont="1" applyFill="1" applyBorder="1" applyAlignment="1" applyProtection="1">
      <alignment horizontal="right" vertical="center"/>
      <protection/>
    </xf>
    <xf numFmtId="172" fontId="4" fillId="42" borderId="14" xfId="0" applyNumberFormat="1" applyFont="1" applyFill="1" applyBorder="1" applyAlignment="1" applyProtection="1">
      <alignment horizontal="right" vertical="center"/>
      <protection/>
    </xf>
    <xf numFmtId="178" fontId="4" fillId="34" borderId="0" xfId="359" applyNumberFormat="1" applyFont="1" applyFill="1" applyAlignment="1" applyProtection="1">
      <alignment horizontal="center" vertical="center"/>
      <protection/>
    </xf>
    <xf numFmtId="37" fontId="4" fillId="0" borderId="0" xfId="64" applyNumberFormat="1" applyFont="1" applyFill="1" applyAlignment="1" applyProtection="1">
      <alignment horizontal="left" vertical="center" wrapText="1"/>
      <protection/>
    </xf>
    <xf numFmtId="0" fontId="4" fillId="0" borderId="0" xfId="361" applyFont="1" applyAlignment="1">
      <alignment vertical="center" wrapText="1"/>
      <protection/>
    </xf>
    <xf numFmtId="0" fontId="4" fillId="0" borderId="0" xfId="63" applyFont="1" applyAlignment="1">
      <alignment vertical="center" wrapText="1"/>
      <protection/>
    </xf>
    <xf numFmtId="0" fontId="4" fillId="0" borderId="0" xfId="64" applyFont="1" applyAlignment="1">
      <alignment vertical="center" wrapText="1"/>
      <protection/>
    </xf>
    <xf numFmtId="0" fontId="4" fillId="0" borderId="0" xfId="342" applyFont="1" applyAlignment="1">
      <alignment vertical="center" wrapText="1"/>
      <protection/>
    </xf>
    <xf numFmtId="0" fontId="4" fillId="0" borderId="0" xfId="349" applyNumberFormat="1" applyFont="1" applyAlignment="1">
      <alignment vertical="center" wrapText="1"/>
      <protection/>
    </xf>
    <xf numFmtId="0" fontId="4" fillId="0" borderId="0" xfId="69" applyFont="1" applyAlignment="1">
      <alignment vertical="center" wrapText="1"/>
      <protection/>
    </xf>
    <xf numFmtId="0" fontId="4" fillId="0" borderId="0" xfId="100" applyFont="1" applyAlignment="1">
      <alignment vertical="center" wrapText="1"/>
      <protection/>
    </xf>
    <xf numFmtId="0" fontId="4" fillId="0" borderId="0" xfId="106" applyFont="1" applyAlignment="1">
      <alignment vertical="center" wrapText="1"/>
      <protection/>
    </xf>
    <xf numFmtId="0" fontId="10" fillId="32" borderId="0" xfId="57" applyFill="1" applyAlignment="1" applyProtection="1">
      <alignment/>
      <protection/>
    </xf>
    <xf numFmtId="0" fontId="62" fillId="32" borderId="0" xfId="328" applyFill="1">
      <alignment/>
      <protection/>
    </xf>
    <xf numFmtId="0" fontId="62" fillId="0" borderId="0" xfId="328">
      <alignment/>
      <protection/>
    </xf>
    <xf numFmtId="0" fontId="4" fillId="0" borderId="0" xfId="138" applyFont="1" applyAlignment="1">
      <alignment vertical="center"/>
      <protection/>
    </xf>
    <xf numFmtId="37" fontId="3" fillId="35" borderId="0" xfId="0" applyNumberFormat="1" applyFont="1" applyFill="1" applyBorder="1" applyAlignment="1" applyProtection="1">
      <alignment vertical="center"/>
      <protection/>
    </xf>
    <xf numFmtId="0" fontId="4" fillId="33" borderId="20" xfId="0" applyFont="1" applyFill="1" applyBorder="1" applyAlignment="1" applyProtection="1">
      <alignment horizontal="left"/>
      <protection locked="0"/>
    </xf>
    <xf numFmtId="0" fontId="4" fillId="33" borderId="20" xfId="0" applyFont="1" applyFill="1" applyBorder="1" applyAlignment="1" applyProtection="1">
      <alignment/>
      <protection locked="0"/>
    </xf>
    <xf numFmtId="37" fontId="5" fillId="34" borderId="0" xfId="0" applyNumberFormat="1" applyFont="1" applyFill="1" applyBorder="1" applyAlignment="1" applyProtection="1">
      <alignment horizontal="left" vertical="center"/>
      <protection/>
    </xf>
    <xf numFmtId="37" fontId="5" fillId="34" borderId="0" xfId="0" applyNumberFormat="1" applyFont="1" applyFill="1" applyBorder="1" applyAlignment="1" applyProtection="1">
      <alignment horizontal="fill" vertical="center"/>
      <protection/>
    </xf>
    <xf numFmtId="0" fontId="5" fillId="34" borderId="0" xfId="0" applyFont="1" applyFill="1" applyBorder="1" applyAlignment="1" applyProtection="1">
      <alignment vertical="center"/>
      <protection/>
    </xf>
    <xf numFmtId="0" fontId="5" fillId="34" borderId="0" xfId="0" applyFont="1" applyFill="1" applyBorder="1" applyAlignment="1" applyProtection="1">
      <alignment vertical="center"/>
      <protection locked="0"/>
    </xf>
    <xf numFmtId="37" fontId="5" fillId="34" borderId="0" xfId="0" applyNumberFormat="1" applyFont="1" applyFill="1" applyBorder="1" applyAlignment="1" applyProtection="1">
      <alignment horizontal="fill" vertical="center"/>
      <protection locked="0"/>
    </xf>
    <xf numFmtId="37" fontId="5" fillId="34" borderId="0"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Continuous" vertical="center"/>
      <protection/>
    </xf>
    <xf numFmtId="0" fontId="5" fillId="34" borderId="11" xfId="0" applyFont="1" applyFill="1" applyBorder="1" applyAlignment="1" applyProtection="1">
      <alignment vertical="center"/>
      <protection/>
    </xf>
    <xf numFmtId="37" fontId="13" fillId="34" borderId="0" xfId="0" applyNumberFormat="1" applyFont="1" applyFill="1" applyAlignment="1" applyProtection="1">
      <alignment horizontal="center" vertical="center"/>
      <protection/>
    </xf>
    <xf numFmtId="0" fontId="14" fillId="0" borderId="0" xfId="0" applyFont="1" applyAlignment="1">
      <alignment horizontal="center" vertical="center"/>
    </xf>
    <xf numFmtId="37" fontId="12" fillId="34" borderId="0" xfId="0" applyNumberFormat="1" applyFont="1" applyFill="1" applyAlignment="1" applyProtection="1">
      <alignment horizontal="left" vertical="center"/>
      <protection/>
    </xf>
    <xf numFmtId="0" fontId="0" fillId="0" borderId="0" xfId="0" applyAlignment="1">
      <alignment horizontal="left" vertical="center"/>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5" fillId="34" borderId="0" xfId="0" applyFont="1" applyFill="1" applyBorder="1" applyAlignment="1">
      <alignment vertical="center"/>
    </xf>
    <xf numFmtId="0" fontId="18" fillId="0" borderId="0" xfId="0" applyFont="1" applyAlignment="1">
      <alignment vertical="center"/>
    </xf>
    <xf numFmtId="37" fontId="12" fillId="3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4" fillId="36" borderId="19" xfId="0" applyFont="1" applyFill="1" applyBorder="1" applyAlignment="1">
      <alignment vertical="center" wrapText="1"/>
    </xf>
    <xf numFmtId="0" fontId="0" fillId="0" borderId="19" xfId="0" applyBorder="1" applyAlignment="1">
      <alignment vertical="center" wrapText="1"/>
    </xf>
    <xf numFmtId="0" fontId="3" fillId="37" borderId="0" xfId="0" applyFont="1" applyFill="1" applyBorder="1" applyAlignment="1">
      <alignment horizontal="center" vertical="center"/>
    </xf>
    <xf numFmtId="0" fontId="2" fillId="37" borderId="0" xfId="0" applyFont="1" applyFill="1" applyBorder="1" applyAlignment="1">
      <alignment horizontal="center" vertical="center"/>
    </xf>
    <xf numFmtId="0" fontId="4" fillId="0" borderId="0" xfId="356" applyFont="1" applyAlignment="1">
      <alignment horizontal="left" vertical="center" wrapText="1"/>
      <protection/>
    </xf>
    <xf numFmtId="0" fontId="27" fillId="0" borderId="0" xfId="356" applyAlignment="1">
      <alignment horizontal="left" vertical="center" wrapText="1"/>
      <protection/>
    </xf>
    <xf numFmtId="0" fontId="12" fillId="0" borderId="0" xfId="356" applyFont="1" applyAlignment="1">
      <alignment horizontal="left" vertical="center"/>
      <protection/>
    </xf>
    <xf numFmtId="37" fontId="12" fillId="34" borderId="0" xfId="0" applyNumberFormat="1" applyFont="1" applyFill="1" applyAlignment="1" applyProtection="1">
      <alignment horizontal="center" vertical="center"/>
      <protection/>
    </xf>
    <xf numFmtId="0" fontId="2"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0" xfId="0" applyFont="1" applyFill="1" applyAlignment="1" applyProtection="1">
      <alignment horizontal="center" vertical="center"/>
      <protection/>
    </xf>
    <xf numFmtId="0" fontId="0" fillId="0" borderId="0" xfId="0" applyAlignment="1">
      <alignment vertical="center"/>
    </xf>
    <xf numFmtId="0" fontId="8" fillId="37" borderId="12" xfId="0" applyFont="1" applyFill="1" applyBorder="1" applyAlignment="1" applyProtection="1">
      <alignment horizontal="center" vertical="center" wrapText="1" shrinkToFit="1"/>
      <protection/>
    </xf>
    <xf numFmtId="0" fontId="0" fillId="0" borderId="14" xfId="0" applyBorder="1" applyAlignment="1" applyProtection="1">
      <alignment horizontal="center" vertical="center" wrapText="1"/>
      <protection/>
    </xf>
    <xf numFmtId="0" fontId="6" fillId="34" borderId="0" xfId="0" applyFont="1" applyFill="1" applyAlignment="1">
      <alignment horizontal="center" vertical="center"/>
    </xf>
    <xf numFmtId="37" fontId="3" fillId="34" borderId="0" xfId="0" applyNumberFormat="1" applyFont="1" applyFill="1" applyAlignment="1">
      <alignment horizontal="center" vertical="center"/>
    </xf>
    <xf numFmtId="0" fontId="3" fillId="34" borderId="0" xfId="0" applyFont="1" applyFill="1" applyAlignment="1">
      <alignment horizontal="center" vertical="center"/>
    </xf>
    <xf numFmtId="37" fontId="3" fillId="34" borderId="0" xfId="0" applyNumberFormat="1" applyFont="1" applyFill="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8" xfId="0" applyBorder="1" applyAlignment="1">
      <alignment horizontal="center" vertical="center"/>
    </xf>
    <xf numFmtId="0" fontId="3" fillId="34" borderId="0" xfId="0"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7" xfId="0" applyBorder="1" applyAlignment="1" applyProtection="1">
      <alignment vertical="center"/>
      <protection/>
    </xf>
    <xf numFmtId="1" fontId="4" fillId="34" borderId="25" xfId="0" applyNumberFormat="1"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12" fillId="43" borderId="0" xfId="360" applyFont="1" applyFill="1" applyAlignment="1">
      <alignment horizontal="center"/>
      <protection/>
    </xf>
    <xf numFmtId="0" fontId="0" fillId="43" borderId="0" xfId="67" applyFill="1" applyAlignment="1">
      <alignment horizontal="center"/>
      <protection/>
    </xf>
    <xf numFmtId="0" fontId="3" fillId="43" borderId="0" xfId="67" applyFont="1" applyFill="1" applyAlignment="1">
      <alignment horizontal="center" vertical="center"/>
      <protection/>
    </xf>
    <xf numFmtId="0" fontId="12" fillId="43" borderId="0" xfId="67" applyFont="1" applyFill="1" applyAlignment="1">
      <alignment horizontal="center" vertical="center"/>
      <protection/>
    </xf>
    <xf numFmtId="0" fontId="4" fillId="43" borderId="0" xfId="67" applyFont="1" applyFill="1" applyAlignment="1">
      <alignment vertical="center" wrapText="1"/>
      <protection/>
    </xf>
    <xf numFmtId="172" fontId="37" fillId="43" borderId="24" xfId="0" applyNumberFormat="1" applyFont="1" applyFill="1" applyBorder="1" applyAlignment="1" applyProtection="1">
      <alignment horizontal="center"/>
      <protection/>
    </xf>
    <xf numFmtId="0" fontId="14" fillId="0" borderId="19" xfId="0" applyFont="1" applyBorder="1" applyAlignment="1">
      <alignment/>
    </xf>
    <xf numFmtId="0" fontId="14" fillId="0" borderId="22" xfId="0" applyFont="1" applyBorder="1" applyAlignment="1">
      <alignment/>
    </xf>
    <xf numFmtId="0" fontId="37" fillId="43" borderId="24" xfId="74" applyFont="1" applyFill="1" applyBorder="1" applyAlignment="1" applyProtection="1">
      <alignment horizontal="center" vertical="center"/>
      <protection/>
    </xf>
    <xf numFmtId="0" fontId="37" fillId="43" borderId="19" xfId="74" applyFont="1" applyFill="1" applyBorder="1" applyAlignment="1" applyProtection="1">
      <alignment horizontal="center" vertical="center"/>
      <protection/>
    </xf>
    <xf numFmtId="0" fontId="0" fillId="0" borderId="22" xfId="74" applyBorder="1" applyAlignment="1" applyProtection="1">
      <alignment vertical="center"/>
      <protection/>
    </xf>
    <xf numFmtId="3" fontId="4" fillId="34" borderId="19" xfId="78" applyNumberFormat="1" applyFont="1" applyFill="1" applyBorder="1" applyAlignment="1" applyProtection="1">
      <alignment horizontal="right" vertical="center"/>
      <protection/>
    </xf>
    <xf numFmtId="0" fontId="0" fillId="0" borderId="22" xfId="78" applyBorder="1" applyAlignment="1">
      <alignment horizontal="right" vertical="center"/>
      <protection/>
    </xf>
    <xf numFmtId="0" fontId="4" fillId="34" borderId="0" xfId="78" applyFont="1" applyFill="1" applyAlignment="1" applyProtection="1">
      <alignment horizontal="right" vertical="center"/>
      <protection/>
    </xf>
    <xf numFmtId="0" fontId="4" fillId="0" borderId="21" xfId="78" applyFont="1" applyBorder="1" applyAlignment="1">
      <alignment horizontal="right" vertical="center"/>
      <protection/>
    </xf>
    <xf numFmtId="0" fontId="4"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0" fillId="0" borderId="19" xfId="0" applyBorder="1" applyAlignment="1">
      <alignment vertical="center"/>
    </xf>
    <xf numFmtId="0" fontId="0" fillId="0" borderId="22" xfId="0" applyBorder="1" applyAlignment="1">
      <alignment vertical="center"/>
    </xf>
    <xf numFmtId="0" fontId="30" fillId="43" borderId="24" xfId="74" applyFont="1" applyFill="1" applyBorder="1" applyAlignment="1" applyProtection="1">
      <alignment horizontal="center" vertical="center"/>
      <protection locked="0"/>
    </xf>
    <xf numFmtId="0" fontId="37" fillId="43" borderId="24" xfId="0" applyFont="1" applyFill="1" applyBorder="1" applyAlignment="1" applyProtection="1">
      <alignment horizontal="center" vertical="center"/>
      <protection/>
    </xf>
    <xf numFmtId="0" fontId="40" fillId="0" borderId="19" xfId="0" applyFont="1" applyBorder="1" applyAlignment="1">
      <alignment horizontal="center" vertical="center"/>
    </xf>
    <xf numFmtId="0" fontId="0" fillId="0" borderId="22" xfId="0" applyBorder="1" applyAlignment="1">
      <alignment/>
    </xf>
    <xf numFmtId="0" fontId="4" fillId="34" borderId="0" xfId="57" applyNumberFormat="1" applyFont="1" applyFill="1" applyBorder="1" applyAlignment="1" applyProtection="1">
      <alignment horizontal="right" vertical="center"/>
      <protection/>
    </xf>
    <xf numFmtId="0" fontId="4" fillId="0" borderId="0" xfId="57" applyFont="1" applyAlignment="1" applyProtection="1">
      <alignment horizontal="right" vertical="center"/>
      <protection/>
    </xf>
    <xf numFmtId="0" fontId="3" fillId="34" borderId="20" xfId="0" applyFont="1" applyFill="1" applyBorder="1" applyAlignment="1">
      <alignment horizontal="center" vertical="center"/>
    </xf>
    <xf numFmtId="0" fontId="3" fillId="34" borderId="18" xfId="0" applyFont="1" applyFill="1" applyBorder="1" applyAlignment="1">
      <alignment horizontal="center" vertical="center"/>
    </xf>
    <xf numFmtId="37" fontId="4" fillId="43" borderId="0" xfId="0" applyNumberFormat="1" applyFont="1" applyFill="1" applyAlignment="1" applyProtection="1">
      <alignment horizontal="center" vertical="center"/>
      <protection/>
    </xf>
    <xf numFmtId="0" fontId="12" fillId="43" borderId="24" xfId="74" applyFont="1" applyFill="1" applyBorder="1" applyAlignment="1" applyProtection="1">
      <alignment horizontal="center"/>
      <protection/>
    </xf>
    <xf numFmtId="0" fontId="0" fillId="0" borderId="19" xfId="0" applyBorder="1" applyAlignment="1">
      <alignment horizontal="center"/>
    </xf>
    <xf numFmtId="0" fontId="0" fillId="0" borderId="22" xfId="0" applyBorder="1" applyAlignment="1">
      <alignment horizontal="center"/>
    </xf>
    <xf numFmtId="37" fontId="4" fillId="43" borderId="0" xfId="99" applyNumberFormat="1" applyFont="1" applyFill="1" applyAlignment="1" applyProtection="1">
      <alignment horizontal="center"/>
      <protection/>
    </xf>
    <xf numFmtId="37" fontId="4" fillId="34" borderId="11" xfId="0" applyNumberFormat="1" applyFont="1" applyFill="1" applyBorder="1" applyAlignment="1" applyProtection="1">
      <alignment horizontal="center" vertical="center"/>
      <protection locked="0"/>
    </xf>
    <xf numFmtId="0" fontId="0" fillId="0" borderId="19" xfId="74" applyBorder="1" applyAlignment="1" applyProtection="1">
      <alignment horizontal="center"/>
      <protection/>
    </xf>
    <xf numFmtId="0" fontId="0" fillId="0" borderId="22" xfId="74" applyBorder="1" applyAlignment="1" applyProtection="1">
      <alignment horizontal="center"/>
      <protection/>
    </xf>
    <xf numFmtId="0" fontId="12" fillId="43" borderId="19" xfId="74" applyFont="1" applyFill="1" applyBorder="1" applyAlignment="1" applyProtection="1">
      <alignment horizontal="center"/>
      <protection/>
    </xf>
    <xf numFmtId="0" fontId="12" fillId="43" borderId="22" xfId="74" applyFont="1" applyFill="1" applyBorder="1" applyAlignment="1" applyProtection="1">
      <alignment horizontal="center"/>
      <protection/>
    </xf>
    <xf numFmtId="0" fontId="4" fillId="0" borderId="0" xfId="0" applyFont="1" applyAlignment="1">
      <alignment horizontal="center"/>
    </xf>
    <xf numFmtId="0" fontId="4" fillId="0" borderId="0" xfId="0" applyFont="1" applyAlignment="1">
      <alignment horizontal="center" wrapText="1"/>
    </xf>
    <xf numFmtId="0" fontId="4" fillId="0" borderId="0" xfId="0" applyFont="1" applyAlignment="1">
      <alignment horizontal="left" vertical="justify" wrapText="1"/>
    </xf>
    <xf numFmtId="0" fontId="4" fillId="0" borderId="0" xfId="0" applyFont="1" applyAlignment="1">
      <alignment horizontal="right"/>
    </xf>
    <xf numFmtId="0" fontId="4" fillId="0" borderId="0" xfId="0" applyFont="1" applyAlignment="1">
      <alignment horizontal="left" vertical="justify"/>
    </xf>
    <xf numFmtId="0" fontId="4" fillId="34" borderId="0" xfId="0" applyFont="1" applyFill="1"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32" fillId="43" borderId="0" xfId="0" applyFont="1" applyFill="1" applyAlignment="1">
      <alignment wrapText="1"/>
    </xf>
    <xf numFmtId="175" fontId="32" fillId="45" borderId="11" xfId="0" applyNumberFormat="1" applyFont="1" applyFill="1" applyBorder="1" applyAlignment="1" applyProtection="1">
      <alignment horizontal="center"/>
      <protection locked="0"/>
    </xf>
    <xf numFmtId="5" fontId="32" fillId="43" borderId="11" xfId="0" applyNumberFormat="1" applyFont="1" applyFill="1" applyBorder="1" applyAlignment="1">
      <alignment horizontal="center"/>
    </xf>
    <xf numFmtId="0" fontId="80" fillId="43" borderId="28" xfId="0" applyFont="1" applyFill="1" applyBorder="1" applyAlignment="1">
      <alignment horizontal="center" vertical="center"/>
    </xf>
    <xf numFmtId="0" fontId="32" fillId="0" borderId="28" xfId="0" applyFont="1" applyBorder="1" applyAlignment="1">
      <alignment horizontal="center" vertical="center"/>
    </xf>
    <xf numFmtId="175" fontId="32" fillId="43" borderId="0" xfId="0" applyNumberFormat="1" applyFont="1" applyFill="1" applyBorder="1" applyAlignment="1">
      <alignment horizontal="center"/>
    </xf>
    <xf numFmtId="0" fontId="32" fillId="43" borderId="19" xfId="0" applyFont="1" applyFill="1" applyBorder="1" applyAlignment="1">
      <alignment horizontal="center"/>
    </xf>
    <xf numFmtId="0" fontId="80" fillId="43" borderId="0" xfId="0" applyFont="1" applyFill="1" applyAlignment="1">
      <alignment horizontal="center"/>
    </xf>
    <xf numFmtId="0" fontId="80" fillId="43" borderId="0" xfId="0" applyFont="1" applyFill="1" applyAlignment="1">
      <alignment horizontal="center" wrapText="1"/>
    </xf>
    <xf numFmtId="0" fontId="32" fillId="0" borderId="0" xfId="0" applyFont="1" applyAlignment="1">
      <alignment horizontal="center" wrapText="1"/>
    </xf>
    <xf numFmtId="0" fontId="80" fillId="43" borderId="0" xfId="0" applyFont="1" applyFill="1" applyAlignment="1">
      <alignment horizontal="center" vertical="center"/>
    </xf>
    <xf numFmtId="0" fontId="80" fillId="0" borderId="0" xfId="0" applyFont="1" applyAlignment="1">
      <alignment horizontal="center" vertical="center"/>
    </xf>
    <xf numFmtId="175" fontId="32" fillId="43" borderId="0" xfId="0" applyNumberFormat="1" applyFont="1" applyFill="1" applyAlignment="1">
      <alignment/>
    </xf>
    <xf numFmtId="175" fontId="32" fillId="43" borderId="0" xfId="0" applyNumberFormat="1" applyFont="1" applyFill="1" applyAlignment="1">
      <alignment horizontal="center"/>
    </xf>
    <xf numFmtId="175" fontId="32" fillId="45" borderId="30" xfId="0" applyNumberFormat="1" applyFont="1" applyFill="1" applyBorder="1" applyAlignment="1" applyProtection="1">
      <alignment horizontal="center"/>
      <protection locked="0"/>
    </xf>
    <xf numFmtId="0" fontId="32" fillId="43" borderId="0" xfId="0" applyFont="1" applyFill="1" applyBorder="1" applyAlignment="1">
      <alignment/>
    </xf>
    <xf numFmtId="0" fontId="32" fillId="0" borderId="0" xfId="0" applyFont="1" applyBorder="1" applyAlignment="1">
      <alignment/>
    </xf>
    <xf numFmtId="0" fontId="32" fillId="43" borderId="33" xfId="0" applyFont="1" applyFill="1" applyBorder="1" applyAlignment="1">
      <alignment/>
    </xf>
    <xf numFmtId="0" fontId="32" fillId="43" borderId="34" xfId="0" applyFont="1" applyFill="1" applyBorder="1" applyAlignment="1">
      <alignment/>
    </xf>
    <xf numFmtId="0" fontId="32" fillId="0" borderId="0" xfId="0" applyFont="1" applyAlignment="1">
      <alignment wrapText="1"/>
    </xf>
    <xf numFmtId="0" fontId="80" fillId="43" borderId="0" xfId="0" applyFont="1" applyFill="1" applyBorder="1" applyAlignment="1">
      <alignment horizontal="center" wrapText="1"/>
    </xf>
    <xf numFmtId="0" fontId="80" fillId="0" borderId="0" xfId="0" applyFont="1" applyAlignment="1">
      <alignment horizontal="center" wrapText="1"/>
    </xf>
    <xf numFmtId="0" fontId="32" fillId="43" borderId="0" xfId="0" applyFont="1" applyFill="1" applyBorder="1" applyAlignment="1">
      <alignment wrapText="1"/>
    </xf>
    <xf numFmtId="176" fontId="32" fillId="43" borderId="0" xfId="0" applyNumberFormat="1" applyFont="1" applyFill="1" applyBorder="1" applyAlignment="1">
      <alignment horizontal="center"/>
    </xf>
    <xf numFmtId="0" fontId="32" fillId="0" borderId="31" xfId="0" applyFont="1" applyBorder="1" applyAlignment="1">
      <alignment horizontal="center"/>
    </xf>
    <xf numFmtId="171" fontId="32" fillId="45" borderId="11" xfId="0" applyNumberFormat="1" applyFont="1" applyFill="1" applyBorder="1" applyAlignment="1" applyProtection="1">
      <alignment horizontal="center"/>
      <protection locked="0"/>
    </xf>
    <xf numFmtId="176" fontId="32" fillId="0" borderId="31" xfId="0" applyNumberFormat="1" applyFont="1" applyBorder="1" applyAlignment="1">
      <alignment horizontal="center"/>
    </xf>
    <xf numFmtId="0" fontId="32" fillId="43" borderId="0" xfId="0" applyFont="1" applyFill="1" applyBorder="1" applyAlignment="1">
      <alignment horizontal="center"/>
    </xf>
    <xf numFmtId="0" fontId="32" fillId="43"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cellXfs>
  <cellStyles count="3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2" xfId="48"/>
    <cellStyle name="Currency" xfId="49"/>
    <cellStyle name="Currency [0]" xfId="50"/>
    <cellStyle name="Explanatory Text" xfId="51"/>
    <cellStyle name="Good" xfId="52"/>
    <cellStyle name="Heading 1" xfId="53"/>
    <cellStyle name="Heading 2" xfId="54"/>
    <cellStyle name="Heading 3" xfId="55"/>
    <cellStyle name="Heading 4" xfId="56"/>
    <cellStyle name="Hyperlink" xfId="57"/>
    <cellStyle name="Hyperlink 7 2" xfId="58"/>
    <cellStyle name="Input" xfId="59"/>
    <cellStyle name="Linked Cell" xfId="60"/>
    <cellStyle name="Neutral" xfId="61"/>
    <cellStyle name="Normal 10" xfId="62"/>
    <cellStyle name="Normal 10 2" xfId="63"/>
    <cellStyle name="Normal 10 2 2" xfId="64"/>
    <cellStyle name="Normal 10 3" xfId="65"/>
    <cellStyle name="Normal 10 4" xfId="66"/>
    <cellStyle name="Normal 10 5" xfId="67"/>
    <cellStyle name="Normal 10 6" xfId="68"/>
    <cellStyle name="Normal 11" xfId="69"/>
    <cellStyle name="Normal 11 2" xfId="70"/>
    <cellStyle name="Normal 11 3" xfId="71"/>
    <cellStyle name="Normal 11 4" xfId="72"/>
    <cellStyle name="Normal 12" xfId="73"/>
    <cellStyle name="Normal 12 10" xfId="74"/>
    <cellStyle name="Normal 12 11" xfId="75"/>
    <cellStyle name="Normal 12 12" xfId="76"/>
    <cellStyle name="Normal 12 2" xfId="77"/>
    <cellStyle name="Normal 12 2 2" xfId="78"/>
    <cellStyle name="Normal 12 3" xfId="79"/>
    <cellStyle name="Normal 12 4" xfId="80"/>
    <cellStyle name="Normal 12 5" xfId="81"/>
    <cellStyle name="Normal 12 6" xfId="82"/>
    <cellStyle name="Normal 12 7" xfId="83"/>
    <cellStyle name="Normal 12 8" xfId="84"/>
    <cellStyle name="Normal 12 9" xfId="85"/>
    <cellStyle name="Normal 13" xfId="86"/>
    <cellStyle name="Normal 13 10" xfId="87"/>
    <cellStyle name="Normal 13 11" xfId="88"/>
    <cellStyle name="Normal 13 12" xfId="89"/>
    <cellStyle name="Normal 13 2" xfId="90"/>
    <cellStyle name="Normal 13 2 2" xfId="91"/>
    <cellStyle name="Normal 13 3" xfId="92"/>
    <cellStyle name="Normal 13 4" xfId="93"/>
    <cellStyle name="Normal 13 5" xfId="94"/>
    <cellStyle name="Normal 13 6" xfId="95"/>
    <cellStyle name="Normal 13 7" xfId="96"/>
    <cellStyle name="Normal 13 8" xfId="97"/>
    <cellStyle name="Normal 13 9" xfId="98"/>
    <cellStyle name="Normal 14" xfId="99"/>
    <cellStyle name="Normal 14 2" xfId="100"/>
    <cellStyle name="Normal 14 3" xfId="101"/>
    <cellStyle name="Normal 14 4" xfId="102"/>
    <cellStyle name="Normal 14 5" xfId="103"/>
    <cellStyle name="Normal 14 6" xfId="104"/>
    <cellStyle name="Normal 15" xfId="105"/>
    <cellStyle name="Normal 15 2" xfId="106"/>
    <cellStyle name="Normal 15 3" xfId="107"/>
    <cellStyle name="Normal 15 4" xfId="108"/>
    <cellStyle name="Normal 16" xfId="109"/>
    <cellStyle name="Normal 16 2" xfId="110"/>
    <cellStyle name="Normal 16 3" xfId="111"/>
    <cellStyle name="Normal 16 4" xfId="112"/>
    <cellStyle name="Normal 17" xfId="113"/>
    <cellStyle name="Normal 17 2" xfId="114"/>
    <cellStyle name="Normal 17 3" xfId="115"/>
    <cellStyle name="Normal 17 4" xfId="116"/>
    <cellStyle name="Normal 18" xfId="117"/>
    <cellStyle name="Normal 18 2" xfId="118"/>
    <cellStyle name="Normal 18 2 2" xfId="119"/>
    <cellStyle name="Normal 18 2 3" xfId="120"/>
    <cellStyle name="Normal 18 3" xfId="121"/>
    <cellStyle name="Normal 18 4" xfId="122"/>
    <cellStyle name="Normal 18 5" xfId="123"/>
    <cellStyle name="Normal 18 6" xfId="124"/>
    <cellStyle name="Normal 18 7" xfId="125"/>
    <cellStyle name="Normal 19" xfId="126"/>
    <cellStyle name="Normal 19 2" xfId="127"/>
    <cellStyle name="Normal 19 2 2" xfId="128"/>
    <cellStyle name="Normal 19 2 3" xfId="129"/>
    <cellStyle name="Normal 19 3" xfId="130"/>
    <cellStyle name="Normal 19 4" xfId="131"/>
    <cellStyle name="Normal 19 5" xfId="132"/>
    <cellStyle name="Normal 19 6" xfId="133"/>
    <cellStyle name="Normal 2" xfId="134"/>
    <cellStyle name="Normal 2 10" xfId="135"/>
    <cellStyle name="Normal 2 10 10" xfId="136"/>
    <cellStyle name="Normal 2 10 2" xfId="137"/>
    <cellStyle name="Normal 2 10 2 2" xfId="138"/>
    <cellStyle name="Normal 2 10 3" xfId="139"/>
    <cellStyle name="Normal 2 10 3 2" xfId="140"/>
    <cellStyle name="Normal 2 10 4" xfId="141"/>
    <cellStyle name="Normal 2 10 4 2" xfId="142"/>
    <cellStyle name="Normal 2 10 5" xfId="143"/>
    <cellStyle name="Normal 2 10 5 2" xfId="144"/>
    <cellStyle name="Normal 2 10 6" xfId="145"/>
    <cellStyle name="Normal 2 10 6 2" xfId="146"/>
    <cellStyle name="Normal 2 10 7" xfId="147"/>
    <cellStyle name="Normal 2 10 7 2" xfId="148"/>
    <cellStyle name="Normal 2 10 8" xfId="149"/>
    <cellStyle name="Normal 2 10 8 2" xfId="150"/>
    <cellStyle name="Normal 2 10 9" xfId="151"/>
    <cellStyle name="Normal 2 11" xfId="152"/>
    <cellStyle name="Normal 2 11 10" xfId="153"/>
    <cellStyle name="Normal 2 11 2" xfId="154"/>
    <cellStyle name="Normal 2 11 2 2" xfId="155"/>
    <cellStyle name="Normal 2 11 3" xfId="156"/>
    <cellStyle name="Normal 2 11 3 2" xfId="157"/>
    <cellStyle name="Normal 2 11 4" xfId="158"/>
    <cellStyle name="Normal 2 11 4 2" xfId="159"/>
    <cellStyle name="Normal 2 11 5" xfId="160"/>
    <cellStyle name="Normal 2 11 5 2" xfId="161"/>
    <cellStyle name="Normal 2 11 6" xfId="162"/>
    <cellStyle name="Normal 2 11 6 2" xfId="163"/>
    <cellStyle name="Normal 2 11 7" xfId="164"/>
    <cellStyle name="Normal 2 11 7 2" xfId="165"/>
    <cellStyle name="Normal 2 11 8" xfId="166"/>
    <cellStyle name="Normal 2 11 8 2" xfId="167"/>
    <cellStyle name="Normal 2 11 9" xfId="168"/>
    <cellStyle name="Normal 2 12" xfId="169"/>
    <cellStyle name="Normal 2 13" xfId="170"/>
    <cellStyle name="Normal 2 14" xfId="171"/>
    <cellStyle name="Normal 2 15" xfId="172"/>
    <cellStyle name="Normal 2 2" xfId="173"/>
    <cellStyle name="Normal 2 2 10" xfId="174"/>
    <cellStyle name="Normal 2 2 10 2" xfId="175"/>
    <cellStyle name="Normal 2 2 11" xfId="176"/>
    <cellStyle name="Normal 2 2 11 2" xfId="177"/>
    <cellStyle name="Normal 2 2 12" xfId="178"/>
    <cellStyle name="Normal 2 2 12 2" xfId="179"/>
    <cellStyle name="Normal 2 2 13" xfId="180"/>
    <cellStyle name="Normal 2 2 13 2" xfId="181"/>
    <cellStyle name="Normal 2 2 14" xfId="182"/>
    <cellStyle name="Normal 2 2 14 2" xfId="183"/>
    <cellStyle name="Normal 2 2 15" xfId="184"/>
    <cellStyle name="Normal 2 2 15 2" xfId="185"/>
    <cellStyle name="Normal 2 2 16" xfId="186"/>
    <cellStyle name="Normal 2 2 17" xfId="187"/>
    <cellStyle name="Normal 2 2 18" xfId="188"/>
    <cellStyle name="Normal 2 2 19" xfId="189"/>
    <cellStyle name="Normal 2 2 2" xfId="190"/>
    <cellStyle name="Normal 2 2 2 2" xfId="191"/>
    <cellStyle name="Normal 2 2 2 2 2" xfId="192"/>
    <cellStyle name="Normal 2 2 2 3" xfId="193"/>
    <cellStyle name="Normal 2 2 2 3 2" xfId="194"/>
    <cellStyle name="Normal 2 2 2 4" xfId="195"/>
    <cellStyle name="Normal 2 2 2 4 2" xfId="196"/>
    <cellStyle name="Normal 2 2 2 5" xfId="197"/>
    <cellStyle name="Normal 2 2 2 5 2" xfId="198"/>
    <cellStyle name="Normal 2 2 2 6" xfId="199"/>
    <cellStyle name="Normal 2 2 2 6 2" xfId="200"/>
    <cellStyle name="Normal 2 2 2 7" xfId="201"/>
    <cellStyle name="Normal 2 2 2 8" xfId="202"/>
    <cellStyle name="Normal 2 2 20" xfId="203"/>
    <cellStyle name="Normal 2 2 21" xfId="204"/>
    <cellStyle name="Normal 2 2 3" xfId="205"/>
    <cellStyle name="Normal 2 2 3 2" xfId="206"/>
    <cellStyle name="Normal 2 2 4" xfId="207"/>
    <cellStyle name="Normal 2 2 4 2" xfId="208"/>
    <cellStyle name="Normal 2 2 5" xfId="209"/>
    <cellStyle name="Normal 2 2 5 2" xfId="210"/>
    <cellStyle name="Normal 2 2 6" xfId="211"/>
    <cellStyle name="Normal 2 2 6 2" xfId="212"/>
    <cellStyle name="Normal 2 2 7" xfId="213"/>
    <cellStyle name="Normal 2 2 7 2" xfId="214"/>
    <cellStyle name="Normal 2 2 8" xfId="215"/>
    <cellStyle name="Normal 2 2 8 2" xfId="216"/>
    <cellStyle name="Normal 2 2 9" xfId="217"/>
    <cellStyle name="Normal 2 2 9 2" xfId="218"/>
    <cellStyle name="Normal 2 3" xfId="219"/>
    <cellStyle name="Normal 2 3 10" xfId="220"/>
    <cellStyle name="Normal 2 3 11" xfId="221"/>
    <cellStyle name="Normal 2 3 12" xfId="222"/>
    <cellStyle name="Normal 2 3 13" xfId="223"/>
    <cellStyle name="Normal 2 3 14" xfId="224"/>
    <cellStyle name="Normal 2 3 2" xfId="225"/>
    <cellStyle name="Normal 2 3 2 2" xfId="226"/>
    <cellStyle name="Normal 2 3 3" xfId="227"/>
    <cellStyle name="Normal 2 3 3 2" xfId="228"/>
    <cellStyle name="Normal 2 3 4" xfId="229"/>
    <cellStyle name="Normal 2 3 5" xfId="230"/>
    <cellStyle name="Normal 2 3 6" xfId="231"/>
    <cellStyle name="Normal 2 3 7" xfId="232"/>
    <cellStyle name="Normal 2 3 8" xfId="233"/>
    <cellStyle name="Normal 2 3 9" xfId="234"/>
    <cellStyle name="Normal 2 4" xfId="235"/>
    <cellStyle name="Normal 2 4 10" xfId="236"/>
    <cellStyle name="Normal 2 4 11" xfId="237"/>
    <cellStyle name="Normal 2 4 2" xfId="238"/>
    <cellStyle name="Normal 2 4 2 2" xfId="239"/>
    <cellStyle name="Normal 2 4 3" xfId="240"/>
    <cellStyle name="Normal 2 4 3 2" xfId="241"/>
    <cellStyle name="Normal 2 4 4" xfId="242"/>
    <cellStyle name="Normal 2 4 5" xfId="243"/>
    <cellStyle name="Normal 2 4 6" xfId="244"/>
    <cellStyle name="Normal 2 4 7" xfId="245"/>
    <cellStyle name="Normal 2 4 8" xfId="246"/>
    <cellStyle name="Normal 2 4 9" xfId="247"/>
    <cellStyle name="Normal 2 5" xfId="248"/>
    <cellStyle name="Normal 2 5 10" xfId="249"/>
    <cellStyle name="Normal 2 5 11" xfId="250"/>
    <cellStyle name="Normal 2 5 2" xfId="251"/>
    <cellStyle name="Normal 2 5 2 2" xfId="252"/>
    <cellStyle name="Normal 2 5 3" xfId="253"/>
    <cellStyle name="Normal 2 5 3 2" xfId="254"/>
    <cellStyle name="Normal 2 5 4" xfId="255"/>
    <cellStyle name="Normal 2 5 5" xfId="256"/>
    <cellStyle name="Normal 2 5 6" xfId="257"/>
    <cellStyle name="Normal 2 5 7" xfId="258"/>
    <cellStyle name="Normal 2 5 8" xfId="259"/>
    <cellStyle name="Normal 2 5 9" xfId="260"/>
    <cellStyle name="Normal 2 6" xfId="261"/>
    <cellStyle name="Normal 2 6 10" xfId="262"/>
    <cellStyle name="Normal 2 6 11" xfId="263"/>
    <cellStyle name="Normal 2 6 2" xfId="264"/>
    <cellStyle name="Normal 2 6 2 2" xfId="265"/>
    <cellStyle name="Normal 2 6 3" xfId="266"/>
    <cellStyle name="Normal 2 6 3 2" xfId="267"/>
    <cellStyle name="Normal 2 6 4" xfId="268"/>
    <cellStyle name="Normal 2 6 5" xfId="269"/>
    <cellStyle name="Normal 2 6 6" xfId="270"/>
    <cellStyle name="Normal 2 6 7" xfId="271"/>
    <cellStyle name="Normal 2 6 8" xfId="272"/>
    <cellStyle name="Normal 2 6 9" xfId="273"/>
    <cellStyle name="Normal 2 7" xfId="274"/>
    <cellStyle name="Normal 2 7 10" xfId="275"/>
    <cellStyle name="Normal 2 7 2" xfId="276"/>
    <cellStyle name="Normal 2 7 2 2" xfId="277"/>
    <cellStyle name="Normal 2 7 3" xfId="278"/>
    <cellStyle name="Normal 2 7 3 2" xfId="279"/>
    <cellStyle name="Normal 2 7 4" xfId="280"/>
    <cellStyle name="Normal 2 7 4 2" xfId="281"/>
    <cellStyle name="Normal 2 7 5" xfId="282"/>
    <cellStyle name="Normal 2 7 5 2" xfId="283"/>
    <cellStyle name="Normal 2 7 6" xfId="284"/>
    <cellStyle name="Normal 2 7 6 2" xfId="285"/>
    <cellStyle name="Normal 2 7 7" xfId="286"/>
    <cellStyle name="Normal 2 7 7 2" xfId="287"/>
    <cellStyle name="Normal 2 7 8" xfId="288"/>
    <cellStyle name="Normal 2 7 8 2" xfId="289"/>
    <cellStyle name="Normal 2 7 9" xfId="290"/>
    <cellStyle name="Normal 2 8" xfId="291"/>
    <cellStyle name="Normal 2 8 10" xfId="292"/>
    <cellStyle name="Normal 2 8 2" xfId="293"/>
    <cellStyle name="Normal 2 8 2 2" xfId="294"/>
    <cellStyle name="Normal 2 8 3" xfId="295"/>
    <cellStyle name="Normal 2 8 3 2" xfId="296"/>
    <cellStyle name="Normal 2 8 4" xfId="297"/>
    <cellStyle name="Normal 2 8 4 2" xfId="298"/>
    <cellStyle name="Normal 2 8 5" xfId="299"/>
    <cellStyle name="Normal 2 8 5 2" xfId="300"/>
    <cellStyle name="Normal 2 8 6" xfId="301"/>
    <cellStyle name="Normal 2 8 6 2" xfId="302"/>
    <cellStyle name="Normal 2 8 7" xfId="303"/>
    <cellStyle name="Normal 2 8 7 2" xfId="304"/>
    <cellStyle name="Normal 2 8 8" xfId="305"/>
    <cellStyle name="Normal 2 8 8 2" xfId="306"/>
    <cellStyle name="Normal 2 8 9" xfId="307"/>
    <cellStyle name="Normal 2 9" xfId="308"/>
    <cellStyle name="Normal 2 9 10" xfId="309"/>
    <cellStyle name="Normal 2 9 2" xfId="310"/>
    <cellStyle name="Normal 2 9 2 2" xfId="311"/>
    <cellStyle name="Normal 2 9 3" xfId="312"/>
    <cellStyle name="Normal 2 9 3 2" xfId="313"/>
    <cellStyle name="Normal 2 9 4" xfId="314"/>
    <cellStyle name="Normal 2 9 4 2" xfId="315"/>
    <cellStyle name="Normal 2 9 5" xfId="316"/>
    <cellStyle name="Normal 2 9 5 2" xfId="317"/>
    <cellStyle name="Normal 2 9 6" xfId="318"/>
    <cellStyle name="Normal 2 9 6 2" xfId="319"/>
    <cellStyle name="Normal 2 9 7" xfId="320"/>
    <cellStyle name="Normal 2 9 7 2" xfId="321"/>
    <cellStyle name="Normal 2 9 8" xfId="322"/>
    <cellStyle name="Normal 2 9 8 2" xfId="323"/>
    <cellStyle name="Normal 2 9 9" xfId="324"/>
    <cellStyle name="Normal 20" xfId="325"/>
    <cellStyle name="Normal 20 2" xfId="326"/>
    <cellStyle name="Normal 20 3" xfId="327"/>
    <cellStyle name="Normal 21" xfId="328"/>
    <cellStyle name="Normal 22" xfId="329"/>
    <cellStyle name="Normal 22 2" xfId="330"/>
    <cellStyle name="Normal 22 3" xfId="331"/>
    <cellStyle name="Normal 23" xfId="332"/>
    <cellStyle name="Normal 23 2" xfId="333"/>
    <cellStyle name="Normal 23 3" xfId="334"/>
    <cellStyle name="Normal 24" xfId="335"/>
    <cellStyle name="Normal 24 2" xfId="336"/>
    <cellStyle name="Normal 24 3" xfId="337"/>
    <cellStyle name="Normal 25" xfId="338"/>
    <cellStyle name="Normal 25 2" xfId="339"/>
    <cellStyle name="Normal 25 3" xfId="340"/>
    <cellStyle name="Normal 26" xfId="341"/>
    <cellStyle name="Normal 3" xfId="342"/>
    <cellStyle name="Normal 3 2" xfId="343"/>
    <cellStyle name="Normal 3 3" xfId="344"/>
    <cellStyle name="Normal 3 4" xfId="345"/>
    <cellStyle name="Normal 3 5" xfId="346"/>
    <cellStyle name="Normal 3 6" xfId="347"/>
    <cellStyle name="Normal 3 7" xfId="348"/>
    <cellStyle name="Normal 4" xfId="349"/>
    <cellStyle name="Normal 4 2" xfId="350"/>
    <cellStyle name="Normal 5" xfId="351"/>
    <cellStyle name="Normal 5 2" xfId="352"/>
    <cellStyle name="Normal 5 3" xfId="353"/>
    <cellStyle name="Normal 6" xfId="354"/>
    <cellStyle name="Normal 6 2" xfId="355"/>
    <cellStyle name="Normal 7 2" xfId="356"/>
    <cellStyle name="Normal 7 3" xfId="357"/>
    <cellStyle name="Normal 7 4" xfId="358"/>
    <cellStyle name="Normal 8" xfId="359"/>
    <cellStyle name="Normal 8 2" xfId="360"/>
    <cellStyle name="Normal 9" xfId="361"/>
    <cellStyle name="Normal 9 2" xfId="362"/>
    <cellStyle name="Normal 9 3" xfId="363"/>
    <cellStyle name="Normal 9 4" xfId="364"/>
    <cellStyle name="Normal_debt" xfId="365"/>
    <cellStyle name="Normal_lpform" xfId="366"/>
    <cellStyle name="Note" xfId="367"/>
    <cellStyle name="Output" xfId="368"/>
    <cellStyle name="Percent" xfId="369"/>
    <cellStyle name="Title" xfId="370"/>
    <cellStyle name="Total" xfId="371"/>
    <cellStyle name="Warning Text" xfId="372"/>
  </cellStyles>
  <dxfs count="87">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My%20Documents\budget\YR2012\MTCTY2-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s"/>
      <sheetName val="TransferStatutes"/>
      <sheetName val="debt"/>
      <sheetName val="lpform"/>
      <sheetName val="general"/>
      <sheetName val="GenDetail"/>
      <sheetName val="DebtSvs-levy page 8"/>
      <sheetName val="Sp Hiway"/>
      <sheetName val="Amb-WaterUtil"/>
      <sheetName val="SewerUtil"/>
      <sheetName val="CapImprov"/>
      <sheetName val="NonBudFunds"/>
      <sheetName val="summ"/>
      <sheetName val="nhood"/>
      <sheetName val="ordinance"/>
      <sheetName val="Tab A"/>
      <sheetName val="Tab B"/>
      <sheetName val="Tab C"/>
      <sheetName val="Tab D"/>
      <sheetName val="Tab E"/>
      <sheetName val="Mill Rate Computation"/>
      <sheetName val="Helpful Links"/>
      <sheetName val="legend"/>
    </sheetNames>
    <sheetDataSet>
      <sheetData sheetId="12">
        <row r="48">
          <cell r="A48" t="str">
            <v>Sales Tax - Streets &amp; Improvements: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5"/>
  <sheetViews>
    <sheetView zoomScale="80" zoomScaleNormal="80" zoomScalePageLayoutView="0" workbookViewId="0" topLeftCell="A1">
      <selection activeCell="A1" sqref="A1"/>
    </sheetView>
  </sheetViews>
  <sheetFormatPr defaultColWidth="8.796875" defaultRowHeight="15"/>
  <cols>
    <col min="1" max="1" width="75.796875" style="32" customWidth="1"/>
    <col min="2" max="16384" width="8.8984375" style="32" customWidth="1"/>
  </cols>
  <sheetData>
    <row r="1" ht="15.75">
      <c r="A1" s="31" t="s">
        <v>248</v>
      </c>
    </row>
    <row r="3" ht="39.75" customHeight="1">
      <c r="A3" s="33" t="s">
        <v>313</v>
      </c>
    </row>
    <row r="4" ht="15.75">
      <c r="A4" s="34"/>
    </row>
    <row r="5" ht="49.5" customHeight="1">
      <c r="A5" s="35" t="s">
        <v>7</v>
      </c>
    </row>
    <row r="6" ht="15.75">
      <c r="A6" s="35"/>
    </row>
    <row r="7" ht="75" customHeight="1">
      <c r="A7" s="35" t="s">
        <v>943</v>
      </c>
    </row>
    <row r="8" ht="15.75">
      <c r="A8" s="35"/>
    </row>
    <row r="9" ht="32.25" customHeight="1">
      <c r="A9" s="35" t="s">
        <v>314</v>
      </c>
    </row>
    <row r="11" ht="51" customHeight="1">
      <c r="A11" s="35" t="s">
        <v>65</v>
      </c>
    </row>
    <row r="13" ht="15.75">
      <c r="A13" s="31" t="s">
        <v>17</v>
      </c>
    </row>
    <row r="14" ht="15.75">
      <c r="A14" s="31"/>
    </row>
    <row r="15" ht="15.75">
      <c r="A15" s="34" t="s">
        <v>18</v>
      </c>
    </row>
    <row r="17" ht="37.5" customHeight="1">
      <c r="A17" s="36" t="s">
        <v>340</v>
      </c>
    </row>
    <row r="18" ht="9" customHeight="1">
      <c r="A18" s="36"/>
    </row>
    <row r="20" ht="15.75">
      <c r="A20" s="31" t="s">
        <v>71</v>
      </c>
    </row>
    <row r="22" ht="36" customHeight="1">
      <c r="A22" s="35" t="s">
        <v>315</v>
      </c>
    </row>
    <row r="23" ht="15.75">
      <c r="A23" s="35"/>
    </row>
    <row r="24" ht="15.75">
      <c r="A24" s="37" t="s">
        <v>316</v>
      </c>
    </row>
    <row r="25" ht="12" customHeight="1">
      <c r="A25" s="35"/>
    </row>
    <row r="26" ht="15.75">
      <c r="A26" s="38" t="s">
        <v>230</v>
      </c>
    </row>
    <row r="27" ht="15.75">
      <c r="A27" s="39"/>
    </row>
    <row r="28" ht="84.75" customHeight="1">
      <c r="A28" s="40" t="s">
        <v>2</v>
      </c>
    </row>
    <row r="29" ht="12.75" customHeight="1">
      <c r="A29" s="41"/>
    </row>
    <row r="30" ht="15.75">
      <c r="A30" s="42" t="s">
        <v>317</v>
      </c>
    </row>
    <row r="31" ht="15.75">
      <c r="A31" s="41"/>
    </row>
    <row r="32" ht="15.75">
      <c r="A32" s="43" t="s">
        <v>16</v>
      </c>
    </row>
    <row r="33" ht="15.75">
      <c r="A33" s="41"/>
    </row>
    <row r="34" ht="15.75">
      <c r="A34" s="35" t="s">
        <v>165</v>
      </c>
    </row>
    <row r="36" ht="15.75">
      <c r="A36" s="31" t="s">
        <v>166</v>
      </c>
    </row>
    <row r="38" ht="66.75" customHeight="1">
      <c r="A38" s="35" t="s">
        <v>742</v>
      </c>
    </row>
    <row r="39" ht="35.25" customHeight="1">
      <c r="A39" s="35" t="s">
        <v>250</v>
      </c>
    </row>
    <row r="40" ht="53.25" customHeight="1">
      <c r="A40" s="44" t="s">
        <v>318</v>
      </c>
    </row>
    <row r="41" ht="102.75" customHeight="1">
      <c r="A41" s="710" t="s">
        <v>944</v>
      </c>
    </row>
    <row r="43" ht="84" customHeight="1">
      <c r="A43" s="35" t="s">
        <v>743</v>
      </c>
    </row>
    <row r="44" ht="53.25" customHeight="1">
      <c r="A44" s="35" t="s">
        <v>319</v>
      </c>
    </row>
    <row r="45" ht="102" customHeight="1">
      <c r="A45" s="35" t="s">
        <v>66</v>
      </c>
    </row>
    <row r="46" ht="15.75" customHeight="1">
      <c r="A46" s="35"/>
    </row>
    <row r="47" ht="73.5" customHeight="1">
      <c r="A47" s="711" t="s">
        <v>945</v>
      </c>
    </row>
    <row r="48" ht="69.75" customHeight="1">
      <c r="A48" s="364" t="s">
        <v>632</v>
      </c>
    </row>
    <row r="49" ht="75.75" customHeight="1">
      <c r="A49" s="712" t="s">
        <v>946</v>
      </c>
    </row>
    <row r="50" ht="15.75" customHeight="1">
      <c r="A50" s="35"/>
    </row>
    <row r="51" ht="69.75" customHeight="1">
      <c r="A51" s="35" t="s">
        <v>633</v>
      </c>
    </row>
    <row r="52" ht="37.5" customHeight="1">
      <c r="A52" s="35" t="s">
        <v>634</v>
      </c>
    </row>
    <row r="53" ht="69" customHeight="1">
      <c r="A53" s="35" t="s">
        <v>635</v>
      </c>
    </row>
    <row r="54" ht="115.5" customHeight="1">
      <c r="A54" s="713" t="s">
        <v>983</v>
      </c>
    </row>
    <row r="56" ht="84.75" customHeight="1">
      <c r="A56" s="35" t="s">
        <v>982</v>
      </c>
    </row>
    <row r="57" ht="116.25" customHeight="1">
      <c r="A57" s="35" t="s">
        <v>636</v>
      </c>
    </row>
    <row r="58" ht="38.25" customHeight="1">
      <c r="A58" s="35" t="s">
        <v>637</v>
      </c>
    </row>
    <row r="59" ht="15.75">
      <c r="A59" s="35"/>
    </row>
    <row r="60" ht="74.25" customHeight="1">
      <c r="A60" s="713" t="s">
        <v>947</v>
      </c>
    </row>
    <row r="61" ht="15.75">
      <c r="A61" s="35"/>
    </row>
    <row r="62" ht="66.75" customHeight="1">
      <c r="A62" s="35" t="s">
        <v>638</v>
      </c>
    </row>
    <row r="63" ht="37.5" customHeight="1">
      <c r="A63" s="35" t="s">
        <v>647</v>
      </c>
    </row>
    <row r="64" ht="91.5" customHeight="1">
      <c r="A64" s="35" t="s">
        <v>648</v>
      </c>
    </row>
    <row r="65" ht="47.25" customHeight="1">
      <c r="A65" s="342" t="s">
        <v>649</v>
      </c>
    </row>
    <row r="67" s="35" customFormat="1" ht="66.75" customHeight="1">
      <c r="A67" s="35" t="s">
        <v>639</v>
      </c>
    </row>
    <row r="69" ht="67.5" customHeight="1">
      <c r="A69" s="35" t="s">
        <v>640</v>
      </c>
    </row>
    <row r="70" ht="18" customHeight="1">
      <c r="A70" s="35"/>
    </row>
    <row r="71" ht="149.25" customHeight="1">
      <c r="A71" s="713" t="s">
        <v>948</v>
      </c>
    </row>
    <row r="73" ht="95.25" customHeight="1">
      <c r="A73" s="35" t="s">
        <v>949</v>
      </c>
    </row>
    <row r="74" ht="84.75" customHeight="1">
      <c r="A74" s="713" t="s">
        <v>981</v>
      </c>
    </row>
    <row r="75" ht="104.25" customHeight="1">
      <c r="A75" s="483" t="s">
        <v>950</v>
      </c>
    </row>
    <row r="76" ht="75" customHeight="1">
      <c r="A76" s="483" t="s">
        <v>951</v>
      </c>
    </row>
    <row r="77" ht="75" customHeight="1">
      <c r="A77" s="483" t="s">
        <v>952</v>
      </c>
    </row>
    <row r="78" ht="137.25" customHeight="1">
      <c r="A78" s="35" t="s">
        <v>953</v>
      </c>
    </row>
    <row r="79" ht="91.5" customHeight="1">
      <c r="A79" s="713" t="s">
        <v>954</v>
      </c>
    </row>
    <row r="80" ht="135" customHeight="1">
      <c r="A80" s="35" t="s">
        <v>955</v>
      </c>
    </row>
    <row r="81" ht="141.75" customHeight="1">
      <c r="A81" s="35" t="s">
        <v>956</v>
      </c>
    </row>
    <row r="82" ht="87" customHeight="1">
      <c r="A82" s="35" t="s">
        <v>957</v>
      </c>
    </row>
    <row r="83" ht="105" customHeight="1">
      <c r="A83" s="35" t="s">
        <v>958</v>
      </c>
    </row>
    <row r="84" ht="86.25" customHeight="1">
      <c r="A84" s="35" t="s">
        <v>959</v>
      </c>
    </row>
    <row r="85" ht="129.75" customHeight="1">
      <c r="A85" s="35" t="s">
        <v>960</v>
      </c>
    </row>
    <row r="86" ht="110.25" customHeight="1">
      <c r="A86" s="714" t="s">
        <v>961</v>
      </c>
    </row>
    <row r="87" ht="117" customHeight="1">
      <c r="A87" s="715" t="s">
        <v>962</v>
      </c>
    </row>
    <row r="88" ht="72" customHeight="1">
      <c r="A88" s="363" t="s">
        <v>963</v>
      </c>
    </row>
    <row r="89" ht="63.75" customHeight="1">
      <c r="A89" s="713" t="s">
        <v>641</v>
      </c>
    </row>
    <row r="90" ht="43.5" customHeight="1">
      <c r="A90" s="716" t="s">
        <v>642</v>
      </c>
    </row>
    <row r="91" ht="53.25" customHeight="1">
      <c r="A91" s="483" t="s">
        <v>968</v>
      </c>
    </row>
    <row r="92" ht="144.75" customHeight="1">
      <c r="A92" s="483" t="s">
        <v>969</v>
      </c>
    </row>
    <row r="93" ht="159" customHeight="1">
      <c r="A93" s="483" t="s">
        <v>970</v>
      </c>
    </row>
    <row r="94" ht="107.25" customHeight="1">
      <c r="A94" s="717" t="s">
        <v>971</v>
      </c>
    </row>
    <row r="95" ht="114.75" customHeight="1">
      <c r="A95" s="718" t="s">
        <v>972</v>
      </c>
    </row>
    <row r="96" ht="20.25" customHeight="1"/>
    <row r="97" ht="157.5" customHeight="1">
      <c r="A97" s="35" t="s">
        <v>964</v>
      </c>
    </row>
    <row r="98" ht="134.25" customHeight="1">
      <c r="A98" s="35" t="s">
        <v>965</v>
      </c>
    </row>
    <row r="99" ht="59.25" customHeight="1">
      <c r="A99" s="35" t="s">
        <v>966</v>
      </c>
    </row>
    <row r="100" ht="30.75" customHeight="1">
      <c r="A100" s="35" t="s">
        <v>967</v>
      </c>
    </row>
    <row r="101" ht="15" customHeight="1"/>
    <row r="102" ht="83.25" customHeight="1">
      <c r="A102" s="713" t="s">
        <v>973</v>
      </c>
    </row>
    <row r="103" ht="15.75" customHeight="1">
      <c r="A103" s="365"/>
    </row>
    <row r="104" ht="73.5" customHeight="1">
      <c r="A104" s="483" t="s">
        <v>974</v>
      </c>
    </row>
    <row r="105" ht="112.5" customHeight="1">
      <c r="A105" s="483" t="s">
        <v>975</v>
      </c>
    </row>
    <row r="106" ht="122.25" customHeight="1">
      <c r="A106" s="483" t="s">
        <v>976</v>
      </c>
    </row>
    <row r="107" ht="91.5" customHeight="1">
      <c r="A107" s="483"/>
    </row>
    <row r="108" ht="58.5" customHeight="1">
      <c r="A108" s="365"/>
    </row>
    <row r="109" ht="66" customHeight="1">
      <c r="A109" s="365"/>
    </row>
    <row r="110" ht="16.5" customHeight="1">
      <c r="A110" s="35"/>
    </row>
    <row r="111" ht="72.75" customHeight="1">
      <c r="A111" s="35"/>
    </row>
    <row r="113" ht="69" customHeight="1">
      <c r="A113" s="483"/>
    </row>
    <row r="114" ht="110.25" customHeight="1">
      <c r="A114" s="483"/>
    </row>
    <row r="115" ht="132" customHeight="1">
      <c r="A115" s="483"/>
    </row>
  </sheetData>
  <sheetProtection sheet="1"/>
  <printOptions/>
  <pageMargins left="0.5" right="0.5" top="0.5" bottom="0.5" header="0.5" footer="0"/>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A1">
      <selection activeCell="B4" sqref="B4"/>
    </sheetView>
  </sheetViews>
  <sheetFormatPr defaultColWidth="8.796875" defaultRowHeight="15"/>
  <cols>
    <col min="1" max="1" width="4.796875" style="45" customWidth="1"/>
    <col min="2" max="2" width="20.796875" style="45" customWidth="1"/>
    <col min="3" max="3" width="9.296875" style="45" customWidth="1"/>
    <col min="4" max="4" width="8.69921875" style="45" customWidth="1"/>
    <col min="5" max="5" width="8.796875" style="45" customWidth="1"/>
    <col min="6" max="6" width="12.796875" style="45" customWidth="1"/>
    <col min="7" max="7" width="14.296875" style="45" customWidth="1"/>
    <col min="8" max="13" width="9.796875" style="45" customWidth="1"/>
    <col min="14" max="16384" width="8.8984375" style="45" customWidth="1"/>
  </cols>
  <sheetData>
    <row r="1" spans="2:13" ht="15.75">
      <c r="B1" s="197" t="str">
        <f>inputPrYr!$D$2</f>
        <v>City of Frankfort</v>
      </c>
      <c r="C1" s="47"/>
      <c r="D1" s="47"/>
      <c r="E1" s="47"/>
      <c r="F1" s="47"/>
      <c r="G1" s="47"/>
      <c r="H1" s="47"/>
      <c r="I1" s="47"/>
      <c r="J1" s="47"/>
      <c r="K1" s="47"/>
      <c r="L1" s="47"/>
      <c r="M1" s="219">
        <f>inputPrYr!$C$5</f>
        <v>2013</v>
      </c>
    </row>
    <row r="2" spans="2:13" ht="15.75">
      <c r="B2" s="197"/>
      <c r="C2" s="47"/>
      <c r="D2" s="47"/>
      <c r="E2" s="47"/>
      <c r="F2" s="47"/>
      <c r="G2" s="47"/>
      <c r="H2" s="47"/>
      <c r="I2" s="47"/>
      <c r="J2" s="47"/>
      <c r="K2" s="47"/>
      <c r="L2" s="47"/>
      <c r="M2" s="169"/>
    </row>
    <row r="3" spans="2:13" ht="15.75">
      <c r="B3" s="220" t="s">
        <v>174</v>
      </c>
      <c r="C3" s="56"/>
      <c r="D3" s="56"/>
      <c r="E3" s="56"/>
      <c r="F3" s="56"/>
      <c r="G3" s="56"/>
      <c r="H3" s="56"/>
      <c r="I3" s="56"/>
      <c r="J3" s="56"/>
      <c r="K3" s="56"/>
      <c r="L3" s="56"/>
      <c r="M3" s="56"/>
    </row>
    <row r="4" spans="2:13" ht="10.5" customHeight="1">
      <c r="B4" s="47"/>
      <c r="C4" s="221"/>
      <c r="D4" s="221"/>
      <c r="E4" s="221"/>
      <c r="F4" s="221"/>
      <c r="G4" s="221"/>
      <c r="H4" s="221"/>
      <c r="I4" s="221"/>
      <c r="J4" s="221"/>
      <c r="K4" s="221"/>
      <c r="L4" s="221"/>
      <c r="M4" s="221"/>
    </row>
    <row r="5" spans="2:13" ht="18" customHeight="1">
      <c r="B5" s="152"/>
      <c r="C5" s="199" t="s">
        <v>142</v>
      </c>
      <c r="D5" s="199" t="s">
        <v>142</v>
      </c>
      <c r="E5" s="199" t="s">
        <v>156</v>
      </c>
      <c r="F5" s="199"/>
      <c r="G5" s="199" t="s">
        <v>276</v>
      </c>
      <c r="H5" s="47"/>
      <c r="I5" s="47"/>
      <c r="J5" s="222" t="s">
        <v>143</v>
      </c>
      <c r="K5" s="223"/>
      <c r="L5" s="222" t="s">
        <v>143</v>
      </c>
      <c r="M5" s="223"/>
    </row>
    <row r="6" spans="2:13" ht="15.75">
      <c r="B6" s="224" t="s">
        <v>858</v>
      </c>
      <c r="C6" s="224" t="s">
        <v>144</v>
      </c>
      <c r="D6" s="224" t="s">
        <v>277</v>
      </c>
      <c r="E6" s="224" t="s">
        <v>145</v>
      </c>
      <c r="F6" s="224" t="s">
        <v>98</v>
      </c>
      <c r="G6" s="224" t="s">
        <v>278</v>
      </c>
      <c r="H6" s="767" t="s">
        <v>146</v>
      </c>
      <c r="I6" s="768"/>
      <c r="J6" s="769">
        <f>M1-1</f>
        <v>2012</v>
      </c>
      <c r="K6" s="770"/>
      <c r="L6" s="769">
        <f>M1</f>
        <v>2013</v>
      </c>
      <c r="M6" s="770"/>
    </row>
    <row r="7" spans="2:13" ht="15.75">
      <c r="B7" s="200" t="s">
        <v>857</v>
      </c>
      <c r="C7" s="200" t="s">
        <v>147</v>
      </c>
      <c r="D7" s="200" t="s">
        <v>279</v>
      </c>
      <c r="E7" s="200" t="s">
        <v>123</v>
      </c>
      <c r="F7" s="200" t="s">
        <v>148</v>
      </c>
      <c r="G7" s="225" t="str">
        <f>CONCATENATE("Jan 1,",M1-1,"")</f>
        <v>Jan 1,2012</v>
      </c>
      <c r="H7" s="156" t="s">
        <v>156</v>
      </c>
      <c r="I7" s="156" t="s">
        <v>158</v>
      </c>
      <c r="J7" s="156" t="s">
        <v>156</v>
      </c>
      <c r="K7" s="156" t="s">
        <v>158</v>
      </c>
      <c r="L7" s="156" t="s">
        <v>156</v>
      </c>
      <c r="M7" s="156" t="s">
        <v>158</v>
      </c>
    </row>
    <row r="8" spans="2:13" ht="15.75">
      <c r="B8" s="226" t="s">
        <v>149</v>
      </c>
      <c r="C8" s="65"/>
      <c r="D8" s="65"/>
      <c r="E8" s="227"/>
      <c r="F8" s="228"/>
      <c r="G8" s="228"/>
      <c r="H8" s="65"/>
      <c r="I8" s="65"/>
      <c r="J8" s="228"/>
      <c r="K8" s="228"/>
      <c r="L8" s="228"/>
      <c r="M8" s="228"/>
    </row>
    <row r="9" spans="2:13" ht="15.75">
      <c r="B9" s="69"/>
      <c r="C9" s="369"/>
      <c r="D9" s="369"/>
      <c r="E9" s="229"/>
      <c r="F9" s="230"/>
      <c r="G9" s="231"/>
      <c r="H9" s="232"/>
      <c r="I9" s="232"/>
      <c r="J9" s="231"/>
      <c r="K9" s="231"/>
      <c r="L9" s="231"/>
      <c r="M9" s="231"/>
    </row>
    <row r="10" spans="2:13" ht="15.75">
      <c r="B10" s="69" t="s">
        <v>1006</v>
      </c>
      <c r="C10" s="369"/>
      <c r="D10" s="369"/>
      <c r="E10" s="229"/>
      <c r="F10" s="230"/>
      <c r="G10" s="231"/>
      <c r="H10" s="232"/>
      <c r="I10" s="232"/>
      <c r="J10" s="231"/>
      <c r="K10" s="231"/>
      <c r="L10" s="231"/>
      <c r="M10" s="231"/>
    </row>
    <row r="11" spans="2:13" ht="15.75">
      <c r="B11" s="69"/>
      <c r="C11" s="369"/>
      <c r="D11" s="369"/>
      <c r="E11" s="229"/>
      <c r="F11" s="230"/>
      <c r="G11" s="231"/>
      <c r="H11" s="232"/>
      <c r="I11" s="232"/>
      <c r="J11" s="231"/>
      <c r="K11" s="231"/>
      <c r="L11" s="231"/>
      <c r="M11" s="231"/>
    </row>
    <row r="12" spans="2:13" ht="15.75">
      <c r="B12" s="69"/>
      <c r="C12" s="369"/>
      <c r="D12" s="369"/>
      <c r="E12" s="229"/>
      <c r="F12" s="230"/>
      <c r="G12" s="231"/>
      <c r="H12" s="232"/>
      <c r="I12" s="232"/>
      <c r="J12" s="231"/>
      <c r="K12" s="231"/>
      <c r="L12" s="231"/>
      <c r="M12" s="231"/>
    </row>
    <row r="13" spans="2:13" ht="15.75">
      <c r="B13" s="69"/>
      <c r="C13" s="369"/>
      <c r="D13" s="369"/>
      <c r="E13" s="229"/>
      <c r="F13" s="230"/>
      <c r="G13" s="231"/>
      <c r="H13" s="232"/>
      <c r="I13" s="232"/>
      <c r="J13" s="231"/>
      <c r="K13" s="231"/>
      <c r="L13" s="231"/>
      <c r="M13" s="231"/>
    </row>
    <row r="14" spans="2:13" ht="15.75">
      <c r="B14" s="69"/>
      <c r="C14" s="369"/>
      <c r="D14" s="369"/>
      <c r="E14" s="229"/>
      <c r="F14" s="230"/>
      <c r="G14" s="231"/>
      <c r="H14" s="232"/>
      <c r="I14" s="232"/>
      <c r="J14" s="231"/>
      <c r="K14" s="231"/>
      <c r="L14" s="231"/>
      <c r="M14" s="231"/>
    </row>
    <row r="15" spans="2:13" ht="15.75">
      <c r="B15" s="69"/>
      <c r="C15" s="369"/>
      <c r="D15" s="369"/>
      <c r="E15" s="229"/>
      <c r="F15" s="230"/>
      <c r="G15" s="231"/>
      <c r="H15" s="232"/>
      <c r="I15" s="232"/>
      <c r="J15" s="231"/>
      <c r="K15" s="231"/>
      <c r="L15" s="231"/>
      <c r="M15" s="231"/>
    </row>
    <row r="16" spans="2:13" ht="15.75">
      <c r="B16" s="69"/>
      <c r="C16" s="369"/>
      <c r="D16" s="369"/>
      <c r="E16" s="229"/>
      <c r="F16" s="230"/>
      <c r="G16" s="231"/>
      <c r="H16" s="232"/>
      <c r="I16" s="232"/>
      <c r="J16" s="231"/>
      <c r="K16" s="231"/>
      <c r="L16" s="231"/>
      <c r="M16" s="231"/>
    </row>
    <row r="17" spans="2:13" ht="15.75">
      <c r="B17" s="69"/>
      <c r="C17" s="369"/>
      <c r="D17" s="369"/>
      <c r="E17" s="229"/>
      <c r="F17" s="230"/>
      <c r="G17" s="231"/>
      <c r="H17" s="232"/>
      <c r="I17" s="232"/>
      <c r="J17" s="231"/>
      <c r="K17" s="231"/>
      <c r="L17" s="231"/>
      <c r="M17" s="231"/>
    </row>
    <row r="18" spans="2:13" ht="15.75">
      <c r="B18" s="69"/>
      <c r="C18" s="369"/>
      <c r="D18" s="369"/>
      <c r="E18" s="229"/>
      <c r="F18" s="230"/>
      <c r="G18" s="231"/>
      <c r="H18" s="232"/>
      <c r="I18" s="232"/>
      <c r="J18" s="231"/>
      <c r="K18" s="231"/>
      <c r="L18" s="231"/>
      <c r="M18" s="231"/>
    </row>
    <row r="19" spans="2:13" ht="15.75">
      <c r="B19" s="69"/>
      <c r="C19" s="369"/>
      <c r="D19" s="369"/>
      <c r="E19" s="229"/>
      <c r="F19" s="230"/>
      <c r="G19" s="231"/>
      <c r="H19" s="232"/>
      <c r="I19" s="232"/>
      <c r="J19" s="231"/>
      <c r="K19" s="231"/>
      <c r="L19" s="231"/>
      <c r="M19" s="231"/>
    </row>
    <row r="20" spans="2:13" ht="15.75">
      <c r="B20" s="233" t="s">
        <v>150</v>
      </c>
      <c r="C20" s="234"/>
      <c r="D20" s="234"/>
      <c r="E20" s="235"/>
      <c r="F20" s="236"/>
      <c r="G20" s="237">
        <f>SUM(G9:G19)</f>
        <v>0</v>
      </c>
      <c r="H20" s="238"/>
      <c r="I20" s="238"/>
      <c r="J20" s="237">
        <f>SUM(J9:J19)</f>
        <v>0</v>
      </c>
      <c r="K20" s="237">
        <f>SUM(K9:K19)</f>
        <v>0</v>
      </c>
      <c r="L20" s="237">
        <f>SUM(L9:L19)</f>
        <v>0</v>
      </c>
      <c r="M20" s="237">
        <f>SUM(M9:M19)</f>
        <v>0</v>
      </c>
    </row>
    <row r="21" spans="2:13" ht="15.75">
      <c r="B21" s="226" t="s">
        <v>151</v>
      </c>
      <c r="C21" s="239"/>
      <c r="D21" s="239"/>
      <c r="E21" s="240"/>
      <c r="F21" s="241"/>
      <c r="G21" s="241"/>
      <c r="H21" s="242"/>
      <c r="I21" s="242"/>
      <c r="J21" s="241"/>
      <c r="K21" s="241"/>
      <c r="L21" s="241"/>
      <c r="M21" s="241"/>
    </row>
    <row r="22" spans="2:13" ht="15.75">
      <c r="B22" s="69"/>
      <c r="C22" s="369"/>
      <c r="D22" s="369"/>
      <c r="E22" s="229"/>
      <c r="F22" s="230"/>
      <c r="G22" s="231"/>
      <c r="H22" s="232"/>
      <c r="I22" s="232"/>
      <c r="J22" s="231"/>
      <c r="K22" s="231"/>
      <c r="L22" s="231"/>
      <c r="M22" s="231"/>
    </row>
    <row r="23" spans="2:13" ht="15.75">
      <c r="B23" s="69" t="s">
        <v>1006</v>
      </c>
      <c r="C23" s="369"/>
      <c r="D23" s="369"/>
      <c r="E23" s="229"/>
      <c r="F23" s="230"/>
      <c r="G23" s="231"/>
      <c r="H23" s="232"/>
      <c r="I23" s="232"/>
      <c r="J23" s="231"/>
      <c r="K23" s="231"/>
      <c r="L23" s="231"/>
      <c r="M23" s="231"/>
    </row>
    <row r="24" spans="2:13" ht="15.75">
      <c r="B24" s="69"/>
      <c r="C24" s="369"/>
      <c r="D24" s="369"/>
      <c r="E24" s="229"/>
      <c r="F24" s="230"/>
      <c r="G24" s="231"/>
      <c r="H24" s="232"/>
      <c r="I24" s="232"/>
      <c r="J24" s="231"/>
      <c r="K24" s="231"/>
      <c r="L24" s="231"/>
      <c r="M24" s="231"/>
    </row>
    <row r="25" spans="2:13" ht="15.75">
      <c r="B25" s="69"/>
      <c r="C25" s="369"/>
      <c r="D25" s="369"/>
      <c r="E25" s="229"/>
      <c r="F25" s="230"/>
      <c r="G25" s="231"/>
      <c r="H25" s="232"/>
      <c r="I25" s="232"/>
      <c r="J25" s="231"/>
      <c r="K25" s="231"/>
      <c r="L25" s="231"/>
      <c r="M25" s="231"/>
    </row>
    <row r="26" spans="2:13" ht="15.75">
      <c r="B26" s="69"/>
      <c r="C26" s="369"/>
      <c r="D26" s="369"/>
      <c r="E26" s="229"/>
      <c r="F26" s="230"/>
      <c r="G26" s="231"/>
      <c r="H26" s="232"/>
      <c r="I26" s="232"/>
      <c r="J26" s="231"/>
      <c r="K26" s="231"/>
      <c r="L26" s="231"/>
      <c r="M26" s="231"/>
    </row>
    <row r="27" spans="2:13" ht="15.75">
      <c r="B27" s="69"/>
      <c r="C27" s="369"/>
      <c r="D27" s="369"/>
      <c r="E27" s="229"/>
      <c r="F27" s="230"/>
      <c r="G27" s="231"/>
      <c r="H27" s="232"/>
      <c r="I27" s="232"/>
      <c r="J27" s="231"/>
      <c r="K27" s="231"/>
      <c r="L27" s="231"/>
      <c r="M27" s="231"/>
    </row>
    <row r="28" spans="2:13" ht="15.75">
      <c r="B28" s="69"/>
      <c r="C28" s="369"/>
      <c r="D28" s="369"/>
      <c r="E28" s="229"/>
      <c r="F28" s="230"/>
      <c r="G28" s="231"/>
      <c r="H28" s="232"/>
      <c r="I28" s="232"/>
      <c r="J28" s="231"/>
      <c r="K28" s="231"/>
      <c r="L28" s="231"/>
      <c r="M28" s="231"/>
    </row>
    <row r="29" spans="2:13" ht="15.75">
      <c r="B29" s="69"/>
      <c r="C29" s="369"/>
      <c r="D29" s="369"/>
      <c r="E29" s="229"/>
      <c r="F29" s="230"/>
      <c r="G29" s="231"/>
      <c r="H29" s="232"/>
      <c r="I29" s="232"/>
      <c r="J29" s="231"/>
      <c r="K29" s="231"/>
      <c r="L29" s="231"/>
      <c r="M29" s="231"/>
    </row>
    <row r="30" spans="2:13" ht="15.75">
      <c r="B30" s="69"/>
      <c r="C30" s="369"/>
      <c r="D30" s="369"/>
      <c r="E30" s="229"/>
      <c r="F30" s="230"/>
      <c r="G30" s="231"/>
      <c r="H30" s="232"/>
      <c r="I30" s="232"/>
      <c r="J30" s="231"/>
      <c r="K30" s="231"/>
      <c r="L30" s="231"/>
      <c r="M30" s="231"/>
    </row>
    <row r="31" spans="2:13" ht="15.75">
      <c r="B31" s="69"/>
      <c r="C31" s="369"/>
      <c r="D31" s="369"/>
      <c r="E31" s="229"/>
      <c r="F31" s="230"/>
      <c r="G31" s="231"/>
      <c r="H31" s="232"/>
      <c r="I31" s="232"/>
      <c r="J31" s="231"/>
      <c r="K31" s="231"/>
      <c r="L31" s="231"/>
      <c r="M31" s="231"/>
    </row>
    <row r="32" spans="2:13" ht="15.75">
      <c r="B32" s="233" t="s">
        <v>152</v>
      </c>
      <c r="C32" s="234"/>
      <c r="D32" s="234"/>
      <c r="E32" s="243"/>
      <c r="F32" s="236"/>
      <c r="G32" s="244">
        <f>SUM(G22:G31)</f>
        <v>0</v>
      </c>
      <c r="H32" s="238"/>
      <c r="I32" s="238"/>
      <c r="J32" s="244">
        <f>SUM(J22:J31)</f>
        <v>0</v>
      </c>
      <c r="K32" s="244">
        <f>SUM(K22:K31)</f>
        <v>0</v>
      </c>
      <c r="L32" s="237">
        <f>SUM(L22:L31)</f>
        <v>0</v>
      </c>
      <c r="M32" s="244">
        <f>SUM(M22:M31)</f>
        <v>0</v>
      </c>
    </row>
    <row r="33" spans="2:13" ht="15.75">
      <c r="B33" s="226" t="s">
        <v>153</v>
      </c>
      <c r="C33" s="239"/>
      <c r="D33" s="239"/>
      <c r="E33" s="240"/>
      <c r="F33" s="241"/>
      <c r="G33" s="245"/>
      <c r="H33" s="242"/>
      <c r="I33" s="242"/>
      <c r="J33" s="241"/>
      <c r="K33" s="241"/>
      <c r="L33" s="241"/>
      <c r="M33" s="241"/>
    </row>
    <row r="34" spans="2:13" ht="15.75">
      <c r="B34" s="69"/>
      <c r="C34" s="369"/>
      <c r="D34" s="369"/>
      <c r="E34" s="229"/>
      <c r="F34" s="230"/>
      <c r="G34" s="231"/>
      <c r="H34" s="232"/>
      <c r="I34" s="232"/>
      <c r="J34" s="231"/>
      <c r="K34" s="231"/>
      <c r="L34" s="231"/>
      <c r="M34" s="231"/>
    </row>
    <row r="35" spans="2:13" ht="15.75">
      <c r="B35" s="69" t="s">
        <v>1006</v>
      </c>
      <c r="C35" s="369"/>
      <c r="D35" s="369"/>
      <c r="E35" s="229"/>
      <c r="F35" s="230"/>
      <c r="G35" s="231"/>
      <c r="H35" s="232"/>
      <c r="I35" s="232"/>
      <c r="J35" s="231"/>
      <c r="K35" s="231"/>
      <c r="L35" s="231"/>
      <c r="M35" s="231"/>
    </row>
    <row r="36" spans="2:13" ht="15.75">
      <c r="B36" s="69"/>
      <c r="C36" s="369"/>
      <c r="D36" s="369"/>
      <c r="E36" s="229"/>
      <c r="F36" s="230"/>
      <c r="G36" s="231"/>
      <c r="H36" s="232"/>
      <c r="I36" s="232"/>
      <c r="J36" s="231"/>
      <c r="K36" s="231"/>
      <c r="L36" s="231"/>
      <c r="M36" s="231"/>
    </row>
    <row r="37" spans="2:13" ht="15.75">
      <c r="B37" s="69"/>
      <c r="C37" s="369"/>
      <c r="D37" s="369"/>
      <c r="E37" s="229"/>
      <c r="F37" s="230"/>
      <c r="G37" s="231"/>
      <c r="H37" s="232"/>
      <c r="I37" s="232"/>
      <c r="J37" s="231"/>
      <c r="K37" s="231"/>
      <c r="L37" s="231"/>
      <c r="M37" s="231"/>
    </row>
    <row r="38" spans="2:13" ht="15.75">
      <c r="B38" s="69"/>
      <c r="C38" s="369"/>
      <c r="D38" s="369"/>
      <c r="E38" s="229"/>
      <c r="F38" s="230"/>
      <c r="G38" s="231"/>
      <c r="H38" s="232"/>
      <c r="I38" s="232"/>
      <c r="J38" s="231"/>
      <c r="K38" s="231"/>
      <c r="L38" s="231"/>
      <c r="M38" s="231"/>
    </row>
    <row r="39" spans="2:13" ht="15.75">
      <c r="B39" s="69"/>
      <c r="C39" s="369"/>
      <c r="D39" s="369"/>
      <c r="E39" s="229"/>
      <c r="F39" s="230"/>
      <c r="G39" s="231"/>
      <c r="H39" s="232"/>
      <c r="I39" s="232"/>
      <c r="J39" s="231"/>
      <c r="K39" s="231"/>
      <c r="L39" s="231"/>
      <c r="M39" s="231"/>
    </row>
    <row r="40" spans="2:13" ht="15.75">
      <c r="B40" s="69"/>
      <c r="C40" s="369"/>
      <c r="D40" s="369"/>
      <c r="E40" s="229"/>
      <c r="F40" s="230"/>
      <c r="G40" s="231"/>
      <c r="H40" s="232"/>
      <c r="I40" s="232"/>
      <c r="J40" s="231"/>
      <c r="K40" s="231"/>
      <c r="L40" s="231"/>
      <c r="M40" s="231"/>
    </row>
    <row r="41" spans="2:29" ht="15.75">
      <c r="B41" s="69"/>
      <c r="C41" s="369"/>
      <c r="D41" s="369"/>
      <c r="E41" s="229"/>
      <c r="F41" s="230"/>
      <c r="G41" s="231"/>
      <c r="H41" s="232"/>
      <c r="I41" s="232"/>
      <c r="J41" s="231"/>
      <c r="K41" s="231"/>
      <c r="L41" s="231"/>
      <c r="M41" s="231"/>
      <c r="N41" s="32"/>
      <c r="O41" s="32"/>
      <c r="P41" s="32"/>
      <c r="Q41" s="32"/>
      <c r="R41" s="32"/>
      <c r="S41" s="32"/>
      <c r="T41" s="32"/>
      <c r="U41" s="32"/>
      <c r="V41" s="32"/>
      <c r="W41" s="32"/>
      <c r="X41" s="32"/>
      <c r="Y41" s="32"/>
      <c r="Z41" s="32"/>
      <c r="AA41" s="32"/>
      <c r="AB41" s="32"/>
      <c r="AC41" s="32"/>
    </row>
    <row r="42" spans="2:13" ht="15.75">
      <c r="B42" s="233" t="s">
        <v>280</v>
      </c>
      <c r="C42" s="214"/>
      <c r="D42" s="214"/>
      <c r="E42" s="243"/>
      <c r="F42" s="236"/>
      <c r="G42" s="244">
        <f>SUM(G34:G41)</f>
        <v>0</v>
      </c>
      <c r="H42" s="236"/>
      <c r="I42" s="236"/>
      <c r="J42" s="244">
        <f>SUM(J34:J41)</f>
        <v>0</v>
      </c>
      <c r="K42" s="244">
        <f>SUM(K34:K41)</f>
        <v>0</v>
      </c>
      <c r="L42" s="244">
        <f>SUM(L34:L41)</f>
        <v>0</v>
      </c>
      <c r="M42" s="244">
        <f>SUM(M34:M41)</f>
        <v>0</v>
      </c>
    </row>
    <row r="43" spans="2:13" ht="15.75">
      <c r="B43" s="233" t="s">
        <v>154</v>
      </c>
      <c r="C43" s="214"/>
      <c r="D43" s="214"/>
      <c r="E43" s="214"/>
      <c r="F43" s="236"/>
      <c r="G43" s="244">
        <f>SUM(G20+G32+G42)</f>
        <v>0</v>
      </c>
      <c r="H43" s="236"/>
      <c r="I43" s="236"/>
      <c r="J43" s="244">
        <f>SUM(J20+J32+J42)</f>
        <v>0</v>
      </c>
      <c r="K43" s="244">
        <f>SUM(K20+K32+K42)</f>
        <v>0</v>
      </c>
      <c r="L43" s="244">
        <f>SUM(L20+L32+L42)</f>
        <v>0</v>
      </c>
      <c r="M43" s="244">
        <f>SUM(M20+M32+M42)</f>
        <v>0</v>
      </c>
    </row>
    <row r="44" spans="2:13" ht="15.75">
      <c r="B44" s="32"/>
      <c r="C44" s="32"/>
      <c r="D44" s="32"/>
      <c r="E44" s="32"/>
      <c r="F44" s="32"/>
      <c r="G44" s="32"/>
      <c r="H44" s="32"/>
      <c r="I44" s="32"/>
      <c r="J44" s="32"/>
      <c r="K44" s="32"/>
      <c r="L44" s="32"/>
      <c r="M44" s="32"/>
    </row>
    <row r="45" spans="6:13" ht="15.75">
      <c r="F45" s="246"/>
      <c r="G45" s="246"/>
      <c r="J45" s="246"/>
      <c r="K45" s="246"/>
      <c r="L45" s="246"/>
      <c r="M45" s="246"/>
    </row>
    <row r="46" spans="6:14" ht="15.75">
      <c r="F46" s="32"/>
      <c r="H46" s="247"/>
      <c r="N46" s="32"/>
    </row>
    <row r="47" spans="2:13" ht="15.75">
      <c r="B47" s="32"/>
      <c r="C47" s="32"/>
      <c r="D47" s="32"/>
      <c r="E47" s="32"/>
      <c r="F47" s="32"/>
      <c r="G47" s="32"/>
      <c r="H47" s="32"/>
      <c r="I47" s="32"/>
      <c r="J47" s="32"/>
      <c r="K47" s="32"/>
      <c r="L47" s="32"/>
      <c r="M47" s="32"/>
    </row>
    <row r="48" spans="2:13" ht="15.75">
      <c r="B48" s="32"/>
      <c r="C48" s="32"/>
      <c r="D48" s="32"/>
      <c r="E48" s="32"/>
      <c r="F48" s="32"/>
      <c r="G48" s="32"/>
      <c r="H48" s="32"/>
      <c r="I48" s="32"/>
      <c r="J48" s="32"/>
      <c r="K48" s="32"/>
      <c r="L48" s="32"/>
      <c r="M48" s="32"/>
    </row>
  </sheetData>
  <sheetProtection sheet="1"/>
  <mergeCells count="3">
    <mergeCell ref="H6:I6"/>
    <mergeCell ref="J6:K6"/>
    <mergeCell ref="L6:M6"/>
  </mergeCells>
  <printOptions/>
  <pageMargins left="0.25" right="0.25" top="1" bottom="0.5" header="0.5" footer="0.25"/>
  <pageSetup blackAndWhite="1" fitToHeight="1" fitToWidth="1" horizontalDpi="120" verticalDpi="120" orientation="landscape" scale="81" r:id="rId1"/>
  <headerFooter alignWithMargins="0">
    <oddHeader>&amp;RState of Kansas
City</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A3">
      <selection activeCell="G11" sqref="G11"/>
    </sheetView>
  </sheetViews>
  <sheetFormatPr defaultColWidth="8.796875" defaultRowHeight="15"/>
  <cols>
    <col min="1" max="1" width="4.8984375" style="2" customWidth="1"/>
    <col min="2" max="2" width="23.59765625" style="2" customWidth="1"/>
    <col min="3" max="5" width="9.796875" style="2" customWidth="1"/>
    <col min="6" max="6" width="18.296875" style="2" customWidth="1"/>
    <col min="7" max="9" width="15.796875" style="2" customWidth="1"/>
    <col min="10" max="16384" width="8.8984375" style="2" customWidth="1"/>
  </cols>
  <sheetData>
    <row r="1" spans="2:9" ht="15.75">
      <c r="B1" s="10" t="str">
        <f>inputPrYr!$D$2</f>
        <v>City of Frankfort</v>
      </c>
      <c r="C1" s="5"/>
      <c r="D1" s="5"/>
      <c r="E1" s="5"/>
      <c r="F1" s="5"/>
      <c r="G1" s="5"/>
      <c r="H1" s="5"/>
      <c r="I1" s="20">
        <f>inputPrYr!C5</f>
        <v>2013</v>
      </c>
    </row>
    <row r="2" spans="2:9" ht="15.75">
      <c r="B2" s="10"/>
      <c r="C2" s="5"/>
      <c r="D2" s="5"/>
      <c r="E2" s="5"/>
      <c r="F2" s="5"/>
      <c r="G2" s="5"/>
      <c r="H2" s="5"/>
      <c r="I2" s="7"/>
    </row>
    <row r="3" spans="2:9" ht="15.75">
      <c r="B3" s="5"/>
      <c r="C3" s="5"/>
      <c r="D3" s="5"/>
      <c r="E3" s="5"/>
      <c r="F3" s="5"/>
      <c r="G3" s="5"/>
      <c r="H3" s="5"/>
      <c r="I3" s="6"/>
    </row>
    <row r="4" spans="2:9" ht="15.75">
      <c r="B4" s="11" t="s">
        <v>168</v>
      </c>
      <c r="C4" s="8"/>
      <c r="D4" s="8"/>
      <c r="E4" s="8"/>
      <c r="F4" s="8"/>
      <c r="G4" s="8"/>
      <c r="H4" s="8"/>
      <c r="I4" s="8"/>
    </row>
    <row r="5" spans="2:9" ht="15.75">
      <c r="B5" s="4"/>
      <c r="C5" s="16"/>
      <c r="D5" s="16"/>
      <c r="E5" s="16"/>
      <c r="F5" s="16"/>
      <c r="G5" s="16"/>
      <c r="H5" s="16"/>
      <c r="I5" s="16"/>
    </row>
    <row r="6" spans="2:9" ht="15.75">
      <c r="B6" s="9"/>
      <c r="C6" s="9"/>
      <c r="D6" s="9"/>
      <c r="E6" s="9"/>
      <c r="F6" s="12" t="s">
        <v>77</v>
      </c>
      <c r="G6" s="9"/>
      <c r="H6" s="9"/>
      <c r="I6" s="9"/>
    </row>
    <row r="7" spans="2:9" ht="15.75">
      <c r="B7" s="597"/>
      <c r="C7" s="13"/>
      <c r="D7" s="13" t="s">
        <v>155</v>
      </c>
      <c r="E7" s="13" t="s">
        <v>156</v>
      </c>
      <c r="F7" s="13" t="s">
        <v>98</v>
      </c>
      <c r="G7" s="13" t="s">
        <v>158</v>
      </c>
      <c r="H7" s="13" t="s">
        <v>159</v>
      </c>
      <c r="I7" s="13" t="s">
        <v>159</v>
      </c>
    </row>
    <row r="8" spans="2:9" ht="15.75">
      <c r="B8" s="13" t="s">
        <v>860</v>
      </c>
      <c r="C8" s="13" t="s">
        <v>160</v>
      </c>
      <c r="D8" s="13" t="s">
        <v>161</v>
      </c>
      <c r="E8" s="13" t="s">
        <v>145</v>
      </c>
      <c r="F8" s="13" t="s">
        <v>162</v>
      </c>
      <c r="G8" s="13" t="s">
        <v>208</v>
      </c>
      <c r="H8" s="13" t="s">
        <v>163</v>
      </c>
      <c r="I8" s="13" t="s">
        <v>163</v>
      </c>
    </row>
    <row r="9" spans="2:9" ht="15.75">
      <c r="B9" s="14" t="s">
        <v>859</v>
      </c>
      <c r="C9" s="14" t="s">
        <v>142</v>
      </c>
      <c r="D9" s="18" t="s">
        <v>164</v>
      </c>
      <c r="E9" s="14" t="s">
        <v>123</v>
      </c>
      <c r="F9" s="18" t="s">
        <v>233</v>
      </c>
      <c r="G9" s="15" t="str">
        <f>CONCATENATE("Jan 1,",I1-1,"")</f>
        <v>Jan 1,2012</v>
      </c>
      <c r="H9" s="14">
        <f>I1-1</f>
        <v>2012</v>
      </c>
      <c r="I9" s="14">
        <f>I1</f>
        <v>2013</v>
      </c>
    </row>
    <row r="10" spans="2:9" ht="15.75">
      <c r="B10" s="3" t="s">
        <v>1007</v>
      </c>
      <c r="C10" s="28">
        <v>39157</v>
      </c>
      <c r="D10" s="23">
        <v>72</v>
      </c>
      <c r="E10" s="21">
        <v>4.25</v>
      </c>
      <c r="F10" s="22">
        <v>100000</v>
      </c>
      <c r="G10" s="22">
        <v>22986</v>
      </c>
      <c r="H10" s="22">
        <v>18916</v>
      </c>
      <c r="I10" s="22">
        <v>4729</v>
      </c>
    </row>
    <row r="11" spans="2:9" ht="15.75">
      <c r="B11" s="3" t="s">
        <v>1008</v>
      </c>
      <c r="C11" s="28">
        <v>40513</v>
      </c>
      <c r="D11" s="23">
        <v>240</v>
      </c>
      <c r="E11" s="21" t="s">
        <v>1009</v>
      </c>
      <c r="F11" s="22">
        <v>900000</v>
      </c>
      <c r="G11" s="22">
        <v>855000</v>
      </c>
      <c r="H11" s="22">
        <v>77119</v>
      </c>
      <c r="I11" s="22">
        <v>75769</v>
      </c>
    </row>
    <row r="12" spans="2:9" ht="15.75">
      <c r="B12" s="3"/>
      <c r="C12" s="28"/>
      <c r="D12" s="23"/>
      <c r="E12" s="21"/>
      <c r="F12" s="22"/>
      <c r="G12" s="22"/>
      <c r="H12" s="22"/>
      <c r="I12" s="22"/>
    </row>
    <row r="13" spans="2:9" ht="15.75">
      <c r="B13" s="3"/>
      <c r="C13" s="28"/>
      <c r="D13" s="23"/>
      <c r="E13" s="21"/>
      <c r="F13" s="22"/>
      <c r="G13" s="22"/>
      <c r="H13" s="22"/>
      <c r="I13" s="22"/>
    </row>
    <row r="14" spans="2:9" ht="15.75">
      <c r="B14" s="3"/>
      <c r="C14" s="28"/>
      <c r="D14" s="23"/>
      <c r="E14" s="21"/>
      <c r="F14" s="22"/>
      <c r="G14" s="22"/>
      <c r="H14" s="22"/>
      <c r="I14" s="22"/>
    </row>
    <row r="15" spans="2:9" ht="15.75">
      <c r="B15" s="3"/>
      <c r="C15" s="28"/>
      <c r="D15" s="23"/>
      <c r="E15" s="21"/>
      <c r="F15" s="22"/>
      <c r="G15" s="22"/>
      <c r="H15" s="22"/>
      <c r="I15" s="22"/>
    </row>
    <row r="16" spans="2:9" ht="15.75">
      <c r="B16" s="3"/>
      <c r="C16" s="28"/>
      <c r="D16" s="23"/>
      <c r="E16" s="21"/>
      <c r="F16" s="22"/>
      <c r="G16" s="22"/>
      <c r="H16" s="22"/>
      <c r="I16" s="22"/>
    </row>
    <row r="17" spans="2:9" ht="15.75">
      <c r="B17" s="3"/>
      <c r="C17" s="28"/>
      <c r="D17" s="23"/>
      <c r="E17" s="21"/>
      <c r="F17" s="22"/>
      <c r="G17" s="22"/>
      <c r="H17" s="22"/>
      <c r="I17" s="22"/>
    </row>
    <row r="18" spans="2:9" ht="15.75">
      <c r="B18" s="3"/>
      <c r="C18" s="28"/>
      <c r="D18" s="23"/>
      <c r="E18" s="21"/>
      <c r="F18" s="22"/>
      <c r="G18" s="22"/>
      <c r="H18" s="22"/>
      <c r="I18" s="22"/>
    </row>
    <row r="19" spans="2:9" ht="15.75">
      <c r="B19" s="3"/>
      <c r="C19" s="28"/>
      <c r="D19" s="23"/>
      <c r="E19" s="21"/>
      <c r="F19" s="22"/>
      <c r="G19" s="22"/>
      <c r="H19" s="22"/>
      <c r="I19" s="22"/>
    </row>
    <row r="20" spans="2:9" ht="15.75">
      <c r="B20" s="3"/>
      <c r="C20" s="28"/>
      <c r="D20" s="23"/>
      <c r="E20" s="21"/>
      <c r="F20" s="22"/>
      <c r="G20" s="22"/>
      <c r="H20" s="22"/>
      <c r="I20" s="22"/>
    </row>
    <row r="21" spans="2:9" ht="15.75">
      <c r="B21" s="3"/>
      <c r="C21" s="28"/>
      <c r="D21" s="23"/>
      <c r="E21" s="21"/>
      <c r="F21" s="22"/>
      <c r="G21" s="22"/>
      <c r="H21" s="22"/>
      <c r="I21" s="22"/>
    </row>
    <row r="22" spans="2:9" ht="15.75">
      <c r="B22" s="3"/>
      <c r="C22" s="28"/>
      <c r="D22" s="23"/>
      <c r="E22" s="21"/>
      <c r="F22" s="22"/>
      <c r="G22" s="22"/>
      <c r="H22" s="22"/>
      <c r="I22" s="22"/>
    </row>
    <row r="23" spans="2:9" ht="15.75">
      <c r="B23" s="3"/>
      <c r="C23" s="28"/>
      <c r="D23" s="23"/>
      <c r="E23" s="21"/>
      <c r="F23" s="22"/>
      <c r="G23" s="22"/>
      <c r="H23" s="22"/>
      <c r="I23" s="22"/>
    </row>
    <row r="24" spans="2:9" ht="15.75">
      <c r="B24" s="3"/>
      <c r="C24" s="28"/>
      <c r="D24" s="23"/>
      <c r="E24" s="21"/>
      <c r="F24" s="22"/>
      <c r="G24" s="22"/>
      <c r="H24" s="22"/>
      <c r="I24" s="22"/>
    </row>
    <row r="25" spans="2:9" ht="15.75">
      <c r="B25" s="3"/>
      <c r="C25" s="28"/>
      <c r="D25" s="23"/>
      <c r="E25" s="21"/>
      <c r="F25" s="22"/>
      <c r="G25" s="22"/>
      <c r="H25" s="22"/>
      <c r="I25" s="22"/>
    </row>
    <row r="26" spans="2:9" ht="15.75">
      <c r="B26" s="3"/>
      <c r="C26" s="28"/>
      <c r="D26" s="23"/>
      <c r="E26" s="21"/>
      <c r="F26" s="22"/>
      <c r="G26" s="22"/>
      <c r="H26" s="22"/>
      <c r="I26" s="22"/>
    </row>
    <row r="27" spans="2:9" ht="15.75">
      <c r="B27" s="3"/>
      <c r="C27" s="28"/>
      <c r="D27" s="23"/>
      <c r="E27" s="21"/>
      <c r="F27" s="22"/>
      <c r="G27" s="22"/>
      <c r="H27" s="22"/>
      <c r="I27" s="22"/>
    </row>
    <row r="28" spans="2:9" ht="16.5" thickBot="1">
      <c r="B28" s="17"/>
      <c r="C28" s="19"/>
      <c r="D28" s="19"/>
      <c r="E28" s="19"/>
      <c r="F28" s="693" t="s">
        <v>93</v>
      </c>
      <c r="G28" s="27">
        <f>SUM(G10:G27)</f>
        <v>877986</v>
      </c>
      <c r="H28" s="27">
        <f>SUM(H10:H27)</f>
        <v>96035</v>
      </c>
      <c r="I28" s="27">
        <f>SUM(I10:I27)</f>
        <v>80498</v>
      </c>
    </row>
    <row r="29" spans="2:9" ht="16.5" thickTop="1">
      <c r="B29" s="5"/>
      <c r="C29" s="5"/>
      <c r="D29" s="5"/>
      <c r="E29" s="5"/>
      <c r="F29" s="5"/>
      <c r="G29" s="5"/>
      <c r="H29" s="10"/>
      <c r="I29" s="10"/>
    </row>
    <row r="30" spans="2:9" ht="15.75">
      <c r="B30" s="29" t="s">
        <v>22</v>
      </c>
      <c r="C30" s="30"/>
      <c r="D30" s="30"/>
      <c r="E30" s="30"/>
      <c r="F30" s="30"/>
      <c r="G30" s="30"/>
      <c r="H30" s="10"/>
      <c r="I30" s="10"/>
    </row>
  </sheetData>
  <sheetProtection sheet="1"/>
  <printOptions/>
  <pageMargins left="0.25" right="0.25" top="1" bottom="0.5" header="0.5" footer="0.5"/>
  <pageSetup blackAndWhite="1" fitToHeight="1" fitToWidth="1" horizontalDpi="120" verticalDpi="120" orientation="landscape" scale="91" r:id="rId1"/>
  <headerFooter alignWithMargins="0">
    <oddHeader>&amp;RState of Kansas
City</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38">
      <selection activeCell="J59" sqref="J59"/>
    </sheetView>
  </sheetViews>
  <sheetFormatPr defaultColWidth="8.796875" defaultRowHeight="15"/>
  <cols>
    <col min="1" max="1" width="2.59765625" style="669" customWidth="1"/>
    <col min="2" max="4" width="8.8984375" style="669" customWidth="1"/>
    <col min="5" max="5" width="9.69921875" style="669" customWidth="1"/>
    <col min="6" max="6" width="8.8984375" style="669" customWidth="1"/>
    <col min="7" max="7" width="9.69921875" style="669" customWidth="1"/>
    <col min="8" max="16384" width="8.8984375" style="669" customWidth="1"/>
  </cols>
  <sheetData>
    <row r="1" spans="2:9" ht="15.75">
      <c r="B1" s="668"/>
      <c r="C1" s="668"/>
      <c r="D1" s="668"/>
      <c r="E1" s="668"/>
      <c r="F1" s="668"/>
      <c r="G1" s="668"/>
      <c r="H1" s="668"/>
      <c r="I1" s="668"/>
    </row>
    <row r="2" spans="2:9" ht="15.75">
      <c r="B2" s="773" t="s">
        <v>883</v>
      </c>
      <c r="C2" s="773"/>
      <c r="D2" s="773"/>
      <c r="E2" s="773"/>
      <c r="F2" s="773"/>
      <c r="G2" s="773"/>
      <c r="H2" s="773"/>
      <c r="I2" s="773"/>
    </row>
    <row r="3" spans="2:9" ht="15.75">
      <c r="B3" s="773" t="s">
        <v>884</v>
      </c>
      <c r="C3" s="773"/>
      <c r="D3" s="773"/>
      <c r="E3" s="773"/>
      <c r="F3" s="773"/>
      <c r="G3" s="773"/>
      <c r="H3" s="773"/>
      <c r="I3" s="773"/>
    </row>
    <row r="4" spans="2:9" ht="15.75">
      <c r="B4" s="670"/>
      <c r="C4" s="670"/>
      <c r="D4" s="670"/>
      <c r="E4" s="670"/>
      <c r="F4" s="670"/>
      <c r="G4" s="670"/>
      <c r="H4" s="670"/>
      <c r="I4" s="670"/>
    </row>
    <row r="5" spans="2:9" ht="15.75">
      <c r="B5" s="774" t="str">
        <f>CONCATENATE("Budgeted Year: ",inputPrYr!C5,"")</f>
        <v>Budgeted Year: 2013</v>
      </c>
      <c r="C5" s="774"/>
      <c r="D5" s="774"/>
      <c r="E5" s="774"/>
      <c r="F5" s="774"/>
      <c r="G5" s="774"/>
      <c r="H5" s="774"/>
      <c r="I5" s="774"/>
    </row>
    <row r="6" spans="2:9" ht="15.75">
      <c r="B6" s="671"/>
      <c r="C6" s="670"/>
      <c r="D6" s="670"/>
      <c r="E6" s="670"/>
      <c r="F6" s="670"/>
      <c r="G6" s="670"/>
      <c r="H6" s="670"/>
      <c r="I6" s="670"/>
    </row>
    <row r="7" spans="2:9" ht="15.75">
      <c r="B7" s="671" t="str">
        <f>CONCATENATE("Library found in: ",inputPrYr!D2,"")</f>
        <v>Library found in: City of Frankfort</v>
      </c>
      <c r="C7" s="670"/>
      <c r="D7" s="670"/>
      <c r="E7" s="670"/>
      <c r="F7" s="670"/>
      <c r="G7" s="670"/>
      <c r="H7" s="670"/>
      <c r="I7" s="670"/>
    </row>
    <row r="8" spans="2:9" ht="15.75">
      <c r="B8" s="671" t="str">
        <f>inputPrYr!D3</f>
        <v>Marshall County</v>
      </c>
      <c r="C8" s="670"/>
      <c r="D8" s="670"/>
      <c r="E8" s="670"/>
      <c r="F8" s="670"/>
      <c r="G8" s="670"/>
      <c r="H8" s="670"/>
      <c r="I8" s="670"/>
    </row>
    <row r="9" spans="2:9" ht="15.75">
      <c r="B9" s="670"/>
      <c r="C9" s="670"/>
      <c r="D9" s="670"/>
      <c r="E9" s="670"/>
      <c r="F9" s="670"/>
      <c r="G9" s="670"/>
      <c r="H9" s="670"/>
      <c r="I9" s="670"/>
    </row>
    <row r="10" spans="2:9" ht="39" customHeight="1">
      <c r="B10" s="775" t="s">
        <v>885</v>
      </c>
      <c r="C10" s="775"/>
      <c r="D10" s="775"/>
      <c r="E10" s="775"/>
      <c r="F10" s="775"/>
      <c r="G10" s="775"/>
      <c r="H10" s="775"/>
      <c r="I10" s="775"/>
    </row>
    <row r="11" spans="2:9" ht="15.75">
      <c r="B11" s="670"/>
      <c r="C11" s="670"/>
      <c r="D11" s="670"/>
      <c r="E11" s="670"/>
      <c r="F11" s="670"/>
      <c r="G11" s="670"/>
      <c r="H11" s="670"/>
      <c r="I11" s="670"/>
    </row>
    <row r="12" spans="2:9" ht="15.75">
      <c r="B12" s="672" t="s">
        <v>886</v>
      </c>
      <c r="C12" s="670"/>
      <c r="D12" s="670"/>
      <c r="E12" s="670"/>
      <c r="F12" s="670"/>
      <c r="G12" s="670"/>
      <c r="H12" s="670"/>
      <c r="I12" s="670"/>
    </row>
    <row r="13" spans="2:9" ht="15.75">
      <c r="B13" s="670"/>
      <c r="C13" s="670"/>
      <c r="D13" s="670"/>
      <c r="E13" s="673" t="s">
        <v>887</v>
      </c>
      <c r="F13" s="670"/>
      <c r="G13" s="673" t="s">
        <v>888</v>
      </c>
      <c r="H13" s="670"/>
      <c r="I13" s="670"/>
    </row>
    <row r="14" spans="2:9" ht="15.75">
      <c r="B14" s="670"/>
      <c r="C14" s="670"/>
      <c r="D14" s="670"/>
      <c r="E14" s="674">
        <f>inputPrYr!C5-1</f>
        <v>2012</v>
      </c>
      <c r="F14" s="670"/>
      <c r="G14" s="674">
        <f>inputPrYr!C5</f>
        <v>2013</v>
      </c>
      <c r="H14" s="670"/>
      <c r="I14" s="670"/>
    </row>
    <row r="15" spans="2:9" ht="15.75">
      <c r="B15" s="671" t="s">
        <v>991</v>
      </c>
      <c r="C15" s="670"/>
      <c r="D15" s="670"/>
      <c r="E15" s="675">
        <f>'DebtSvs-library'!D47</f>
        <v>36608</v>
      </c>
      <c r="F15" s="670"/>
      <c r="G15" s="675">
        <f>'DebtSvs-library'!E80</f>
        <v>38612</v>
      </c>
      <c r="H15" s="670"/>
      <c r="I15" s="670"/>
    </row>
    <row r="16" spans="2:9" ht="15.75">
      <c r="B16" s="671" t="s">
        <v>107</v>
      </c>
      <c r="C16" s="670"/>
      <c r="D16" s="670"/>
      <c r="E16" s="675">
        <f>'DebtSvs-library'!D48</f>
        <v>0</v>
      </c>
      <c r="F16" s="670"/>
      <c r="G16" s="675">
        <f>'DebtSvs-library'!E48</f>
        <v>0</v>
      </c>
      <c r="H16" s="670"/>
      <c r="I16" s="670"/>
    </row>
    <row r="17" spans="2:9" ht="15.75">
      <c r="B17" s="671" t="s">
        <v>108</v>
      </c>
      <c r="C17" s="670"/>
      <c r="D17" s="670"/>
      <c r="E17" s="675">
        <f>'DebtSvs-library'!D49</f>
        <v>6403</v>
      </c>
      <c r="F17" s="670"/>
      <c r="G17" s="675">
        <f>'DebtSvs-library'!E49</f>
        <v>8108</v>
      </c>
      <c r="H17" s="670"/>
      <c r="I17" s="670"/>
    </row>
    <row r="18" spans="2:9" ht="15.75">
      <c r="B18" s="671" t="s">
        <v>992</v>
      </c>
      <c r="C18" s="670"/>
      <c r="D18" s="670"/>
      <c r="E18" s="675">
        <f>'DebtSvs-library'!D50</f>
        <v>97</v>
      </c>
      <c r="F18" s="670"/>
      <c r="G18" s="675">
        <f>'DebtSvs-library'!E50</f>
        <v>141</v>
      </c>
      <c r="H18" s="670"/>
      <c r="I18" s="670"/>
    </row>
    <row r="19" spans="2:9" ht="15.75">
      <c r="B19" s="671" t="s">
        <v>993</v>
      </c>
      <c r="C19" s="670"/>
      <c r="D19" s="670"/>
      <c r="E19" s="675">
        <f>'DebtSvs-library'!D51</f>
        <v>498</v>
      </c>
      <c r="F19" s="670"/>
      <c r="G19" s="675">
        <f>'DebtSvs-library'!E51</f>
        <v>662</v>
      </c>
      <c r="H19" s="670"/>
      <c r="I19" s="670"/>
    </row>
    <row r="20" spans="2:9" ht="15.75">
      <c r="B20" s="670" t="s">
        <v>262</v>
      </c>
      <c r="C20" s="670"/>
      <c r="D20" s="670"/>
      <c r="E20" s="675">
        <v>0</v>
      </c>
      <c r="F20" s="670"/>
      <c r="G20" s="675">
        <v>0</v>
      </c>
      <c r="H20" s="670"/>
      <c r="I20" s="670"/>
    </row>
    <row r="21" spans="2:9" ht="15.75">
      <c r="B21" s="670"/>
      <c r="C21" s="670"/>
      <c r="D21" s="670"/>
      <c r="E21" s="675">
        <v>0</v>
      </c>
      <c r="F21" s="670"/>
      <c r="G21" s="675">
        <v>0</v>
      </c>
      <c r="H21" s="670"/>
      <c r="I21" s="670"/>
    </row>
    <row r="22" spans="2:9" ht="15.75">
      <c r="B22" s="670" t="s">
        <v>889</v>
      </c>
      <c r="C22" s="670"/>
      <c r="D22" s="670"/>
      <c r="E22" s="676">
        <f>SUM(E15:E21)</f>
        <v>43606</v>
      </c>
      <c r="F22" s="670"/>
      <c r="G22" s="676">
        <f>SUM(G15:G21)</f>
        <v>47523</v>
      </c>
      <c r="H22" s="670"/>
      <c r="I22" s="670"/>
    </row>
    <row r="23" spans="2:9" ht="15.75">
      <c r="B23" s="670" t="s">
        <v>890</v>
      </c>
      <c r="C23" s="670"/>
      <c r="D23" s="670"/>
      <c r="E23" s="694">
        <f>G22-E22</f>
        <v>3917</v>
      </c>
      <c r="F23" s="670"/>
      <c r="G23" s="677"/>
      <c r="H23" s="670"/>
      <c r="I23" s="670"/>
    </row>
    <row r="24" spans="2:9" ht="15.75">
      <c r="B24" s="670" t="s">
        <v>891</v>
      </c>
      <c r="C24" s="670"/>
      <c r="D24" s="678" t="str">
        <f>IF((G22-E22)&gt;0,"Qualify","Not Qualify")</f>
        <v>Qualify</v>
      </c>
      <c r="E24" s="670"/>
      <c r="F24" s="670"/>
      <c r="G24" s="670"/>
      <c r="H24" s="670"/>
      <c r="I24" s="670"/>
    </row>
    <row r="25" spans="2:9" ht="15.75">
      <c r="B25" s="670"/>
      <c r="C25" s="670"/>
      <c r="D25" s="670"/>
      <c r="E25" s="670"/>
      <c r="F25" s="670"/>
      <c r="G25" s="670"/>
      <c r="H25" s="670"/>
      <c r="I25" s="670"/>
    </row>
    <row r="26" spans="2:9" ht="15.75">
      <c r="B26" s="672" t="s">
        <v>892</v>
      </c>
      <c r="C26" s="670"/>
      <c r="D26" s="670"/>
      <c r="E26" s="670"/>
      <c r="F26" s="670"/>
      <c r="G26" s="670"/>
      <c r="H26" s="670"/>
      <c r="I26" s="670"/>
    </row>
    <row r="27" spans="2:9" ht="15.75">
      <c r="B27" s="670" t="s">
        <v>893</v>
      </c>
      <c r="C27" s="670"/>
      <c r="D27" s="670"/>
      <c r="E27" s="675">
        <f>summ!D32</f>
        <v>3168997</v>
      </c>
      <c r="F27" s="670"/>
      <c r="G27" s="675">
        <f>summ!F32</f>
        <v>3234290</v>
      </c>
      <c r="H27" s="670"/>
      <c r="I27" s="670"/>
    </row>
    <row r="28" spans="2:9" ht="15.75">
      <c r="B28" s="670" t="s">
        <v>894</v>
      </c>
      <c r="C28" s="670"/>
      <c r="D28" s="670"/>
      <c r="E28" s="679" t="str">
        <f>IF(G27-E27&gt;0,"No","Yes")</f>
        <v>No</v>
      </c>
      <c r="F28" s="670"/>
      <c r="G28" s="670"/>
      <c r="H28" s="670"/>
      <c r="I28" s="670"/>
    </row>
    <row r="29" spans="2:9" ht="15.75">
      <c r="B29" s="670" t="s">
        <v>895</v>
      </c>
      <c r="C29" s="670"/>
      <c r="D29" s="670"/>
      <c r="E29" s="673">
        <f>summ!E17</f>
        <v>11.552</v>
      </c>
      <c r="F29" s="670"/>
      <c r="G29" s="680">
        <f>summ!H17</f>
        <v>11.938</v>
      </c>
      <c r="H29" s="670"/>
      <c r="I29" s="670"/>
    </row>
    <row r="30" spans="2:9" ht="15.75">
      <c r="B30" s="670" t="s">
        <v>896</v>
      </c>
      <c r="C30" s="670"/>
      <c r="D30" s="670"/>
      <c r="E30" s="681">
        <f>G29-E29</f>
        <v>0.386000000000001</v>
      </c>
      <c r="F30" s="670"/>
      <c r="G30" s="670"/>
      <c r="H30" s="670"/>
      <c r="I30" s="670"/>
    </row>
    <row r="31" spans="2:9" ht="15.75">
      <c r="B31" s="670" t="s">
        <v>891</v>
      </c>
      <c r="C31" s="670"/>
      <c r="D31" s="682" t="str">
        <f>IF(E30&gt;=0,"Qualify","Not Qualify")</f>
        <v>Qualify</v>
      </c>
      <c r="E31" s="670"/>
      <c r="F31" s="670"/>
      <c r="G31" s="670"/>
      <c r="H31" s="670"/>
      <c r="I31" s="670"/>
    </row>
    <row r="32" spans="2:9" ht="15.75">
      <c r="B32" s="670"/>
      <c r="C32" s="670"/>
      <c r="D32" s="670"/>
      <c r="E32" s="670"/>
      <c r="F32" s="670"/>
      <c r="G32" s="670"/>
      <c r="H32" s="670"/>
      <c r="I32" s="670"/>
    </row>
    <row r="33" spans="2:9" ht="15.75">
      <c r="B33" s="670" t="s">
        <v>897</v>
      </c>
      <c r="C33" s="670"/>
      <c r="D33" s="670"/>
      <c r="E33" s="670"/>
      <c r="F33" s="683" t="str">
        <f>IF(D24="Not Qualify",IF(D31="Not Qualify",IF(D31="Not Qualify","Not Qualify","Qualify"),"Qualify"),"Qualify")</f>
        <v>Qualify</v>
      </c>
      <c r="G33" s="670"/>
      <c r="H33" s="670"/>
      <c r="I33" s="670"/>
    </row>
    <row r="34" spans="2:9" ht="15.75">
      <c r="B34" s="670"/>
      <c r="C34" s="670"/>
      <c r="D34" s="670"/>
      <c r="E34" s="670"/>
      <c r="F34" s="670"/>
      <c r="G34" s="670"/>
      <c r="H34" s="670"/>
      <c r="I34" s="670"/>
    </row>
    <row r="35" spans="2:9" ht="15.75">
      <c r="B35" s="670"/>
      <c r="C35" s="670"/>
      <c r="D35" s="670"/>
      <c r="E35" s="670"/>
      <c r="F35" s="670"/>
      <c r="G35" s="670"/>
      <c r="H35" s="670"/>
      <c r="I35" s="670"/>
    </row>
    <row r="36" spans="2:9" ht="37.5" customHeight="1">
      <c r="B36" s="775" t="s">
        <v>898</v>
      </c>
      <c r="C36" s="775"/>
      <c r="D36" s="775"/>
      <c r="E36" s="775"/>
      <c r="F36" s="775"/>
      <c r="G36" s="775"/>
      <c r="H36" s="775"/>
      <c r="I36" s="775"/>
    </row>
    <row r="37" spans="2:9" ht="15.75">
      <c r="B37" s="670"/>
      <c r="C37" s="670"/>
      <c r="D37" s="670"/>
      <c r="E37" s="670"/>
      <c r="F37" s="670"/>
      <c r="G37" s="670"/>
      <c r="H37" s="670"/>
      <c r="I37" s="670"/>
    </row>
    <row r="38" spans="2:9" ht="15.75">
      <c r="B38" s="670"/>
      <c r="C38" s="670"/>
      <c r="D38" s="670"/>
      <c r="E38" s="670"/>
      <c r="F38" s="670"/>
      <c r="G38" s="670"/>
      <c r="H38" s="670"/>
      <c r="I38" s="670"/>
    </row>
    <row r="39" spans="2:9" ht="15.75">
      <c r="B39" s="670"/>
      <c r="C39" s="670"/>
      <c r="D39" s="670"/>
      <c r="E39" s="670"/>
      <c r="F39" s="670"/>
      <c r="G39" s="670"/>
      <c r="H39" s="670"/>
      <c r="I39" s="670"/>
    </row>
    <row r="40" spans="2:9" ht="15.75">
      <c r="B40" s="670"/>
      <c r="C40" s="670"/>
      <c r="D40" s="670"/>
      <c r="E40" s="684" t="s">
        <v>116</v>
      </c>
      <c r="F40" s="685">
        <v>7</v>
      </c>
      <c r="G40" s="670"/>
      <c r="H40" s="670"/>
      <c r="I40" s="670"/>
    </row>
    <row r="41" spans="2:9" ht="15.75">
      <c r="B41" s="670"/>
      <c r="C41" s="670"/>
      <c r="D41" s="670"/>
      <c r="E41" s="670"/>
      <c r="F41" s="670"/>
      <c r="G41" s="670"/>
      <c r="H41" s="670"/>
      <c r="I41" s="670"/>
    </row>
    <row r="42" spans="2:9" ht="15.75">
      <c r="B42" s="670"/>
      <c r="C42" s="670"/>
      <c r="D42" s="670"/>
      <c r="E42" s="670"/>
      <c r="F42" s="670"/>
      <c r="G42" s="670"/>
      <c r="H42" s="670"/>
      <c r="I42" s="670"/>
    </row>
    <row r="43" spans="2:9" ht="15.75">
      <c r="B43" s="771" t="s">
        <v>899</v>
      </c>
      <c r="C43" s="772"/>
      <c r="D43" s="772"/>
      <c r="E43" s="772"/>
      <c r="F43" s="772"/>
      <c r="G43" s="772"/>
      <c r="H43" s="772"/>
      <c r="I43" s="772"/>
    </row>
    <row r="44" spans="2:9" ht="15.75">
      <c r="B44" s="670"/>
      <c r="C44" s="670"/>
      <c r="D44" s="670"/>
      <c r="E44" s="670"/>
      <c r="F44" s="670"/>
      <c r="G44" s="670"/>
      <c r="H44" s="670"/>
      <c r="I44" s="670"/>
    </row>
    <row r="45" spans="2:9" ht="15.75">
      <c r="B45" s="686" t="s">
        <v>900</v>
      </c>
      <c r="C45" s="670"/>
      <c r="D45" s="670"/>
      <c r="E45" s="670"/>
      <c r="F45" s="670"/>
      <c r="G45" s="670"/>
      <c r="H45" s="670"/>
      <c r="I45" s="670"/>
    </row>
    <row r="46" spans="2:9" ht="15.75">
      <c r="B46" s="686" t="str">
        <f>CONCATENATE("sources in your ",G14," library fund is not equal to or greater than the amount from the same")</f>
        <v>sources in your 2013 library fund is not equal to or greater than the amount from the same</v>
      </c>
      <c r="C46" s="670"/>
      <c r="D46" s="670"/>
      <c r="E46" s="670"/>
      <c r="F46" s="670"/>
      <c r="G46" s="670"/>
      <c r="H46" s="670"/>
      <c r="I46" s="670"/>
    </row>
    <row r="47" spans="2:9" ht="15.75">
      <c r="B47" s="686" t="str">
        <f>CONCATENATE("sources in ",E14,".")</f>
        <v>sources in 2012.</v>
      </c>
      <c r="C47" s="668"/>
      <c r="D47" s="668"/>
      <c r="E47" s="668"/>
      <c r="F47" s="668"/>
      <c r="G47" s="668"/>
      <c r="H47" s="668"/>
      <c r="I47" s="668"/>
    </row>
    <row r="48" spans="2:9" ht="15.75">
      <c r="B48" s="668"/>
      <c r="C48" s="668"/>
      <c r="D48" s="668"/>
      <c r="E48" s="668"/>
      <c r="F48" s="668"/>
      <c r="G48" s="668"/>
      <c r="H48" s="668"/>
      <c r="I48" s="668"/>
    </row>
    <row r="49" spans="2:9" ht="15.75">
      <c r="B49" s="686" t="s">
        <v>901</v>
      </c>
      <c r="C49" s="686"/>
      <c r="D49" s="687"/>
      <c r="E49" s="687"/>
      <c r="F49" s="687"/>
      <c r="G49" s="687"/>
      <c r="H49" s="687"/>
      <c r="I49" s="687"/>
    </row>
    <row r="50" spans="2:9" ht="15.75">
      <c r="B50" s="686" t="s">
        <v>902</v>
      </c>
      <c r="C50" s="686"/>
      <c r="D50" s="687"/>
      <c r="E50" s="687"/>
      <c r="F50" s="687"/>
      <c r="G50" s="687"/>
      <c r="H50" s="687"/>
      <c r="I50" s="687"/>
    </row>
    <row r="51" spans="2:9" ht="15.75">
      <c r="B51" s="686" t="s">
        <v>903</v>
      </c>
      <c r="C51" s="686"/>
      <c r="D51" s="687"/>
      <c r="E51" s="687"/>
      <c r="F51" s="687"/>
      <c r="G51" s="687"/>
      <c r="H51" s="687"/>
      <c r="I51" s="687"/>
    </row>
    <row r="52" spans="2:9" ht="15">
      <c r="B52" s="687"/>
      <c r="C52" s="687"/>
      <c r="D52" s="687"/>
      <c r="E52" s="687"/>
      <c r="F52" s="687"/>
      <c r="G52" s="687"/>
      <c r="H52" s="687"/>
      <c r="I52" s="687"/>
    </row>
    <row r="53" spans="2:9" ht="15.75">
      <c r="B53" s="688" t="s">
        <v>904</v>
      </c>
      <c r="C53" s="687"/>
      <c r="D53" s="687"/>
      <c r="E53" s="687"/>
      <c r="F53" s="687"/>
      <c r="G53" s="687"/>
      <c r="H53" s="687"/>
      <c r="I53" s="687"/>
    </row>
    <row r="54" spans="2:9" ht="15">
      <c r="B54" s="687"/>
      <c r="C54" s="687"/>
      <c r="D54" s="687"/>
      <c r="E54" s="687"/>
      <c r="F54" s="687"/>
      <c r="G54" s="687"/>
      <c r="H54" s="687"/>
      <c r="I54" s="687"/>
    </row>
    <row r="55" spans="2:9" ht="15.75">
      <c r="B55" s="686" t="s">
        <v>905</v>
      </c>
      <c r="C55" s="687"/>
      <c r="D55" s="687"/>
      <c r="E55" s="687"/>
      <c r="F55" s="687"/>
      <c r="G55" s="687"/>
      <c r="H55" s="687"/>
      <c r="I55" s="687"/>
    </row>
    <row r="56" spans="2:9" ht="15.75">
      <c r="B56" s="686" t="s">
        <v>906</v>
      </c>
      <c r="C56" s="687"/>
      <c r="D56" s="687"/>
      <c r="E56" s="687"/>
      <c r="F56" s="687"/>
      <c r="G56" s="687"/>
      <c r="H56" s="687"/>
      <c r="I56" s="687"/>
    </row>
    <row r="57" spans="2:9" ht="15">
      <c r="B57" s="687"/>
      <c r="C57" s="687"/>
      <c r="D57" s="687"/>
      <c r="E57" s="687"/>
      <c r="F57" s="687"/>
      <c r="G57" s="687"/>
      <c r="H57" s="687"/>
      <c r="I57" s="687"/>
    </row>
    <row r="58" spans="2:9" ht="15.75">
      <c r="B58" s="688" t="s">
        <v>907</v>
      </c>
      <c r="C58" s="686"/>
      <c r="D58" s="686"/>
      <c r="E58" s="686"/>
      <c r="F58" s="686"/>
      <c r="G58" s="687"/>
      <c r="H58" s="687"/>
      <c r="I58" s="687"/>
    </row>
    <row r="59" spans="2:9" ht="15.75">
      <c r="B59" s="686"/>
      <c r="C59" s="686"/>
      <c r="D59" s="686"/>
      <c r="E59" s="686"/>
      <c r="F59" s="686"/>
      <c r="G59" s="687"/>
      <c r="H59" s="687"/>
      <c r="I59" s="687"/>
    </row>
    <row r="60" spans="2:9" ht="15.75">
      <c r="B60" s="686" t="s">
        <v>908</v>
      </c>
      <c r="C60" s="686"/>
      <c r="D60" s="686"/>
      <c r="E60" s="686"/>
      <c r="F60" s="686"/>
      <c r="G60" s="687"/>
      <c r="H60" s="687"/>
      <c r="I60" s="687"/>
    </row>
    <row r="61" spans="2:9" ht="15.75">
      <c r="B61" s="686" t="s">
        <v>909</v>
      </c>
      <c r="C61" s="686"/>
      <c r="D61" s="686"/>
      <c r="E61" s="686"/>
      <c r="F61" s="686"/>
      <c r="G61" s="687"/>
      <c r="H61" s="687"/>
      <c r="I61" s="687"/>
    </row>
    <row r="62" spans="2:9" ht="15.75">
      <c r="B62" s="686" t="s">
        <v>910</v>
      </c>
      <c r="C62" s="686"/>
      <c r="D62" s="686"/>
      <c r="E62" s="686"/>
      <c r="F62" s="686"/>
      <c r="G62" s="687"/>
      <c r="H62" s="687"/>
      <c r="I62" s="687"/>
    </row>
    <row r="63" spans="2:9" ht="15.75">
      <c r="B63" s="686" t="s">
        <v>911</v>
      </c>
      <c r="C63" s="686"/>
      <c r="D63" s="686"/>
      <c r="E63" s="686"/>
      <c r="F63" s="686"/>
      <c r="G63" s="687"/>
      <c r="H63" s="687"/>
      <c r="I63" s="687"/>
    </row>
    <row r="64" spans="2:9" ht="15">
      <c r="B64" s="689"/>
      <c r="C64" s="689"/>
      <c r="D64" s="689"/>
      <c r="E64" s="689"/>
      <c r="F64" s="689"/>
      <c r="G64" s="687"/>
      <c r="H64" s="687"/>
      <c r="I64" s="687"/>
    </row>
    <row r="65" spans="2:9" ht="15.75">
      <c r="B65" s="686" t="s">
        <v>912</v>
      </c>
      <c r="C65" s="689"/>
      <c r="D65" s="689"/>
      <c r="E65" s="689"/>
      <c r="F65" s="689"/>
      <c r="G65" s="687"/>
      <c r="H65" s="687"/>
      <c r="I65" s="687"/>
    </row>
    <row r="66" spans="2:9" ht="15.75">
      <c r="B66" s="686" t="s">
        <v>913</v>
      </c>
      <c r="C66" s="689"/>
      <c r="D66" s="689"/>
      <c r="E66" s="689"/>
      <c r="F66" s="689"/>
      <c r="G66" s="687"/>
      <c r="H66" s="687"/>
      <c r="I66" s="687"/>
    </row>
    <row r="67" spans="2:9" ht="15">
      <c r="B67" s="689"/>
      <c r="C67" s="689"/>
      <c r="D67" s="689"/>
      <c r="E67" s="689"/>
      <c r="F67" s="689"/>
      <c r="G67" s="687"/>
      <c r="H67" s="687"/>
      <c r="I67" s="687"/>
    </row>
    <row r="68" spans="2:9" ht="15.75">
      <c r="B68" s="686" t="s">
        <v>914</v>
      </c>
      <c r="C68" s="689"/>
      <c r="D68" s="689"/>
      <c r="E68" s="689"/>
      <c r="F68" s="689"/>
      <c r="G68" s="687"/>
      <c r="H68" s="687"/>
      <c r="I68" s="687"/>
    </row>
    <row r="69" spans="2:9" ht="15.75">
      <c r="B69" s="686" t="s">
        <v>915</v>
      </c>
      <c r="C69" s="689"/>
      <c r="D69" s="689"/>
      <c r="E69" s="689"/>
      <c r="F69" s="689"/>
      <c r="G69" s="687"/>
      <c r="H69" s="687"/>
      <c r="I69" s="687"/>
    </row>
    <row r="70" spans="2:9" ht="15">
      <c r="B70" s="689"/>
      <c r="C70" s="689"/>
      <c r="D70" s="689"/>
      <c r="E70" s="689"/>
      <c r="F70" s="689"/>
      <c r="G70" s="687"/>
      <c r="H70" s="687"/>
      <c r="I70" s="687"/>
    </row>
    <row r="71" spans="2:9" ht="15.75">
      <c r="B71" s="688" t="s">
        <v>916</v>
      </c>
      <c r="C71" s="689"/>
      <c r="D71" s="689"/>
      <c r="E71" s="689"/>
      <c r="F71" s="689"/>
      <c r="G71" s="687"/>
      <c r="H71" s="687"/>
      <c r="I71" s="687"/>
    </row>
    <row r="72" spans="2:9" ht="15">
      <c r="B72" s="689"/>
      <c r="C72" s="689"/>
      <c r="D72" s="689"/>
      <c r="E72" s="689"/>
      <c r="F72" s="689"/>
      <c r="G72" s="687"/>
      <c r="H72" s="687"/>
      <c r="I72" s="687"/>
    </row>
    <row r="73" spans="2:9" ht="15.75">
      <c r="B73" s="686" t="s">
        <v>917</v>
      </c>
      <c r="C73" s="689"/>
      <c r="D73" s="689"/>
      <c r="E73" s="689"/>
      <c r="F73" s="689"/>
      <c r="G73" s="687"/>
      <c r="H73" s="687"/>
      <c r="I73" s="687"/>
    </row>
    <row r="74" spans="2:9" ht="15.75">
      <c r="B74" s="686" t="s">
        <v>918</v>
      </c>
      <c r="C74" s="689"/>
      <c r="D74" s="689"/>
      <c r="E74" s="689"/>
      <c r="F74" s="689"/>
      <c r="G74" s="687"/>
      <c r="H74" s="687"/>
      <c r="I74" s="687"/>
    </row>
    <row r="75" spans="2:9" ht="15">
      <c r="B75" s="689"/>
      <c r="C75" s="689"/>
      <c r="D75" s="689"/>
      <c r="E75" s="689"/>
      <c r="F75" s="689"/>
      <c r="G75" s="687"/>
      <c r="H75" s="687"/>
      <c r="I75" s="687"/>
    </row>
    <row r="76" spans="2:9" ht="15.75">
      <c r="B76" s="688" t="s">
        <v>919</v>
      </c>
      <c r="C76" s="689"/>
      <c r="D76" s="689"/>
      <c r="E76" s="689"/>
      <c r="F76" s="689"/>
      <c r="G76" s="687"/>
      <c r="H76" s="687"/>
      <c r="I76" s="687"/>
    </row>
    <row r="77" spans="2:9" ht="15">
      <c r="B77" s="689"/>
      <c r="C77" s="689"/>
      <c r="D77" s="689"/>
      <c r="E77" s="689"/>
      <c r="F77" s="689"/>
      <c r="G77" s="687"/>
      <c r="H77" s="687"/>
      <c r="I77" s="687"/>
    </row>
    <row r="78" spans="2:9" ht="15.75">
      <c r="B78" s="686" t="str">
        <f>CONCATENATE("If the ",G14," municipal budget has not been published and has not been submitted to the County")</f>
        <v>If the 2013 municipal budget has not been published and has not been submitted to the County</v>
      </c>
      <c r="C78" s="689"/>
      <c r="D78" s="689"/>
      <c r="E78" s="689"/>
      <c r="F78" s="689"/>
      <c r="G78" s="687"/>
      <c r="H78" s="687"/>
      <c r="I78" s="687"/>
    </row>
    <row r="79" spans="2:9" ht="15.75">
      <c r="B79" s="686" t="s">
        <v>920</v>
      </c>
      <c r="C79" s="689"/>
      <c r="D79" s="689"/>
      <c r="E79" s="689"/>
      <c r="F79" s="689"/>
      <c r="G79" s="687"/>
      <c r="H79" s="687"/>
      <c r="I79" s="687"/>
    </row>
    <row r="80" spans="2:9" ht="15">
      <c r="B80" s="689"/>
      <c r="C80" s="689"/>
      <c r="D80" s="689"/>
      <c r="E80" s="689"/>
      <c r="F80" s="689"/>
      <c r="G80" s="687"/>
      <c r="H80" s="687"/>
      <c r="I80" s="687"/>
    </row>
    <row r="81" spans="2:9" ht="15.75">
      <c r="B81" s="688" t="s">
        <v>435</v>
      </c>
      <c r="C81" s="689"/>
      <c r="D81" s="689"/>
      <c r="E81" s="689"/>
      <c r="F81" s="689"/>
      <c r="G81" s="687"/>
      <c r="H81" s="687"/>
      <c r="I81" s="687"/>
    </row>
    <row r="82" spans="2:9" ht="15">
      <c r="B82" s="689"/>
      <c r="C82" s="689"/>
      <c r="D82" s="689"/>
      <c r="E82" s="689"/>
      <c r="F82" s="689"/>
      <c r="G82" s="687"/>
      <c r="H82" s="687"/>
      <c r="I82" s="687"/>
    </row>
    <row r="83" spans="2:9" ht="15.75">
      <c r="B83" s="686" t="s">
        <v>921</v>
      </c>
      <c r="C83" s="689"/>
      <c r="D83" s="689"/>
      <c r="E83" s="689"/>
      <c r="F83" s="689"/>
      <c r="G83" s="687"/>
      <c r="H83" s="687"/>
      <c r="I83" s="687"/>
    </row>
    <row r="84" spans="2:9" ht="15.75">
      <c r="B84" s="686" t="str">
        <f>CONCATENATE("Budget Year ",G14," is equal to or greater than that for Current Year Estimate ",E14,".")</f>
        <v>Budget Year 2013 is equal to or greater than that for Current Year Estimate 2012.</v>
      </c>
      <c r="C84" s="689"/>
      <c r="D84" s="689"/>
      <c r="E84" s="689"/>
      <c r="F84" s="689"/>
      <c r="G84" s="687"/>
      <c r="H84" s="687"/>
      <c r="I84" s="687"/>
    </row>
    <row r="85" spans="2:9" ht="15">
      <c r="B85" s="689"/>
      <c r="C85" s="689"/>
      <c r="D85" s="689"/>
      <c r="E85" s="689"/>
      <c r="F85" s="689"/>
      <c r="G85" s="687"/>
      <c r="H85" s="687"/>
      <c r="I85" s="687"/>
    </row>
    <row r="86" spans="2:9" ht="15.75">
      <c r="B86" s="686" t="s">
        <v>922</v>
      </c>
      <c r="C86" s="689"/>
      <c r="D86" s="689"/>
      <c r="E86" s="689"/>
      <c r="F86" s="689"/>
      <c r="G86" s="687"/>
      <c r="H86" s="687"/>
      <c r="I86" s="687"/>
    </row>
    <row r="87" spans="2:9" ht="15.75">
      <c r="B87" s="686" t="s">
        <v>923</v>
      </c>
      <c r="C87" s="689"/>
      <c r="D87" s="689"/>
      <c r="E87" s="689"/>
      <c r="F87" s="689"/>
      <c r="G87" s="687"/>
      <c r="H87" s="687"/>
      <c r="I87" s="687"/>
    </row>
    <row r="88" spans="2:9" ht="15.75">
      <c r="B88" s="686" t="s">
        <v>924</v>
      </c>
      <c r="C88" s="689"/>
      <c r="D88" s="689"/>
      <c r="E88" s="689"/>
      <c r="F88" s="689"/>
      <c r="G88" s="687"/>
      <c r="H88" s="687"/>
      <c r="I88" s="687"/>
    </row>
    <row r="89" spans="2:9" ht="15.75">
      <c r="B89" s="686" t="str">
        <f>CONCATENATE("purpose for the previous (",E14,") year.")</f>
        <v>purpose for the previous (2012) year.</v>
      </c>
      <c r="C89" s="689"/>
      <c r="D89" s="689"/>
      <c r="E89" s="689"/>
      <c r="F89" s="689"/>
      <c r="G89" s="687"/>
      <c r="H89" s="687"/>
      <c r="I89" s="687"/>
    </row>
    <row r="90" spans="2:9" ht="15">
      <c r="B90" s="689"/>
      <c r="C90" s="689"/>
      <c r="D90" s="689"/>
      <c r="E90" s="689"/>
      <c r="F90" s="689"/>
      <c r="G90" s="687"/>
      <c r="H90" s="687"/>
      <c r="I90" s="687"/>
    </row>
    <row r="91" spans="2:9" ht="15.75">
      <c r="B91" s="686" t="str">
        <f>CONCATENATE("Next, look to see if delinquent tax for ",G14," is budgeted. Often this line is budgeted at $0 or left")</f>
        <v>Next, look to see if delinquent tax for 2013 is budgeted. Often this line is budgeted at $0 or left</v>
      </c>
      <c r="C91" s="689"/>
      <c r="D91" s="689"/>
      <c r="E91" s="689"/>
      <c r="F91" s="689"/>
      <c r="G91" s="687"/>
      <c r="H91" s="687"/>
      <c r="I91" s="687"/>
    </row>
    <row r="92" spans="2:9" ht="15.75">
      <c r="B92" s="686" t="s">
        <v>925</v>
      </c>
      <c r="C92" s="689"/>
      <c r="D92" s="689"/>
      <c r="E92" s="689"/>
      <c r="F92" s="689"/>
      <c r="G92" s="687"/>
      <c r="H92" s="687"/>
      <c r="I92" s="687"/>
    </row>
    <row r="93" spans="2:9" ht="15.75">
      <c r="B93" s="686" t="s">
        <v>926</v>
      </c>
      <c r="C93" s="689"/>
      <c r="D93" s="689"/>
      <c r="E93" s="689"/>
      <c r="F93" s="689"/>
      <c r="G93" s="687"/>
      <c r="H93" s="687"/>
      <c r="I93" s="687"/>
    </row>
    <row r="94" spans="2:9" ht="15.75">
      <c r="B94" s="686" t="s">
        <v>927</v>
      </c>
      <c r="C94" s="689"/>
      <c r="D94" s="689"/>
      <c r="E94" s="689"/>
      <c r="F94" s="689"/>
      <c r="G94" s="687"/>
      <c r="H94" s="687"/>
      <c r="I94" s="687"/>
    </row>
    <row r="95" spans="2:9" ht="15">
      <c r="B95" s="689"/>
      <c r="C95" s="689"/>
      <c r="D95" s="689"/>
      <c r="E95" s="689"/>
      <c r="F95" s="689"/>
      <c r="G95" s="687"/>
      <c r="H95" s="687"/>
      <c r="I95" s="687"/>
    </row>
    <row r="96" spans="2:9" ht="15.75">
      <c r="B96" s="688" t="s">
        <v>928</v>
      </c>
      <c r="C96" s="689"/>
      <c r="D96" s="689"/>
      <c r="E96" s="689"/>
      <c r="F96" s="689"/>
      <c r="G96" s="687"/>
      <c r="H96" s="687"/>
      <c r="I96" s="687"/>
    </row>
    <row r="97" spans="2:9" ht="15">
      <c r="B97" s="689"/>
      <c r="C97" s="689"/>
      <c r="D97" s="689"/>
      <c r="E97" s="689"/>
      <c r="F97" s="689"/>
      <c r="G97" s="687"/>
      <c r="H97" s="687"/>
      <c r="I97" s="687"/>
    </row>
    <row r="98" spans="2:9" ht="15.75">
      <c r="B98" s="686" t="s">
        <v>929</v>
      </c>
      <c r="C98" s="689"/>
      <c r="D98" s="689"/>
      <c r="E98" s="689"/>
      <c r="F98" s="689"/>
      <c r="G98" s="687"/>
      <c r="H98" s="687"/>
      <c r="I98" s="687"/>
    </row>
    <row r="99" spans="2:9" ht="15.75">
      <c r="B99" s="686" t="s">
        <v>930</v>
      </c>
      <c r="C99" s="689"/>
      <c r="D99" s="689"/>
      <c r="E99" s="689"/>
      <c r="F99" s="689"/>
      <c r="G99" s="687"/>
      <c r="H99" s="687"/>
      <c r="I99" s="687"/>
    </row>
    <row r="100" spans="2:9" ht="15">
      <c r="B100" s="689"/>
      <c r="C100" s="689"/>
      <c r="D100" s="689"/>
      <c r="E100" s="689"/>
      <c r="F100" s="689"/>
      <c r="G100" s="687"/>
      <c r="H100" s="687"/>
      <c r="I100" s="687"/>
    </row>
    <row r="101" spans="2:9" ht="15.75">
      <c r="B101" s="686" t="s">
        <v>931</v>
      </c>
      <c r="C101" s="689"/>
      <c r="D101" s="689"/>
      <c r="E101" s="689"/>
      <c r="F101" s="689"/>
      <c r="G101" s="687"/>
      <c r="H101" s="687"/>
      <c r="I101" s="687"/>
    </row>
    <row r="102" spans="2:9" ht="15.75">
      <c r="B102" s="686" t="s">
        <v>932</v>
      </c>
      <c r="C102" s="689"/>
      <c r="D102" s="689"/>
      <c r="E102" s="689"/>
      <c r="F102" s="689"/>
      <c r="G102" s="687"/>
      <c r="H102" s="687"/>
      <c r="I102" s="687"/>
    </row>
    <row r="103" spans="2:9" ht="15.75">
      <c r="B103" s="686" t="s">
        <v>933</v>
      </c>
      <c r="C103" s="689"/>
      <c r="D103" s="689"/>
      <c r="E103" s="689"/>
      <c r="F103" s="689"/>
      <c r="G103" s="687"/>
      <c r="H103" s="687"/>
      <c r="I103" s="687"/>
    </row>
    <row r="104" spans="2:9" ht="15.75">
      <c r="B104" s="686" t="s">
        <v>934</v>
      </c>
      <c r="C104" s="689"/>
      <c r="D104" s="689"/>
      <c r="E104" s="689"/>
      <c r="F104" s="689"/>
      <c r="G104" s="687"/>
      <c r="H104" s="687"/>
      <c r="I104" s="687"/>
    </row>
    <row r="105" spans="2:9" ht="15.75">
      <c r="B105" s="719" t="s">
        <v>986</v>
      </c>
      <c r="C105" s="720"/>
      <c r="D105" s="720"/>
      <c r="E105" s="720"/>
      <c r="F105" s="720"/>
      <c r="G105" s="687"/>
      <c r="H105" s="687"/>
      <c r="I105" s="687"/>
    </row>
    <row r="108" ht="15">
      <c r="G108" s="690"/>
    </row>
  </sheetData>
  <sheetProtection/>
  <mergeCells count="6">
    <mergeCell ref="B43:I43"/>
    <mergeCell ref="B2:I2"/>
    <mergeCell ref="B3:I3"/>
    <mergeCell ref="B5:I5"/>
    <mergeCell ref="B10:I10"/>
    <mergeCell ref="B36:I36"/>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133"/>
  <sheetViews>
    <sheetView zoomScaleSheetLayoutView="100" zoomScalePageLayoutView="0" workbookViewId="0" topLeftCell="A1">
      <selection activeCell="E74" sqref="E74"/>
    </sheetView>
  </sheetViews>
  <sheetFormatPr defaultColWidth="8.796875" defaultRowHeight="15"/>
  <cols>
    <col min="1" max="1" width="2.3984375" style="45" customWidth="1"/>
    <col min="2" max="2" width="31.09765625" style="45" customWidth="1"/>
    <col min="3" max="4" width="15.796875" style="45" customWidth="1"/>
    <col min="5" max="5" width="16.296875" style="45" customWidth="1"/>
    <col min="6" max="6" width="6.898437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197" t="str">
        <f>inputPrYr!D2</f>
        <v>City of Frankfort</v>
      </c>
      <c r="C1" s="47"/>
      <c r="D1" s="47"/>
      <c r="E1" s="248">
        <f>inputPrYr!C5</f>
        <v>2013</v>
      </c>
    </row>
    <row r="2" spans="2:5" ht="15.75">
      <c r="B2" s="47"/>
      <c r="C2" s="47"/>
      <c r="D2" s="47"/>
      <c r="E2" s="169"/>
    </row>
    <row r="3" spans="2:5" ht="15.75">
      <c r="B3" s="249"/>
      <c r="C3" s="47"/>
      <c r="D3" s="47"/>
      <c r="E3" s="136"/>
    </row>
    <row r="4" spans="2:5" ht="15.75">
      <c r="B4" s="380" t="s">
        <v>172</v>
      </c>
      <c r="C4" s="250"/>
      <c r="D4" s="250"/>
      <c r="E4" s="250"/>
    </row>
    <row r="5" spans="2:5" ht="15.75">
      <c r="B5" s="171" t="s">
        <v>105</v>
      </c>
      <c r="C5" s="695" t="s">
        <v>940</v>
      </c>
      <c r="D5" s="696" t="s">
        <v>941</v>
      </c>
      <c r="E5" s="144" t="s">
        <v>942</v>
      </c>
    </row>
    <row r="6" spans="2:5" ht="15.75">
      <c r="B6" s="523" t="str">
        <f>inputPrYr!B17</f>
        <v>General</v>
      </c>
      <c r="C6" s="225" t="str">
        <f>CONCATENATE("Actual for ",E1-2,"")</f>
        <v>Actual for 2011</v>
      </c>
      <c r="D6" s="225" t="str">
        <f>CONCATENATE("Estimate for ",E1-1,"")</f>
        <v>Estimate for 2012</v>
      </c>
      <c r="E6" s="208" t="str">
        <f>CONCATENATE("Year for ",E1,"")</f>
        <v>Year for 2013</v>
      </c>
    </row>
    <row r="7" spans="2:5" ht="15.75">
      <c r="B7" s="252" t="s">
        <v>227</v>
      </c>
      <c r="C7" s="253">
        <v>592592</v>
      </c>
      <c r="D7" s="254">
        <f>C112</f>
        <v>574988</v>
      </c>
      <c r="E7" s="228">
        <f>D112</f>
        <v>473606</v>
      </c>
    </row>
    <row r="8" spans="2:5" ht="15.75">
      <c r="B8" s="255" t="s">
        <v>229</v>
      </c>
      <c r="C8" s="159"/>
      <c r="D8" s="159"/>
      <c r="E8" s="87"/>
    </row>
    <row r="9" spans="2:5" ht="15.75">
      <c r="B9" s="252" t="s">
        <v>106</v>
      </c>
      <c r="C9" s="256">
        <v>179483</v>
      </c>
      <c r="D9" s="254">
        <f>IF(inputPrYr!H16&gt;0,inputPrYr!G17,inputPrYr!E17)</f>
        <v>189024</v>
      </c>
      <c r="E9" s="258" t="s">
        <v>94</v>
      </c>
    </row>
    <row r="10" spans="2:5" ht="15.75">
      <c r="B10" s="252" t="s">
        <v>107</v>
      </c>
      <c r="C10" s="256">
        <v>1980</v>
      </c>
      <c r="D10" s="256">
        <v>0</v>
      </c>
      <c r="E10" s="259">
        <v>0</v>
      </c>
    </row>
    <row r="11" spans="2:5" ht="15.75">
      <c r="B11" s="252" t="s">
        <v>108</v>
      </c>
      <c r="C11" s="256">
        <v>32078</v>
      </c>
      <c r="D11" s="256">
        <v>43693</v>
      </c>
      <c r="E11" s="228">
        <f>mvalloc!D7</f>
        <v>41864</v>
      </c>
    </row>
    <row r="12" spans="2:5" ht="15.75">
      <c r="B12" s="252" t="s">
        <v>109</v>
      </c>
      <c r="C12" s="256">
        <v>611</v>
      </c>
      <c r="D12" s="256">
        <v>663</v>
      </c>
      <c r="E12" s="228">
        <f>mvalloc!E7</f>
        <v>730</v>
      </c>
    </row>
    <row r="13" spans="2:5" ht="15.75">
      <c r="B13" s="252" t="s">
        <v>204</v>
      </c>
      <c r="C13" s="256">
        <v>2797</v>
      </c>
      <c r="D13" s="256">
        <v>3399</v>
      </c>
      <c r="E13" s="228">
        <f>mvalloc!F7</f>
        <v>3418</v>
      </c>
    </row>
    <row r="14" spans="2:5" ht="15.75">
      <c r="B14" s="252" t="s">
        <v>205</v>
      </c>
      <c r="C14" s="256">
        <v>0</v>
      </c>
      <c r="D14" s="256">
        <v>0</v>
      </c>
      <c r="E14" s="228">
        <f>inputOth!E16</f>
        <v>0</v>
      </c>
    </row>
    <row r="15" spans="2:5" ht="15.75">
      <c r="B15" s="252" t="s">
        <v>262</v>
      </c>
      <c r="C15" s="256">
        <v>0</v>
      </c>
      <c r="D15" s="256">
        <v>0</v>
      </c>
      <c r="E15" s="228">
        <f>inputOth!E42</f>
        <v>0</v>
      </c>
    </row>
    <row r="16" spans="2:5" ht="15.75">
      <c r="B16" s="252" t="s">
        <v>263</v>
      </c>
      <c r="C16" s="256">
        <v>0</v>
      </c>
      <c r="D16" s="256">
        <v>0</v>
      </c>
      <c r="E16" s="228">
        <f>inputOth!E43</f>
        <v>0</v>
      </c>
    </row>
    <row r="17" spans="2:5" ht="15.75">
      <c r="B17" s="253" t="s">
        <v>1077</v>
      </c>
      <c r="C17" s="256">
        <v>395</v>
      </c>
      <c r="D17" s="256">
        <v>0</v>
      </c>
      <c r="E17" s="259">
        <v>0</v>
      </c>
    </row>
    <row r="18" spans="2:5" ht="15.75">
      <c r="B18" s="253" t="s">
        <v>112</v>
      </c>
      <c r="C18" s="256">
        <v>0</v>
      </c>
      <c r="D18" s="256">
        <v>0</v>
      </c>
      <c r="E18" s="259">
        <v>0</v>
      </c>
    </row>
    <row r="19" spans="2:5" ht="15.75">
      <c r="B19" s="253" t="s">
        <v>110</v>
      </c>
      <c r="C19" s="256">
        <v>1387</v>
      </c>
      <c r="D19" s="256">
        <v>2316</v>
      </c>
      <c r="E19" s="259">
        <v>2292</v>
      </c>
    </row>
    <row r="20" spans="2:5" ht="15.75">
      <c r="B20" s="525" t="s">
        <v>759</v>
      </c>
      <c r="C20" s="256">
        <v>9863</v>
      </c>
      <c r="D20" s="256">
        <v>8000</v>
      </c>
      <c r="E20" s="259">
        <v>8000</v>
      </c>
    </row>
    <row r="21" spans="2:5" ht="15.75">
      <c r="B21" s="524" t="s">
        <v>760</v>
      </c>
      <c r="C21" s="256">
        <v>99321</v>
      </c>
      <c r="D21" s="256">
        <v>90000</v>
      </c>
      <c r="E21" s="259">
        <v>90000</v>
      </c>
    </row>
    <row r="22" spans="2:5" ht="15.75">
      <c r="B22" s="524" t="s">
        <v>761</v>
      </c>
      <c r="C22" s="256">
        <v>49537</v>
      </c>
      <c r="D22" s="256">
        <v>50000</v>
      </c>
      <c r="E22" s="259">
        <v>50000</v>
      </c>
    </row>
    <row r="23" spans="2:5" ht="15.75">
      <c r="B23" s="524" t="s">
        <v>762</v>
      </c>
      <c r="C23" s="256">
        <v>0</v>
      </c>
      <c r="D23" s="256">
        <v>0</v>
      </c>
      <c r="E23" s="259">
        <v>0</v>
      </c>
    </row>
    <row r="24" spans="2:5" ht="15.75">
      <c r="B24" s="253" t="s">
        <v>1031</v>
      </c>
      <c r="C24" s="256">
        <v>1085</v>
      </c>
      <c r="D24" s="256">
        <v>0</v>
      </c>
      <c r="E24" s="259">
        <v>1000</v>
      </c>
    </row>
    <row r="25" spans="2:5" ht="15.75">
      <c r="B25" s="253" t="s">
        <v>1032</v>
      </c>
      <c r="C25" s="256">
        <v>460</v>
      </c>
      <c r="D25" s="256">
        <v>0</v>
      </c>
      <c r="E25" s="259">
        <v>460</v>
      </c>
    </row>
    <row r="26" spans="2:5" ht="15.75">
      <c r="B26" s="253" t="s">
        <v>1033</v>
      </c>
      <c r="C26" s="256">
        <v>400</v>
      </c>
      <c r="D26" s="256">
        <v>200</v>
      </c>
      <c r="E26" s="259">
        <v>200</v>
      </c>
    </row>
    <row r="27" spans="2:5" ht="15.75">
      <c r="B27" s="253" t="s">
        <v>1034</v>
      </c>
      <c r="C27" s="256">
        <v>11590</v>
      </c>
      <c r="D27" s="256">
        <v>13500</v>
      </c>
      <c r="E27" s="259">
        <v>13500</v>
      </c>
    </row>
    <row r="28" spans="2:5" ht="15.75">
      <c r="B28" s="253" t="s">
        <v>1035</v>
      </c>
      <c r="C28" s="256">
        <v>100124</v>
      </c>
      <c r="D28" s="256">
        <v>106150</v>
      </c>
      <c r="E28" s="259">
        <v>106150</v>
      </c>
    </row>
    <row r="29" spans="2:5" ht="15.75">
      <c r="B29" s="253" t="s">
        <v>1036</v>
      </c>
      <c r="C29" s="256">
        <v>614</v>
      </c>
      <c r="D29" s="256">
        <v>600</v>
      </c>
      <c r="E29" s="259">
        <v>600</v>
      </c>
    </row>
    <row r="30" spans="2:5" ht="15.75">
      <c r="B30" s="253" t="s">
        <v>1037</v>
      </c>
      <c r="C30" s="256">
        <v>55</v>
      </c>
      <c r="D30" s="256">
        <v>100</v>
      </c>
      <c r="E30" s="259">
        <v>100</v>
      </c>
    </row>
    <row r="31" spans="2:5" ht="15.75">
      <c r="B31" s="253" t="s">
        <v>1038</v>
      </c>
      <c r="C31" s="256">
        <v>690</v>
      </c>
      <c r="D31" s="256">
        <v>200</v>
      </c>
      <c r="E31" s="259">
        <v>200</v>
      </c>
    </row>
    <row r="32" spans="2:5" ht="15.75">
      <c r="B32" s="253" t="s">
        <v>1039</v>
      </c>
      <c r="C32" s="256">
        <v>28934</v>
      </c>
      <c r="D32" s="256">
        <v>0</v>
      </c>
      <c r="E32" s="259">
        <v>0</v>
      </c>
    </row>
    <row r="33" spans="2:5" ht="15.75">
      <c r="B33" s="253" t="s">
        <v>1040</v>
      </c>
      <c r="C33" s="256">
        <f>47835-2835-26984</f>
        <v>18016</v>
      </c>
      <c r="D33" s="256">
        <v>6000</v>
      </c>
      <c r="E33" s="259">
        <v>6000</v>
      </c>
    </row>
    <row r="34" spans="2:5" ht="15.75">
      <c r="B34" s="253" t="s">
        <v>1041</v>
      </c>
      <c r="C34" s="256">
        <v>-7974</v>
      </c>
      <c r="D34" s="256">
        <v>-7250</v>
      </c>
      <c r="E34" s="259">
        <v>0</v>
      </c>
    </row>
    <row r="35" spans="2:5" ht="15.75">
      <c r="B35" s="253"/>
      <c r="C35" s="256"/>
      <c r="D35" s="256"/>
      <c r="E35" s="259"/>
    </row>
    <row r="36" spans="2:5" ht="15.75">
      <c r="B36" s="253" t="s">
        <v>1042</v>
      </c>
      <c r="C36" s="256">
        <v>521</v>
      </c>
      <c r="D36" s="256">
        <v>0</v>
      </c>
      <c r="E36" s="259">
        <v>0</v>
      </c>
    </row>
    <row r="37" spans="2:5" ht="15.75">
      <c r="B37" s="253" t="s">
        <v>1043</v>
      </c>
      <c r="C37" s="256">
        <v>4062</v>
      </c>
      <c r="D37" s="256">
        <v>4000</v>
      </c>
      <c r="E37" s="259">
        <v>4000</v>
      </c>
    </row>
    <row r="38" spans="2:5" ht="15.75">
      <c r="B38" s="253" t="s">
        <v>1044</v>
      </c>
      <c r="C38" s="256">
        <v>852</v>
      </c>
      <c r="D38" s="256">
        <v>900</v>
      </c>
      <c r="E38" s="259">
        <v>900</v>
      </c>
    </row>
    <row r="39" spans="2:5" ht="15.75">
      <c r="B39" s="253" t="s">
        <v>1045</v>
      </c>
      <c r="C39" s="256">
        <v>10117</v>
      </c>
      <c r="D39" s="256">
        <v>0</v>
      </c>
      <c r="E39" s="259">
        <v>0</v>
      </c>
    </row>
    <row r="40" spans="2:5" ht="15.75">
      <c r="B40" s="253" t="s">
        <v>1046</v>
      </c>
      <c r="C40" s="256">
        <v>0</v>
      </c>
      <c r="D40" s="256">
        <v>0</v>
      </c>
      <c r="E40" s="259">
        <v>0</v>
      </c>
    </row>
    <row r="41" spans="2:5" ht="15.75">
      <c r="B41" s="253" t="s">
        <v>1078</v>
      </c>
      <c r="C41" s="256">
        <v>2835</v>
      </c>
      <c r="D41" s="256">
        <v>0</v>
      </c>
      <c r="E41" s="259">
        <v>0</v>
      </c>
    </row>
    <row r="42" spans="2:5" ht="15.75">
      <c r="B42" s="253" t="s">
        <v>1047</v>
      </c>
      <c r="C42" s="256">
        <v>4997</v>
      </c>
      <c r="D42" s="256">
        <v>0</v>
      </c>
      <c r="E42" s="259">
        <v>0</v>
      </c>
    </row>
    <row r="43" spans="2:5" ht="15.75">
      <c r="B43" s="253"/>
      <c r="C43" s="256"/>
      <c r="D43" s="256"/>
      <c r="E43" s="259"/>
    </row>
    <row r="44" spans="2:5" ht="15.75">
      <c r="B44" s="253" t="s">
        <v>1048</v>
      </c>
      <c r="C44" s="256">
        <v>7849</v>
      </c>
      <c r="D44" s="256">
        <v>0</v>
      </c>
      <c r="E44" s="259">
        <v>0</v>
      </c>
    </row>
    <row r="45" spans="2:5" ht="15.75">
      <c r="B45" s="253"/>
      <c r="C45" s="256"/>
      <c r="D45" s="256"/>
      <c r="E45" s="259"/>
    </row>
    <row r="46" spans="2:5" ht="15.75">
      <c r="B46" s="253"/>
      <c r="C46" s="256"/>
      <c r="D46" s="256"/>
      <c r="E46" s="259"/>
    </row>
    <row r="47" spans="2:5" ht="15.75">
      <c r="B47" s="253"/>
      <c r="C47" s="256"/>
      <c r="D47" s="256"/>
      <c r="E47" s="259"/>
    </row>
    <row r="48" spans="2:5" ht="15.75">
      <c r="B48" s="253"/>
      <c r="C48" s="256"/>
      <c r="D48" s="256"/>
      <c r="E48" s="259"/>
    </row>
    <row r="49" spans="2:5" ht="15.75">
      <c r="B49" s="253"/>
      <c r="C49" s="256"/>
      <c r="D49" s="256"/>
      <c r="E49" s="259"/>
    </row>
    <row r="50" spans="2:5" ht="15.75">
      <c r="B50" s="253"/>
      <c r="C50" s="256"/>
      <c r="D50" s="256"/>
      <c r="E50" s="259"/>
    </row>
    <row r="51" spans="2:5" ht="15.75">
      <c r="B51" s="253"/>
      <c r="C51" s="256"/>
      <c r="D51" s="256"/>
      <c r="E51" s="259"/>
    </row>
    <row r="52" spans="2:5" ht="15.75">
      <c r="B52" s="253" t="s">
        <v>111</v>
      </c>
      <c r="C52" s="256"/>
      <c r="D52" s="256"/>
      <c r="E52" s="259"/>
    </row>
    <row r="53" spans="2:5" ht="15.75">
      <c r="B53" s="260" t="s">
        <v>113</v>
      </c>
      <c r="C53" s="256">
        <v>2210</v>
      </c>
      <c r="D53" s="256">
        <v>2000</v>
      </c>
      <c r="E53" s="259">
        <v>2000</v>
      </c>
    </row>
    <row r="54" spans="2:5" ht="15.75">
      <c r="B54" s="159" t="s">
        <v>14</v>
      </c>
      <c r="C54" s="256"/>
      <c r="D54" s="256"/>
      <c r="E54" s="259"/>
    </row>
    <row r="55" spans="2:5" ht="15.75">
      <c r="B55" s="252" t="s">
        <v>775</v>
      </c>
      <c r="C55" s="261">
        <f>IF(C56*0.1&lt;C54,"Exceed 10% Rule","")</f>
      </c>
      <c r="D55" s="261">
        <f>IF(D56*0.1&lt;D54,"Exceed 10% Rule","")</f>
      </c>
      <c r="E55" s="291">
        <f>IF(E56*0.1+E118&lt;E54,"Exceed 10% Rule","")</f>
      </c>
    </row>
    <row r="56" spans="2:5" ht="15.75">
      <c r="B56" s="263" t="s">
        <v>114</v>
      </c>
      <c r="C56" s="265">
        <f>SUM(C9:C54)</f>
        <v>564889</v>
      </c>
      <c r="D56" s="265">
        <f>SUM(D9:D54)</f>
        <v>513495</v>
      </c>
      <c r="E56" s="266">
        <f>SUM(E10:E54)</f>
        <v>331414</v>
      </c>
    </row>
    <row r="57" spans="2:5" ht="15.75">
      <c r="B57" s="263" t="s">
        <v>115</v>
      </c>
      <c r="C57" s="265">
        <f>C7+C56</f>
        <v>1157481</v>
      </c>
      <c r="D57" s="265">
        <f>D7+D56</f>
        <v>1088483</v>
      </c>
      <c r="E57" s="266">
        <f>E7+E56</f>
        <v>805020</v>
      </c>
    </row>
    <row r="58" spans="2:5" ht="15.75">
      <c r="B58" s="47"/>
      <c r="C58" s="47"/>
      <c r="D58" s="47"/>
      <c r="E58" s="47"/>
    </row>
    <row r="59" spans="2:5" ht="15.75">
      <c r="B59" s="136" t="s">
        <v>124</v>
      </c>
      <c r="C59" s="171">
        <f>IF(inputPrYr!D19&gt;0,8,7)</f>
        <v>8</v>
      </c>
      <c r="D59" s="172"/>
      <c r="E59" s="172"/>
    </row>
    <row r="60" spans="2:5" ht="15.75">
      <c r="B60" s="172"/>
      <c r="C60" s="172"/>
      <c r="D60" s="172"/>
      <c r="E60" s="172"/>
    </row>
    <row r="61" spans="2:5" ht="15.75">
      <c r="B61" s="197" t="str">
        <f>inputPrYr!D2</f>
        <v>City of Frankfort</v>
      </c>
      <c r="C61" s="47"/>
      <c r="D61" s="47"/>
      <c r="E61" s="169"/>
    </row>
    <row r="62" spans="2:5" ht="15.75">
      <c r="B62" s="47"/>
      <c r="C62" s="47"/>
      <c r="D62" s="47"/>
      <c r="E62" s="136"/>
    </row>
    <row r="63" spans="2:5" ht="15.75">
      <c r="B63" s="267" t="s">
        <v>171</v>
      </c>
      <c r="C63" s="221"/>
      <c r="D63" s="221"/>
      <c r="E63" s="221"/>
    </row>
    <row r="64" spans="2:5" ht="15.75">
      <c r="B64" s="47" t="s">
        <v>105</v>
      </c>
      <c r="C64" s="695" t="s">
        <v>940</v>
      </c>
      <c r="D64" s="696" t="s">
        <v>941</v>
      </c>
      <c r="E64" s="144" t="s">
        <v>942</v>
      </c>
    </row>
    <row r="65" spans="2:5" ht="15.75">
      <c r="B65" s="77" t="str">
        <f>inputPrYr!B17</f>
        <v>General</v>
      </c>
      <c r="C65" s="225" t="str">
        <f>CONCATENATE("Actual for ",E1-2,"")</f>
        <v>Actual for 2011</v>
      </c>
      <c r="D65" s="225" t="str">
        <f>CONCATENATE("Estimate for ",E1-1,"")</f>
        <v>Estimate for 2012</v>
      </c>
      <c r="E65" s="208" t="str">
        <f>CONCATENATE("Year for ",E1,"")</f>
        <v>Year for 2013</v>
      </c>
    </row>
    <row r="66" spans="2:5" ht="15.75">
      <c r="B66" s="268" t="s">
        <v>115</v>
      </c>
      <c r="C66" s="254">
        <f>C57</f>
        <v>1157481</v>
      </c>
      <c r="D66" s="254">
        <f>D57</f>
        <v>1088483</v>
      </c>
      <c r="E66" s="228">
        <f>E57</f>
        <v>805020</v>
      </c>
    </row>
    <row r="67" spans="2:5" ht="15.75">
      <c r="B67" s="255" t="s">
        <v>117</v>
      </c>
      <c r="C67" s="159"/>
      <c r="D67" s="159"/>
      <c r="E67" s="87"/>
    </row>
    <row r="68" spans="2:6" ht="15.75">
      <c r="B68" s="252" t="str">
        <f>GenDetail!A7</f>
        <v>General Administration:</v>
      </c>
      <c r="C68" s="269">
        <f>GenDetail!B12</f>
        <v>85796</v>
      </c>
      <c r="D68" s="269">
        <f>GenDetail!C12</f>
        <v>96900</v>
      </c>
      <c r="E68" s="82">
        <f>GenDetail!D12</f>
        <v>100400</v>
      </c>
      <c r="F68" s="270"/>
    </row>
    <row r="69" spans="2:6" ht="15.75">
      <c r="B69" s="252" t="str">
        <f>GenDetail!A14</f>
        <v>Park:</v>
      </c>
      <c r="C69" s="269">
        <f>GenDetail!B19</f>
        <v>90068</v>
      </c>
      <c r="D69" s="269">
        <f>GenDetail!C19</f>
        <v>122119</v>
      </c>
      <c r="E69" s="82">
        <f>GenDetail!D19</f>
        <v>115769</v>
      </c>
      <c r="F69" s="270"/>
    </row>
    <row r="70" spans="2:5" ht="15.75">
      <c r="B70" s="252" t="str">
        <f>GenDetail!A21</f>
        <v>Police Protection:</v>
      </c>
      <c r="C70" s="269">
        <f>GenDetail!B26</f>
        <v>13230</v>
      </c>
      <c r="D70" s="269">
        <f>GenDetail!C26</f>
        <v>22000</v>
      </c>
      <c r="E70" s="82">
        <f>GenDetail!D26</f>
        <v>24000</v>
      </c>
    </row>
    <row r="71" spans="2:5" ht="15.75">
      <c r="B71" s="252" t="s">
        <v>1016</v>
      </c>
      <c r="C71" s="269">
        <f>GenDetail!B33</f>
        <v>35333</v>
      </c>
      <c r="D71" s="269">
        <f>GenDetail!C33</f>
        <v>37300</v>
      </c>
      <c r="E71" s="82">
        <f>GenDetail!D33</f>
        <v>37300</v>
      </c>
    </row>
    <row r="72" spans="2:5" ht="15.75">
      <c r="B72" s="252" t="str">
        <f>GenDetail!A35</f>
        <v>Streets &amp; Alleys:</v>
      </c>
      <c r="C72" s="269">
        <f>GenDetail!B40</f>
        <v>49245</v>
      </c>
      <c r="D72" s="269">
        <f>GenDetail!C40</f>
        <v>49970</v>
      </c>
      <c r="E72" s="82">
        <f>GenDetail!D40</f>
        <v>49970</v>
      </c>
    </row>
    <row r="73" spans="2:5" ht="15.75">
      <c r="B73" s="252" t="s">
        <v>23</v>
      </c>
      <c r="C73" s="269">
        <f>GenDetail!B46</f>
        <v>47572</v>
      </c>
      <c r="D73" s="269">
        <f>GenDetail!C46</f>
        <v>53700</v>
      </c>
      <c r="E73" s="82">
        <f>GenDetail!D46</f>
        <v>60520</v>
      </c>
    </row>
    <row r="74" spans="2:5" ht="15.75">
      <c r="B74" s="252" t="str">
        <f>'[1]GenDetail'!A48</f>
        <v>Sales Tax - Streets &amp; Improvements:</v>
      </c>
      <c r="C74" s="269">
        <f>GenDetail!B53</f>
        <v>38591</v>
      </c>
      <c r="D74" s="269">
        <f>GenDetail!C53</f>
        <v>57000</v>
      </c>
      <c r="E74" s="82">
        <f>GenDetail!D53</f>
        <v>57000</v>
      </c>
    </row>
    <row r="75" spans="2:5" ht="15.75">
      <c r="B75" s="252" t="s">
        <v>1060</v>
      </c>
      <c r="C75" s="269">
        <f>GenDetail!B60</f>
        <v>0</v>
      </c>
      <c r="D75" s="269">
        <f>GenDetail!C60</f>
        <v>0</v>
      </c>
      <c r="E75" s="82">
        <f>GenDetail!D60</f>
        <v>0</v>
      </c>
    </row>
    <row r="76" spans="2:5" ht="15.75">
      <c r="B76" s="252">
        <f>GenDetail!A72</f>
        <v>0</v>
      </c>
      <c r="C76" s="269">
        <f>GenDetail!B78</f>
        <v>0</v>
      </c>
      <c r="D76" s="269">
        <f>GenDetail!C78</f>
        <v>0</v>
      </c>
      <c r="E76" s="82">
        <f>GenDetail!D78</f>
        <v>0</v>
      </c>
    </row>
    <row r="77" spans="2:5" ht="15.75">
      <c r="B77" s="252">
        <f>GenDetail!A79</f>
        <v>0</v>
      </c>
      <c r="C77" s="269">
        <f>GenDetail!B85</f>
        <v>0</v>
      </c>
      <c r="D77" s="269">
        <f>GenDetail!C85</f>
        <v>0</v>
      </c>
      <c r="E77" s="82">
        <f>GenDetail!D85</f>
        <v>0</v>
      </c>
    </row>
    <row r="78" spans="2:5" ht="15.75">
      <c r="B78" s="252">
        <f>GenDetail!A86</f>
        <v>0</v>
      </c>
      <c r="C78" s="269">
        <f>GenDetail!B92</f>
        <v>0</v>
      </c>
      <c r="D78" s="269">
        <f>GenDetail!C92</f>
        <v>0</v>
      </c>
      <c r="E78" s="82">
        <f>GenDetail!D92</f>
        <v>0</v>
      </c>
    </row>
    <row r="79" spans="2:5" ht="15.75">
      <c r="B79" s="252">
        <f>GenDetail!A93</f>
        <v>0</v>
      </c>
      <c r="C79" s="269">
        <f>GenDetail!B98</f>
        <v>0</v>
      </c>
      <c r="D79" s="269">
        <f>GenDetail!C98</f>
        <v>0</v>
      </c>
      <c r="E79" s="82">
        <f>GenDetail!D98</f>
        <v>0</v>
      </c>
    </row>
    <row r="80" spans="2:5" ht="15.75">
      <c r="B80" s="252">
        <f>GenDetail!A99</f>
        <v>0</v>
      </c>
      <c r="C80" s="269">
        <f>GenDetail!B105</f>
        <v>0</v>
      </c>
      <c r="D80" s="269">
        <f>GenDetail!C105</f>
        <v>0</v>
      </c>
      <c r="E80" s="82">
        <f>GenDetail!D105</f>
        <v>0</v>
      </c>
    </row>
    <row r="81" spans="2:5" ht="15.75">
      <c r="B81" s="252">
        <f>GenDetail!A106</f>
        <v>0</v>
      </c>
      <c r="C81" s="269">
        <f>GenDetail!B112</f>
        <v>0</v>
      </c>
      <c r="D81" s="269">
        <f>GenDetail!C112</f>
        <v>0</v>
      </c>
      <c r="E81" s="82">
        <f>GenDetail!D112</f>
        <v>0</v>
      </c>
    </row>
    <row r="82" spans="2:5" ht="15.75">
      <c r="B82" s="252">
        <f>GenDetail!A113</f>
        <v>0</v>
      </c>
      <c r="C82" s="269">
        <f>GenDetail!B119</f>
        <v>0</v>
      </c>
      <c r="D82" s="269">
        <f>GenDetail!C119</f>
        <v>0</v>
      </c>
      <c r="E82" s="82">
        <f>GenDetail!D119</f>
        <v>0</v>
      </c>
    </row>
    <row r="83" spans="2:5" ht="15.75">
      <c r="B83" s="252">
        <f>GenDetail!A120</f>
        <v>0</v>
      </c>
      <c r="C83" s="269">
        <f>GenDetail!B126</f>
        <v>0</v>
      </c>
      <c r="D83" s="269">
        <f>GenDetail!C126</f>
        <v>0</v>
      </c>
      <c r="E83" s="82">
        <f>GenDetail!D126</f>
        <v>0</v>
      </c>
    </row>
    <row r="84" spans="2:5" ht="15.75">
      <c r="B84" s="271" t="s">
        <v>664</v>
      </c>
      <c r="C84" s="371">
        <f>SUM(C68:C83)</f>
        <v>359835</v>
      </c>
      <c r="D84" s="371">
        <f>SUM(D68:D83)</f>
        <v>438989</v>
      </c>
      <c r="E84" s="285">
        <f>SUM(E68:E83)</f>
        <v>444959</v>
      </c>
    </row>
    <row r="85" spans="2:5" ht="15.75">
      <c r="B85" s="260"/>
      <c r="C85" s="256"/>
      <c r="D85" s="256"/>
      <c r="E85" s="259"/>
    </row>
    <row r="86" spans="2:5" ht="15.75">
      <c r="B86" s="724" t="s">
        <v>1073</v>
      </c>
      <c r="C86" s="256">
        <v>13215</v>
      </c>
      <c r="D86" s="256">
        <v>14960</v>
      </c>
      <c r="E86" s="259">
        <v>15710</v>
      </c>
    </row>
    <row r="87" spans="2:5" ht="15.75">
      <c r="B87" s="724"/>
      <c r="C87" s="256"/>
      <c r="D87" s="256"/>
      <c r="E87" s="259"/>
    </row>
    <row r="88" spans="2:5" ht="15.75">
      <c r="B88" s="724" t="s">
        <v>1074</v>
      </c>
      <c r="C88" s="256">
        <v>100614</v>
      </c>
      <c r="D88" s="256">
        <v>106150</v>
      </c>
      <c r="E88" s="259">
        <v>106150</v>
      </c>
    </row>
    <row r="89" spans="2:5" ht="15.75">
      <c r="B89" s="724"/>
      <c r="C89" s="256"/>
      <c r="D89" s="256"/>
      <c r="E89" s="259"/>
    </row>
    <row r="90" spans="2:5" ht="15.75">
      <c r="B90" s="724" t="s">
        <v>1040</v>
      </c>
      <c r="C90" s="256">
        <v>51844</v>
      </c>
      <c r="D90" s="256">
        <v>0</v>
      </c>
      <c r="E90" s="259">
        <v>0</v>
      </c>
    </row>
    <row r="91" spans="2:5" ht="15.75">
      <c r="B91" s="725"/>
      <c r="C91" s="256"/>
      <c r="D91" s="256"/>
      <c r="E91" s="259"/>
    </row>
    <row r="92" spans="2:5" ht="15.75">
      <c r="B92" s="725" t="s">
        <v>1075</v>
      </c>
      <c r="C92" s="256">
        <v>26985</v>
      </c>
      <c r="D92" s="256">
        <v>28778</v>
      </c>
      <c r="E92" s="259">
        <v>408193</v>
      </c>
    </row>
    <row r="93" spans="2:5" ht="15.75">
      <c r="B93" s="725"/>
      <c r="C93" s="256"/>
      <c r="D93" s="256"/>
      <c r="E93" s="259"/>
    </row>
    <row r="94" spans="2:5" ht="15.75">
      <c r="B94" s="725" t="s">
        <v>1076</v>
      </c>
      <c r="C94" s="256">
        <v>30000</v>
      </c>
      <c r="D94" s="256">
        <v>26000</v>
      </c>
      <c r="E94" s="259">
        <v>17500</v>
      </c>
    </row>
    <row r="95" spans="2:5" ht="15.75">
      <c r="B95" s="272"/>
      <c r="C95" s="256"/>
      <c r="D95" s="256"/>
      <c r="E95" s="259"/>
    </row>
    <row r="96" spans="2:5" ht="15.75">
      <c r="B96" s="272"/>
      <c r="C96" s="256"/>
      <c r="D96" s="256"/>
      <c r="E96" s="259"/>
    </row>
    <row r="97" spans="2:5" ht="15.75">
      <c r="B97" s="272"/>
      <c r="C97" s="256"/>
      <c r="D97" s="256"/>
      <c r="E97" s="259"/>
    </row>
    <row r="98" spans="2:5" ht="15.75">
      <c r="B98" s="272"/>
      <c r="C98" s="256"/>
      <c r="D98" s="256"/>
      <c r="E98" s="259"/>
    </row>
    <row r="99" spans="2:5" ht="15.75">
      <c r="B99" s="272"/>
      <c r="C99" s="256"/>
      <c r="D99" s="256"/>
      <c r="E99" s="259"/>
    </row>
    <row r="100" spans="2:5" ht="15.75">
      <c r="B100" s="272"/>
      <c r="C100" s="256"/>
      <c r="D100" s="256"/>
      <c r="E100" s="259"/>
    </row>
    <row r="101" spans="2:5" ht="15.75">
      <c r="B101" s="272"/>
      <c r="C101" s="256"/>
      <c r="D101" s="256"/>
      <c r="E101" s="259"/>
    </row>
    <row r="102" spans="2:10" ht="15.75">
      <c r="B102" s="272"/>
      <c r="C102" s="256"/>
      <c r="D102" s="256"/>
      <c r="E102" s="259"/>
      <c r="G102" s="779" t="str">
        <f>CONCATENATE("Desired Carryover Into ",E1+1,"")</f>
        <v>Desired Carryover Into 2014</v>
      </c>
      <c r="H102" s="780"/>
      <c r="I102" s="780"/>
      <c r="J102" s="781"/>
    </row>
    <row r="103" spans="2:10" ht="15.75">
      <c r="B103" s="272"/>
      <c r="C103" s="256"/>
      <c r="D103" s="256"/>
      <c r="E103" s="259"/>
      <c r="G103" s="530"/>
      <c r="H103" s="527"/>
      <c r="I103" s="527"/>
      <c r="J103" s="531"/>
    </row>
    <row r="104" spans="2:10" ht="15.75">
      <c r="B104" s="272"/>
      <c r="C104" s="256"/>
      <c r="D104" s="256"/>
      <c r="E104" s="259"/>
      <c r="G104" s="541" t="s">
        <v>763</v>
      </c>
      <c r="H104" s="535"/>
      <c r="I104" s="535"/>
      <c r="J104" s="529">
        <v>0</v>
      </c>
    </row>
    <row r="105" spans="2:10" ht="15.75">
      <c r="B105" s="272"/>
      <c r="C105" s="256"/>
      <c r="D105" s="256"/>
      <c r="E105" s="259"/>
      <c r="G105" s="545" t="s">
        <v>764</v>
      </c>
      <c r="H105" s="526"/>
      <c r="I105" s="528"/>
      <c r="J105" s="544">
        <f>IF(J104=0,"",ROUND((J104+E118-G117)/inputOth!E7*1000,3)-general!G122)</f>
      </c>
    </row>
    <row r="106" spans="2:10" ht="15.75">
      <c r="B106" s="272"/>
      <c r="C106" s="256"/>
      <c r="D106" s="256"/>
      <c r="E106" s="259"/>
      <c r="G106" s="613" t="str">
        <f>CONCATENATE("",E1," Total Expenditures Must Be:")</f>
        <v>2013 Total Expenditures Must Be:</v>
      </c>
      <c r="H106" s="614"/>
      <c r="I106" s="615"/>
      <c r="J106" s="543">
        <f>IF(J104&gt;0,IF(E115&lt;E57,IF(J104=G117,E115,((J104-G117)*(1-D117))+E57),E115+(J104-G117)),0)</f>
        <v>0</v>
      </c>
    </row>
    <row r="107" spans="2:10" ht="15.75">
      <c r="B107" s="272"/>
      <c r="C107" s="256"/>
      <c r="D107" s="256"/>
      <c r="E107" s="259"/>
      <c r="G107" s="617" t="s">
        <v>880</v>
      </c>
      <c r="H107" s="618"/>
      <c r="I107" s="619"/>
      <c r="J107" s="651">
        <f>IF(J104&gt;0,J106-E115,0)</f>
        <v>0</v>
      </c>
    </row>
    <row r="108" spans="2:5" ht="15.75">
      <c r="B108" s="273" t="s">
        <v>13</v>
      </c>
      <c r="C108" s="256"/>
      <c r="D108" s="256"/>
      <c r="E108" s="274">
        <f>nhood!E6</f>
        <v>5335</v>
      </c>
    </row>
    <row r="109" spans="2:10" ht="15.75">
      <c r="B109" s="273" t="s">
        <v>14</v>
      </c>
      <c r="C109" s="256"/>
      <c r="D109" s="256"/>
      <c r="E109" s="259"/>
      <c r="G109" s="779" t="str">
        <f>CONCATENATE("Projected Carryover Into ",E1+1,"")</f>
        <v>Projected Carryover Into 2014</v>
      </c>
      <c r="H109" s="788"/>
      <c r="I109" s="788"/>
      <c r="J109" s="789"/>
    </row>
    <row r="110" spans="2:10" ht="15.75">
      <c r="B110" s="273" t="s">
        <v>776</v>
      </c>
      <c r="C110" s="261">
        <f>IF(C111*0.1&lt;C109,"Exceed 10% Rule","")</f>
      </c>
      <c r="D110" s="261">
        <f>IF(D111*0.1&lt;D109,"Exceed 10% Rule","")</f>
      </c>
      <c r="E110" s="291">
        <f>IF(E111*0.1&lt;E109,"Exceed 10% Rule","")</f>
      </c>
      <c r="G110" s="530"/>
      <c r="H110" s="527"/>
      <c r="I110" s="527"/>
      <c r="J110" s="531"/>
    </row>
    <row r="111" spans="2:10" ht="15.75">
      <c r="B111" s="263" t="s">
        <v>121</v>
      </c>
      <c r="C111" s="265">
        <f>SUM(C84:C109)</f>
        <v>582493</v>
      </c>
      <c r="D111" s="265">
        <f>SUM(D84:D109)</f>
        <v>614877</v>
      </c>
      <c r="E111" s="266">
        <f>SUM(E84:E109)</f>
        <v>997847</v>
      </c>
      <c r="G111" s="532">
        <f>D112</f>
        <v>473606</v>
      </c>
      <c r="H111" s="533" t="str">
        <f>CONCATENATE("",E1-1," Ending Cash Balance (est.)")</f>
        <v>2012 Ending Cash Balance (est.)</v>
      </c>
      <c r="I111" s="534"/>
      <c r="J111" s="531"/>
    </row>
    <row r="112" spans="2:10" ht="15.75">
      <c r="B112" s="150" t="s">
        <v>228</v>
      </c>
      <c r="C112" s="269">
        <f>C57-C111</f>
        <v>574988</v>
      </c>
      <c r="D112" s="269">
        <f>D57-D111</f>
        <v>473606</v>
      </c>
      <c r="E112" s="258" t="s">
        <v>94</v>
      </c>
      <c r="G112" s="532">
        <f>E56</f>
        <v>331414</v>
      </c>
      <c r="H112" s="535" t="str">
        <f>CONCATENATE("",E1," Non-AV Receipts (est.)")</f>
        <v>2013 Non-AV Receipts (est.)</v>
      </c>
      <c r="I112" s="534"/>
      <c r="J112" s="531"/>
    </row>
    <row r="113" spans="2:11" ht="15.75">
      <c r="B113" s="136" t="str">
        <f>CONCATENATE("",E1-2,"/",E1-1," Budget Authority Amount:")</f>
        <v>2011/2012 Budget Authority Amount:</v>
      </c>
      <c r="C113" s="241">
        <f>inputOth!B60</f>
        <v>1069536</v>
      </c>
      <c r="D113" s="241">
        <f>inputPrYr!D17</f>
        <v>1059725</v>
      </c>
      <c r="E113" s="258" t="s">
        <v>94</v>
      </c>
      <c r="F113" s="275"/>
      <c r="G113" s="536">
        <f>IF(E117&gt;0,E116,E118)</f>
        <v>192827</v>
      </c>
      <c r="H113" s="535" t="str">
        <f>CONCATENATE("",E1," Ad Valorem Tax (est.)")</f>
        <v>2013 Ad Valorem Tax (est.)</v>
      </c>
      <c r="I113" s="534"/>
      <c r="J113" s="531"/>
      <c r="K113" s="631">
        <f>IF(G113=E118,"","Note: Does not include Delinquent Taxes")</f>
      </c>
    </row>
    <row r="114" spans="2:10" ht="15.75">
      <c r="B114" s="136"/>
      <c r="C114" s="782" t="s">
        <v>662</v>
      </c>
      <c r="D114" s="783"/>
      <c r="E114" s="259"/>
      <c r="F114" s="427">
        <f>IF(E111/0.95-E111&lt;E114,"Exceeds 5%","")</f>
      </c>
      <c r="G114" s="532">
        <f>SUM(G111:G113)</f>
        <v>997847</v>
      </c>
      <c r="H114" s="535" t="str">
        <f>CONCATENATE("Total ",E1," Resources Available")</f>
        <v>Total 2013 Resources Available</v>
      </c>
      <c r="I114" s="534"/>
      <c r="J114" s="531"/>
    </row>
    <row r="115" spans="2:10" ht="15.75">
      <c r="B115" s="519" t="str">
        <f>CONCATENATE(C132,"     ",D132)</f>
        <v>     </v>
      </c>
      <c r="C115" s="784" t="s">
        <v>663</v>
      </c>
      <c r="D115" s="785"/>
      <c r="E115" s="228">
        <f>E111+E114</f>
        <v>997847</v>
      </c>
      <c r="G115" s="537"/>
      <c r="H115" s="535"/>
      <c r="I115" s="535"/>
      <c r="J115" s="531"/>
    </row>
    <row r="116" spans="2:10" ht="15.75">
      <c r="B116" s="519" t="str">
        <f>CONCATENATE(C133,"     ",D133)</f>
        <v>     </v>
      </c>
      <c r="C116" s="276"/>
      <c r="D116" s="169" t="s">
        <v>122</v>
      </c>
      <c r="E116" s="82">
        <f>IF(E115-E57&gt;0,E115-E57,0)</f>
        <v>192827</v>
      </c>
      <c r="G116" s="536">
        <f>C111*0.05+C111</f>
        <v>611617.65</v>
      </c>
      <c r="H116" s="535" t="str">
        <f>CONCATENATE("Less ",E1-2," Expenditures + 5%")</f>
        <v>Less 2011 Expenditures + 5%</v>
      </c>
      <c r="I116" s="534"/>
      <c r="J116" s="531"/>
    </row>
    <row r="117" spans="2:10" ht="15.75">
      <c r="B117" s="169"/>
      <c r="C117" s="375" t="s">
        <v>661</v>
      </c>
      <c r="D117" s="709">
        <f>inputOth!$E$47</f>
        <v>0</v>
      </c>
      <c r="E117" s="228">
        <f>ROUND(IF(D117&gt;0,(E116*D117),0),0)</f>
        <v>0</v>
      </c>
      <c r="G117" s="542">
        <f>G114-G116</f>
        <v>386229.35</v>
      </c>
      <c r="H117" s="538" t="str">
        <f>CONCATENATE("Projected ",E1+1," Carryover (est.)")</f>
        <v>Projected 2014 Carryover (est.)</v>
      </c>
      <c r="I117" s="539"/>
      <c r="J117" s="540"/>
    </row>
    <row r="118" spans="2:5" ht="16.5" thickBot="1">
      <c r="B118" s="47"/>
      <c r="C118" s="786" t="str">
        <f>CONCATENATE("Amount of  ",$E$1-1," Ad Valorem Tax")</f>
        <v>Amount of  2012 Ad Valorem Tax</v>
      </c>
      <c r="D118" s="787"/>
      <c r="E118" s="637">
        <f>E116+E117</f>
        <v>192827</v>
      </c>
    </row>
    <row r="119" spans="2:10" ht="16.5" thickTop="1">
      <c r="B119" s="47"/>
      <c r="C119" s="47"/>
      <c r="D119" s="47"/>
      <c r="E119" s="47"/>
      <c r="G119" s="776" t="s">
        <v>881</v>
      </c>
      <c r="H119" s="777"/>
      <c r="I119" s="777"/>
      <c r="J119" s="778"/>
    </row>
    <row r="120" spans="2:10" ht="15.75">
      <c r="B120" s="136" t="s">
        <v>124</v>
      </c>
      <c r="C120" s="171" t="str">
        <f>CONCATENATE("",C59,"a")</f>
        <v>8a</v>
      </c>
      <c r="D120" s="172"/>
      <c r="E120" s="172"/>
      <c r="G120" s="621"/>
      <c r="H120" s="622"/>
      <c r="I120" s="623"/>
      <c r="J120" s="624"/>
    </row>
    <row r="121" spans="7:10" ht="15.75">
      <c r="G121" s="625">
        <f>summ!H15</f>
        <v>59.62</v>
      </c>
      <c r="H121" s="622" t="str">
        <f>CONCATENATE("",E1," Fund Mill Rate")</f>
        <v>2013 Fund Mill Rate</v>
      </c>
      <c r="I121" s="623"/>
      <c r="J121" s="624"/>
    </row>
    <row r="122" spans="2:10" ht="15.75">
      <c r="B122" s="106"/>
      <c r="G122" s="626">
        <f>summ!E15</f>
        <v>59.648</v>
      </c>
      <c r="H122" s="622" t="str">
        <f>CONCATENATE("",E1-1," Fund Mill Rate")</f>
        <v>2012 Fund Mill Rate</v>
      </c>
      <c r="I122" s="623"/>
      <c r="J122" s="624"/>
    </row>
    <row r="123" spans="7:10" ht="15.75">
      <c r="G123" s="627">
        <f>summ!H27</f>
        <v>71.55799999999999</v>
      </c>
      <c r="H123" s="622" t="str">
        <f>CONCATENATE("Total ",E1," Mill Rate")</f>
        <v>Total 2013 Mill Rate</v>
      </c>
      <c r="I123" s="623"/>
      <c r="J123" s="624"/>
    </row>
    <row r="124" spans="7:10" ht="15.75">
      <c r="G124" s="626">
        <f>summ!E27</f>
        <v>71.2</v>
      </c>
      <c r="H124" s="628" t="str">
        <f>CONCATENATE("Total ",E1-1," Mill Rate")</f>
        <v>Total 2012 Mill Rate</v>
      </c>
      <c r="I124" s="629"/>
      <c r="J124" s="630"/>
    </row>
    <row r="125" spans="2:3" ht="15.75">
      <c r="B125" s="32"/>
      <c r="C125" s="32"/>
    </row>
    <row r="132" spans="3:4" ht="15.75" hidden="1">
      <c r="C132" s="518">
        <f>IF(C111&gt;C113,"See Tab A","")</f>
      </c>
      <c r="D132" s="518">
        <f>IF(D111&gt;D113,"See Tab C","")</f>
      </c>
    </row>
    <row r="133" spans="3:4" ht="15.75" hidden="1">
      <c r="C133" s="518">
        <f>IF(C112&lt;0,"See Tab B","")</f>
      </c>
      <c r="D133" s="518">
        <f>IF(D112&lt;0,"See Tab D","")</f>
      </c>
    </row>
  </sheetData>
  <sheetProtection/>
  <mergeCells count="6">
    <mergeCell ref="G119:J119"/>
    <mergeCell ref="G102:J102"/>
    <mergeCell ref="C114:D114"/>
    <mergeCell ref="C115:D115"/>
    <mergeCell ref="C118:D118"/>
    <mergeCell ref="G109:J109"/>
  </mergeCells>
  <conditionalFormatting sqref="E109">
    <cfRule type="cellIs" priority="2" dxfId="86" operator="greaterThan" stopIfTrue="1">
      <formula>$E$111*0.1</formula>
    </cfRule>
  </conditionalFormatting>
  <conditionalFormatting sqref="E114">
    <cfRule type="cellIs" priority="3" dxfId="86" operator="greaterThan" stopIfTrue="1">
      <formula>$E$111/0.95-$E$111</formula>
    </cfRule>
  </conditionalFormatting>
  <conditionalFormatting sqref="D111">
    <cfRule type="cellIs" priority="4" dxfId="2" operator="greaterThan" stopIfTrue="1">
      <formula>$D$113</formula>
    </cfRule>
  </conditionalFormatting>
  <conditionalFormatting sqref="C111">
    <cfRule type="cellIs" priority="5" dxfId="2" operator="greaterThan" stopIfTrue="1">
      <formula>$C$113</formula>
    </cfRule>
  </conditionalFormatting>
  <conditionalFormatting sqref="C112">
    <cfRule type="cellIs" priority="6" dxfId="2" operator="lessThan" stopIfTrue="1">
      <formula>0</formula>
    </cfRule>
  </conditionalFormatting>
  <conditionalFormatting sqref="C109">
    <cfRule type="cellIs" priority="7" dxfId="2" operator="greaterThan" stopIfTrue="1">
      <formula>$C$111*0.1</formula>
    </cfRule>
  </conditionalFormatting>
  <conditionalFormatting sqref="D109">
    <cfRule type="cellIs" priority="8" dxfId="2" operator="greaterThan" stopIfTrue="1">
      <formula>$D$111*0.1</formula>
    </cfRule>
  </conditionalFormatting>
  <conditionalFormatting sqref="D54">
    <cfRule type="cellIs" priority="9" dxfId="2" operator="greaterThan" stopIfTrue="1">
      <formula>$D$56*0.1</formula>
    </cfRule>
  </conditionalFormatting>
  <conditionalFormatting sqref="C54">
    <cfRule type="cellIs" priority="10" dxfId="2" operator="greaterThan" stopIfTrue="1">
      <formula>$C$56*0.1</formula>
    </cfRule>
  </conditionalFormatting>
  <conditionalFormatting sqref="E54">
    <cfRule type="cellIs" priority="11" dxfId="86" operator="greaterThan" stopIfTrue="1">
      <formula>$E$56*0.1+E118</formula>
    </cfRule>
  </conditionalFormatting>
  <conditionalFormatting sqref="D112">
    <cfRule type="cellIs" priority="1" dxfId="0" operator="lessThan" stopIfTrue="1">
      <formula>0</formula>
    </cfRule>
  </conditionalFormatting>
  <printOptions/>
  <pageMargins left="0.5" right="0.5" top="1" bottom="0.5" header="0.5" footer="0.5"/>
  <pageSetup blackAndWhite="1" fitToHeight="2" fitToWidth="1" horizontalDpi="120" verticalDpi="120" orientation="portrait" scale="78" r:id="rId1"/>
  <headerFooter alignWithMargins="0">
    <oddHeader>&amp;RState of Kansas
City</oddHeader>
  </headerFooter>
  <rowBreaks count="2" manualBreakCount="2">
    <brk id="59" min="1" max="4" man="1"/>
    <brk id="60" max="255" man="1"/>
  </rowBreaks>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61">
      <selection activeCell="C82" sqref="C82"/>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6" width="7.0976562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391" t="str">
        <f>inputPrYr!D2</f>
        <v>City of Frankfort</v>
      </c>
      <c r="C1" s="391"/>
      <c r="D1" s="377"/>
      <c r="E1" s="385">
        <f>inputPrYr!C5</f>
        <v>2013</v>
      </c>
    </row>
    <row r="2" spans="2:5" ht="15.75">
      <c r="B2" s="377"/>
      <c r="C2" s="377"/>
      <c r="D2" s="377"/>
      <c r="E2" s="393"/>
    </row>
    <row r="3" spans="2:5" ht="15.75">
      <c r="B3" s="380" t="s">
        <v>172</v>
      </c>
      <c r="C3" s="380"/>
      <c r="D3" s="395"/>
      <c r="E3" s="386"/>
    </row>
    <row r="4" spans="2:5" ht="15.75">
      <c r="B4" s="379" t="s">
        <v>105</v>
      </c>
      <c r="C4" s="695" t="s">
        <v>940</v>
      </c>
      <c r="D4" s="696" t="s">
        <v>941</v>
      </c>
      <c r="E4" s="144" t="s">
        <v>942</v>
      </c>
    </row>
    <row r="5" spans="2:5" ht="15.75">
      <c r="B5" s="422" t="s">
        <v>46</v>
      </c>
      <c r="C5" s="225" t="str">
        <f>CONCATENATE("Actual for ",E1-2,"")</f>
        <v>Actual for 2011</v>
      </c>
      <c r="D5" s="225" t="str">
        <f>CONCATENATE("Estimate for ",E1-1,"")</f>
        <v>Estimate for 2012</v>
      </c>
      <c r="E5" s="208" t="str">
        <f>CONCATENATE("Year for ",E1,"")</f>
        <v>Year for 2013</v>
      </c>
    </row>
    <row r="6" spans="2:5" ht="15.75">
      <c r="B6" s="387" t="s">
        <v>227</v>
      </c>
      <c r="C6" s="418">
        <v>2501</v>
      </c>
      <c r="D6" s="417">
        <f>C34</f>
        <v>0</v>
      </c>
      <c r="E6" s="388">
        <f>D34</f>
        <v>0</v>
      </c>
    </row>
    <row r="7" spans="2:5" ht="15.75">
      <c r="B7" s="387" t="s">
        <v>229</v>
      </c>
      <c r="C7" s="389"/>
      <c r="D7" s="417"/>
      <c r="E7" s="388"/>
    </row>
    <row r="8" spans="2:5" ht="15.75">
      <c r="B8" s="387" t="s">
        <v>106</v>
      </c>
      <c r="C8" s="415"/>
      <c r="D8" s="417">
        <f>IF(inputPrYr!H16,inputPrYr!G18,inputPrYr!E18)</f>
        <v>0</v>
      </c>
      <c r="E8" s="404" t="s">
        <v>94</v>
      </c>
    </row>
    <row r="9" spans="2:5" ht="15.75">
      <c r="B9" s="387" t="s">
        <v>107</v>
      </c>
      <c r="C9" s="415">
        <v>237</v>
      </c>
      <c r="D9" s="419"/>
      <c r="E9" s="381"/>
    </row>
    <row r="10" spans="2:5" ht="15.75">
      <c r="B10" s="387" t="s">
        <v>108</v>
      </c>
      <c r="C10" s="415">
        <v>4608</v>
      </c>
      <c r="D10" s="419"/>
      <c r="E10" s="388" t="str">
        <f>mvalloc!D8</f>
        <v>  </v>
      </c>
    </row>
    <row r="11" spans="2:5" ht="15.75">
      <c r="B11" s="387" t="s">
        <v>109</v>
      </c>
      <c r="C11" s="415">
        <v>85</v>
      </c>
      <c r="D11" s="419"/>
      <c r="E11" s="388" t="str">
        <f>mvalloc!E8</f>
        <v> </v>
      </c>
    </row>
    <row r="12" spans="2:5" ht="15.75">
      <c r="B12" s="390" t="s">
        <v>204</v>
      </c>
      <c r="C12" s="415">
        <v>500</v>
      </c>
      <c r="D12" s="419"/>
      <c r="E12" s="388" t="str">
        <f>mvalloc!F8</f>
        <v> </v>
      </c>
    </row>
    <row r="13" spans="2:5" ht="15.75">
      <c r="B13" s="406" t="s">
        <v>1041</v>
      </c>
      <c r="C13" s="415">
        <v>-82</v>
      </c>
      <c r="D13" s="419"/>
      <c r="E13" s="381"/>
    </row>
    <row r="14" spans="2:5" ht="15.75">
      <c r="B14" s="406"/>
      <c r="C14" s="415"/>
      <c r="D14" s="419"/>
      <c r="E14" s="381"/>
    </row>
    <row r="15" spans="2:5" ht="15.75">
      <c r="B15" s="406"/>
      <c r="C15" s="415"/>
      <c r="D15" s="419"/>
      <c r="E15" s="381"/>
    </row>
    <row r="16" spans="2:5" ht="15.75">
      <c r="B16" s="406"/>
      <c r="C16" s="415"/>
      <c r="D16" s="419"/>
      <c r="E16" s="381"/>
    </row>
    <row r="17" spans="2:9" ht="15.75">
      <c r="B17" s="401" t="s">
        <v>113</v>
      </c>
      <c r="C17" s="415"/>
      <c r="D17" s="419"/>
      <c r="E17" s="381"/>
      <c r="F17" s="376"/>
      <c r="G17" s="376"/>
      <c r="H17" s="376"/>
      <c r="I17" s="376"/>
    </row>
    <row r="18" spans="2:9" ht="15.75">
      <c r="B18" s="387" t="s">
        <v>14</v>
      </c>
      <c r="C18" s="256"/>
      <c r="D18" s="256"/>
      <c r="E18" s="67"/>
      <c r="F18" s="376"/>
      <c r="G18" s="376"/>
      <c r="H18" s="376"/>
      <c r="I18" s="376"/>
    </row>
    <row r="19" spans="2:9" ht="15.75">
      <c r="B19" s="387" t="s">
        <v>775</v>
      </c>
      <c r="C19" s="261">
        <f>IF(C20*0.1&lt;C18,"Exceed 10% Rule","")</f>
      </c>
      <c r="D19" s="261">
        <f>IF(D20*0.1&lt;D18,"Exceed 10% Rule","")</f>
      </c>
      <c r="E19" s="291">
        <f>IF(E20*0.1+E40&lt;E18,"Exceed 10% Rule","")</f>
      </c>
      <c r="F19" s="376"/>
      <c r="G19" s="376"/>
      <c r="H19" s="376"/>
      <c r="I19" s="376"/>
    </row>
    <row r="20" spans="2:9" ht="15.75">
      <c r="B20" s="397" t="s">
        <v>114</v>
      </c>
      <c r="C20" s="420">
        <f>SUM(C8:C18)</f>
        <v>5348</v>
      </c>
      <c r="D20" s="420">
        <f>SUM(D8:D18)</f>
        <v>0</v>
      </c>
      <c r="E20" s="407">
        <f>SUM(E9:E18)</f>
        <v>0</v>
      </c>
      <c r="F20" s="376"/>
      <c r="G20" s="376"/>
      <c r="H20" s="376"/>
      <c r="I20" s="376"/>
    </row>
    <row r="21" spans="2:9" ht="15.75">
      <c r="B21" s="397" t="s">
        <v>115</v>
      </c>
      <c r="C21" s="420">
        <f>SUM(C6+C20)</f>
        <v>7849</v>
      </c>
      <c r="D21" s="420">
        <f>SUM(D6+D20)</f>
        <v>0</v>
      </c>
      <c r="E21" s="407">
        <f>SUM(E6+E20)</f>
        <v>0</v>
      </c>
      <c r="F21" s="376"/>
      <c r="G21" s="376"/>
      <c r="H21" s="376"/>
      <c r="I21" s="376"/>
    </row>
    <row r="22" spans="2:9" ht="15.75">
      <c r="B22" s="387" t="s">
        <v>117</v>
      </c>
      <c r="C22" s="387"/>
      <c r="D22" s="417"/>
      <c r="E22" s="388"/>
      <c r="F22" s="376"/>
      <c r="G22" s="376"/>
      <c r="H22" s="376"/>
      <c r="I22" s="376"/>
    </row>
    <row r="23" spans="2:9" ht="15.75">
      <c r="B23" s="406" t="s">
        <v>1068</v>
      </c>
      <c r="C23" s="482">
        <v>0</v>
      </c>
      <c r="D23" s="419">
        <v>0</v>
      </c>
      <c r="E23" s="381">
        <v>0</v>
      </c>
      <c r="F23" s="376"/>
      <c r="G23" s="376"/>
      <c r="H23" s="376"/>
      <c r="I23" s="376"/>
    </row>
    <row r="24" spans="2:10" ht="15.75">
      <c r="B24" s="406" t="s">
        <v>1069</v>
      </c>
      <c r="C24" s="482">
        <v>0</v>
      </c>
      <c r="D24" s="419">
        <v>0</v>
      </c>
      <c r="E24" s="381">
        <v>0</v>
      </c>
      <c r="F24" s="376"/>
      <c r="G24" s="791" t="str">
        <f>CONCATENATE("Desired Carryover Into ",E1+1,"")</f>
        <v>Desired Carryover Into 2014</v>
      </c>
      <c r="H24" s="788"/>
      <c r="I24" s="788"/>
      <c r="J24" s="789"/>
    </row>
    <row r="25" spans="2:10" ht="15.75">
      <c r="B25" s="406" t="s">
        <v>1070</v>
      </c>
      <c r="C25" s="482">
        <v>0</v>
      </c>
      <c r="D25" s="419">
        <v>0</v>
      </c>
      <c r="E25" s="381">
        <v>0</v>
      </c>
      <c r="F25" s="376"/>
      <c r="G25" s="638"/>
      <c r="H25" s="639"/>
      <c r="I25" s="640"/>
      <c r="J25" s="641"/>
    </row>
    <row r="26" spans="2:10" ht="15.75">
      <c r="B26" s="406" t="s">
        <v>1071</v>
      </c>
      <c r="C26" s="482">
        <v>7849</v>
      </c>
      <c r="D26" s="419">
        <v>0</v>
      </c>
      <c r="E26" s="381">
        <v>0</v>
      </c>
      <c r="F26" s="376"/>
      <c r="G26" s="642" t="s">
        <v>763</v>
      </c>
      <c r="H26" s="640"/>
      <c r="I26" s="640"/>
      <c r="J26" s="643">
        <v>0</v>
      </c>
    </row>
    <row r="27" spans="2:10" ht="15.75">
      <c r="B27" s="406"/>
      <c r="C27" s="482"/>
      <c r="D27" s="419"/>
      <c r="E27" s="381"/>
      <c r="F27" s="376"/>
      <c r="G27" s="638" t="s">
        <v>764</v>
      </c>
      <c r="H27" s="639"/>
      <c r="I27" s="639"/>
      <c r="J27" s="644">
        <f>IF(J26=0,"",ROUND((J26+E40-G39)/inputOth!E7*1000,3)-G44)</f>
      </c>
    </row>
    <row r="28" spans="2:10" ht="15.75">
      <c r="B28" s="406"/>
      <c r="C28" s="482"/>
      <c r="D28" s="419"/>
      <c r="E28" s="381"/>
      <c r="F28" s="376"/>
      <c r="G28" s="645" t="str">
        <f>CONCATENATE("",E1," Tot Exp/Non-Appr Must Be:")</f>
        <v>2013 Tot Exp/Non-Appr Must Be:</v>
      </c>
      <c r="H28" s="646"/>
      <c r="I28" s="647"/>
      <c r="J28" s="648">
        <f>IF(J26&gt;0,IF(E37&lt;E21,IF(J26=G39,E37,((J26-G39)*(1-D39))+E21),E37+(J26-G39)),0)</f>
        <v>0</v>
      </c>
    </row>
    <row r="29" spans="2:10" ht="15.75">
      <c r="B29" s="406"/>
      <c r="C29" s="482"/>
      <c r="D29" s="419"/>
      <c r="E29" s="381"/>
      <c r="F29" s="376"/>
      <c r="G29" s="649" t="s">
        <v>882</v>
      </c>
      <c r="H29" s="650"/>
      <c r="I29" s="650"/>
      <c r="J29" s="651">
        <f>IF(J26&gt;0,J28-E37,0)</f>
        <v>0</v>
      </c>
    </row>
    <row r="30" spans="2:9" ht="15.75">
      <c r="B30" s="403" t="s">
        <v>13</v>
      </c>
      <c r="C30" s="482"/>
      <c r="D30" s="419"/>
      <c r="E30" s="388">
        <f>nhood!E7</f>
      </c>
      <c r="F30" s="376"/>
      <c r="G30" s="376"/>
      <c r="H30" s="376"/>
      <c r="I30" s="376"/>
    </row>
    <row r="31" spans="2:10" ht="15.75">
      <c r="B31" s="403" t="s">
        <v>14</v>
      </c>
      <c r="C31" s="482"/>
      <c r="D31" s="419"/>
      <c r="E31" s="381"/>
      <c r="F31" s="376"/>
      <c r="G31" s="790" t="str">
        <f>CONCATENATE("Projected Carryover Into ",E1+1,"")</f>
        <v>Projected Carryover Into 2014</v>
      </c>
      <c r="H31" s="788"/>
      <c r="I31" s="788"/>
      <c r="J31" s="789"/>
    </row>
    <row r="32" spans="2:10" ht="15.75">
      <c r="B32" s="403" t="s">
        <v>777</v>
      </c>
      <c r="C32" s="261">
        <f>IF(C33*0.1&lt;C31,"Exceed 10% Rule","")</f>
      </c>
      <c r="D32" s="261">
        <f>IF(D33*0.1&lt;D31,"Exceed 10% Rule","")</f>
      </c>
      <c r="E32" s="291">
        <f>IF(E33*0.1&lt;E31,"Exceed 10% Rule","")</f>
      </c>
      <c r="F32" s="376"/>
      <c r="G32" s="408"/>
      <c r="H32" s="526"/>
      <c r="I32" s="526"/>
      <c r="J32" s="635"/>
    </row>
    <row r="33" spans="2:10" ht="15.75">
      <c r="B33" s="397" t="s">
        <v>121</v>
      </c>
      <c r="C33" s="416">
        <f>SUM(C23:C31)</f>
        <v>7849</v>
      </c>
      <c r="D33" s="416">
        <f>SUM(D23:D31)</f>
        <v>0</v>
      </c>
      <c r="E33" s="402">
        <f>SUM(E23:E31)</f>
        <v>0</v>
      </c>
      <c r="F33" s="376"/>
      <c r="G33" s="412">
        <f>D34</f>
        <v>0</v>
      </c>
      <c r="H33" s="414" t="str">
        <f>CONCATENATE("",E1-1," Ending Cash Balance (est.)")</f>
        <v>2012 Ending Cash Balance (est.)</v>
      </c>
      <c r="I33" s="409"/>
      <c r="J33" s="635"/>
    </row>
    <row r="34" spans="2:10" ht="15.75">
      <c r="B34" s="387" t="s">
        <v>228</v>
      </c>
      <c r="C34" s="421">
        <f>SUM(C21-C33)</f>
        <v>0</v>
      </c>
      <c r="D34" s="421">
        <f>SUM(D21-D33)</f>
        <v>0</v>
      </c>
      <c r="E34" s="404" t="s">
        <v>94</v>
      </c>
      <c r="F34" s="376"/>
      <c r="G34" s="412">
        <f>E20</f>
        <v>0</v>
      </c>
      <c r="H34" s="413" t="str">
        <f>CONCATENATE("",E1," Non-AV Receipts (est.)")</f>
        <v>2013 Non-AV Receipts (est.)</v>
      </c>
      <c r="I34" s="526"/>
      <c r="J34" s="635"/>
    </row>
    <row r="35" spans="2:10" ht="15.75">
      <c r="B35" s="392" t="str">
        <f>CONCATENATE("",E1-2,"/",E1-1," Budget Authority Amount:")</f>
        <v>2011/2012 Budget Authority Amount:</v>
      </c>
      <c r="C35" s="394">
        <f>inputOth!B61</f>
        <v>7849</v>
      </c>
      <c r="D35" s="398">
        <f>inputPrYr!D18</f>
        <v>0</v>
      </c>
      <c r="E35" s="404" t="s">
        <v>94</v>
      </c>
      <c r="F35" s="399"/>
      <c r="G35" s="411">
        <f>IF(E39&gt;0,E38,E40)</f>
        <v>0</v>
      </c>
      <c r="H35" s="413" t="str">
        <f>CONCATENATE("",E1," Ad Valorem Tax (est.)")</f>
        <v>2013 Ad Valorem Tax (est.)</v>
      </c>
      <c r="I35" s="526"/>
      <c r="J35" s="635"/>
    </row>
    <row r="36" spans="2:10" ht="15.75">
      <c r="B36" s="392"/>
      <c r="C36" s="782" t="s">
        <v>662</v>
      </c>
      <c r="D36" s="783"/>
      <c r="E36" s="67"/>
      <c r="F36" s="427">
        <f>IF(E33/0.95-E33&lt;E36,"Exceeds 5%","")</f>
      </c>
      <c r="G36" s="412">
        <f>SUM(G33:G35)</f>
        <v>0</v>
      </c>
      <c r="H36" s="413" t="str">
        <f>CONCATENATE("Total ",E1," Resources Available")</f>
        <v>Total 2013 Resources Available</v>
      </c>
      <c r="I36" s="409"/>
      <c r="J36" s="635"/>
    </row>
    <row r="37" spans="2:10" ht="15.75">
      <c r="B37" s="519" t="str">
        <f>CONCATENATE(C93,"     ",D93)</f>
        <v>     </v>
      </c>
      <c r="C37" s="784" t="s">
        <v>663</v>
      </c>
      <c r="D37" s="785"/>
      <c r="E37" s="388">
        <f>SUM(E33+E36)</f>
        <v>0</v>
      </c>
      <c r="F37" s="376"/>
      <c r="G37" s="410"/>
      <c r="H37" s="413"/>
      <c r="I37" s="526"/>
      <c r="J37" s="635"/>
    </row>
    <row r="38" spans="2:10" ht="15.75">
      <c r="B38" s="519" t="str">
        <f>CONCATENATE(C94,"     ",D94)</f>
        <v>     </v>
      </c>
      <c r="C38" s="400"/>
      <c r="D38" s="393" t="s">
        <v>122</v>
      </c>
      <c r="E38" s="382">
        <f>IF(E37-E21&gt;0,E37-E21,0)</f>
        <v>0</v>
      </c>
      <c r="F38" s="376"/>
      <c r="G38" s="411">
        <f>C33</f>
        <v>7849</v>
      </c>
      <c r="H38" s="413" t="str">
        <f>CONCATENATE("Less ",E1-2," Expenditures")</f>
        <v>Less 2011 Expenditures</v>
      </c>
      <c r="I38" s="526"/>
      <c r="J38" s="635"/>
    </row>
    <row r="39" spans="2:10" ht="15.75">
      <c r="B39" s="393"/>
      <c r="C39" s="375" t="s">
        <v>661</v>
      </c>
      <c r="D39" s="709">
        <f>inputOth!$E$47</f>
        <v>0</v>
      </c>
      <c r="E39" s="388">
        <f>ROUND(IF(D39&gt;0,(E38*D39),0),0)</f>
        <v>0</v>
      </c>
      <c r="F39" s="376"/>
      <c r="G39" s="632">
        <f>SUM(G36-G38)</f>
        <v>-7849</v>
      </c>
      <c r="H39" s="633" t="str">
        <f>CONCATENATE("Projected ",E1+1," carryover (est.)")</f>
        <v>Projected 2014 carryover (est.)</v>
      </c>
      <c r="I39" s="634"/>
      <c r="J39" s="620"/>
    </row>
    <row r="40" spans="2:6" ht="16.5" thickBot="1">
      <c r="B40" s="377"/>
      <c r="C40" s="794" t="str">
        <f>CONCATENATE("Amount of  ",E1-1," Ad Valorem Tax")</f>
        <v>Amount of  2012 Ad Valorem Tax</v>
      </c>
      <c r="D40" s="795"/>
      <c r="E40" s="636">
        <f>SUM(E38:E39)</f>
        <v>0</v>
      </c>
      <c r="F40" s="376"/>
    </row>
    <row r="41" spans="2:10" ht="16.5" thickTop="1">
      <c r="B41" s="377"/>
      <c r="C41" s="595"/>
      <c r="D41" s="383"/>
      <c r="E41" s="383"/>
      <c r="F41" s="376"/>
      <c r="G41" s="776" t="s">
        <v>881</v>
      </c>
      <c r="H41" s="777"/>
      <c r="I41" s="777"/>
      <c r="J41" s="778"/>
    </row>
    <row r="42" spans="2:10" ht="15.75">
      <c r="B42" s="379"/>
      <c r="C42" s="379"/>
      <c r="D42" s="395"/>
      <c r="E42" s="395"/>
      <c r="F42" s="376"/>
      <c r="G42" s="621"/>
      <c r="H42" s="622"/>
      <c r="I42" s="623"/>
      <c r="J42" s="624"/>
    </row>
    <row r="43" spans="2:10" ht="15.75">
      <c r="B43" s="379" t="s">
        <v>105</v>
      </c>
      <c r="C43" s="695" t="s">
        <v>940</v>
      </c>
      <c r="D43" s="696" t="s">
        <v>941</v>
      </c>
      <c r="E43" s="144" t="s">
        <v>942</v>
      </c>
      <c r="F43" s="376"/>
      <c r="G43" s="625" t="str">
        <f>summ!H16</f>
        <v>  </v>
      </c>
      <c r="H43" s="622" t="str">
        <f>CONCATENATE("",E1," Fund Mill Rate")</f>
        <v>2013 Fund Mill Rate</v>
      </c>
      <c r="I43" s="623"/>
      <c r="J43" s="624"/>
    </row>
    <row r="44" spans="2:10" ht="15.75">
      <c r="B44" s="423" t="str">
        <f>inputPrYr!B19</f>
        <v>Library</v>
      </c>
      <c r="C44" s="225" t="str">
        <f>CONCATENATE("Actual for ",E1-2,"")</f>
        <v>Actual for 2011</v>
      </c>
      <c r="D44" s="225" t="str">
        <f>CONCATENATE("Estimate for ",E1-1,"")</f>
        <v>Estimate for 2012</v>
      </c>
      <c r="E44" s="208" t="str">
        <f>CONCATENATE("Year for ",E1,"")</f>
        <v>Year for 2013</v>
      </c>
      <c r="F44" s="376"/>
      <c r="G44" s="626" t="str">
        <f>summ!E16</f>
        <v>  </v>
      </c>
      <c r="H44" s="622" t="str">
        <f>CONCATENATE("",E1-1," Fund Mill Rate")</f>
        <v>2012 Fund Mill Rate</v>
      </c>
      <c r="I44" s="623"/>
      <c r="J44" s="624"/>
    </row>
    <row r="45" spans="2:10" ht="15.75">
      <c r="B45" s="387" t="s">
        <v>227</v>
      </c>
      <c r="C45" s="415">
        <v>0</v>
      </c>
      <c r="D45" s="417">
        <f>C74</f>
        <v>0</v>
      </c>
      <c r="E45" s="388">
        <f>D74</f>
        <v>0</v>
      </c>
      <c r="F45" s="376"/>
      <c r="G45" s="627">
        <f>summ!H27</f>
        <v>71.55799999999999</v>
      </c>
      <c r="H45" s="622" t="str">
        <f>CONCATENATE("Total ",E1," Mill Rate")</f>
        <v>Total 2013 Mill Rate</v>
      </c>
      <c r="I45" s="623"/>
      <c r="J45" s="624"/>
    </row>
    <row r="46" spans="2:10" ht="15.75">
      <c r="B46" s="396" t="s">
        <v>229</v>
      </c>
      <c r="C46" s="387"/>
      <c r="D46" s="417"/>
      <c r="E46" s="388"/>
      <c r="F46" s="376"/>
      <c r="G46" s="626">
        <f>summ!E27</f>
        <v>71.2</v>
      </c>
      <c r="H46" s="628" t="str">
        <f>CONCATENATE("Total ",E1-1," Mill Rate")</f>
        <v>Total 2012 Mill Rate</v>
      </c>
      <c r="I46" s="629"/>
      <c r="J46" s="630"/>
    </row>
    <row r="47" spans="2:9" ht="15.75">
      <c r="B47" s="387" t="s">
        <v>106</v>
      </c>
      <c r="C47" s="415">
        <v>26301</v>
      </c>
      <c r="D47" s="417">
        <v>36608</v>
      </c>
      <c r="E47" s="404" t="s">
        <v>94</v>
      </c>
      <c r="F47" s="376"/>
      <c r="G47" s="376"/>
      <c r="H47" s="376"/>
      <c r="I47" s="376"/>
    </row>
    <row r="48" spans="2:9" ht="15.75">
      <c r="B48" s="387" t="s">
        <v>107</v>
      </c>
      <c r="C48" s="415">
        <v>380</v>
      </c>
      <c r="D48" s="419">
        <v>0</v>
      </c>
      <c r="E48" s="381">
        <v>0</v>
      </c>
      <c r="F48" s="376"/>
      <c r="G48" s="376"/>
      <c r="H48" s="376"/>
      <c r="I48" s="376"/>
    </row>
    <row r="49" spans="2:9" ht="15.75">
      <c r="B49" s="387" t="s">
        <v>108</v>
      </c>
      <c r="C49" s="415">
        <v>6391</v>
      </c>
      <c r="D49" s="419">
        <v>6403</v>
      </c>
      <c r="E49" s="388">
        <f>mvalloc!D9</f>
        <v>8108</v>
      </c>
      <c r="F49" s="376"/>
      <c r="G49" s="376"/>
      <c r="H49" s="376"/>
      <c r="I49" s="376"/>
    </row>
    <row r="50" spans="2:9" ht="15.75">
      <c r="B50" s="387" t="s">
        <v>109</v>
      </c>
      <c r="C50" s="415">
        <v>122</v>
      </c>
      <c r="D50" s="419">
        <v>97</v>
      </c>
      <c r="E50" s="388">
        <f>mvalloc!E9</f>
        <v>141</v>
      </c>
      <c r="F50" s="376"/>
      <c r="G50" s="376"/>
      <c r="H50" s="376"/>
      <c r="I50" s="376"/>
    </row>
    <row r="51" spans="2:5" ht="15.75">
      <c r="B51" s="390" t="s">
        <v>204</v>
      </c>
      <c r="C51" s="415">
        <v>532</v>
      </c>
      <c r="D51" s="419">
        <v>498</v>
      </c>
      <c r="E51" s="388">
        <f>mvalloc!F9</f>
        <v>662</v>
      </c>
    </row>
    <row r="52" spans="2:5" ht="15.75">
      <c r="B52" s="406" t="s">
        <v>1041</v>
      </c>
      <c r="C52" s="415">
        <v>-1181</v>
      </c>
      <c r="D52" s="419">
        <v>-1404</v>
      </c>
      <c r="E52" s="381"/>
    </row>
    <row r="53" spans="2:5" ht="15.75">
      <c r="B53" s="381"/>
      <c r="C53" s="415"/>
      <c r="D53" s="419"/>
      <c r="E53" s="381"/>
    </row>
    <row r="54" spans="2:5" ht="15.75">
      <c r="B54" s="381"/>
      <c r="C54" s="415"/>
      <c r="D54" s="419"/>
      <c r="E54" s="381"/>
    </row>
    <row r="55" spans="2:5" ht="15.75">
      <c r="B55" s="406"/>
      <c r="C55" s="415"/>
      <c r="D55" s="419"/>
      <c r="E55" s="381"/>
    </row>
    <row r="56" spans="2:5" ht="15.75">
      <c r="B56" s="406"/>
      <c r="C56" s="415"/>
      <c r="D56" s="419"/>
      <c r="E56" s="381"/>
    </row>
    <row r="57" spans="2:5" ht="15.75">
      <c r="B57" s="401" t="s">
        <v>113</v>
      </c>
      <c r="C57" s="415"/>
      <c r="D57" s="419"/>
      <c r="E57" s="381"/>
    </row>
    <row r="58" spans="2:5" ht="15.75">
      <c r="B58" s="387" t="s">
        <v>14</v>
      </c>
      <c r="C58" s="415"/>
      <c r="D58" s="256"/>
      <c r="E58" s="67"/>
    </row>
    <row r="59" spans="2:5" ht="15.75">
      <c r="B59" s="387" t="s">
        <v>775</v>
      </c>
      <c r="C59" s="261">
        <f>IF(C60*0.1&lt;C58,"Exceed 10% Rule","")</f>
      </c>
      <c r="D59" s="261">
        <f>IF(D60*0.1&lt;D58,"Exceed 10% Rule","")</f>
      </c>
      <c r="E59" s="291">
        <f>IF(E60*0.1+E80&lt;E58,"Exceed 10% Rule","")</f>
      </c>
    </row>
    <row r="60" spans="2:5" ht="15.75">
      <c r="B60" s="397" t="s">
        <v>114</v>
      </c>
      <c r="C60" s="416">
        <f>SUM(C47:C58)</f>
        <v>32545</v>
      </c>
      <c r="D60" s="416">
        <f>SUM(D47:D58)</f>
        <v>42202</v>
      </c>
      <c r="E60" s="402">
        <f>SUM(E48:E58)</f>
        <v>8911</v>
      </c>
    </row>
    <row r="61" spans="2:5" ht="15.75">
      <c r="B61" s="397" t="s">
        <v>115</v>
      </c>
      <c r="C61" s="416">
        <f>SUM(C45+C60)</f>
        <v>32545</v>
      </c>
      <c r="D61" s="416">
        <f>SUM(D45+D60)</f>
        <v>42202</v>
      </c>
      <c r="E61" s="402">
        <f>SUM(E45+E60)</f>
        <v>8911</v>
      </c>
    </row>
    <row r="62" spans="2:5" ht="15.75">
      <c r="B62" s="387" t="s">
        <v>117</v>
      </c>
      <c r="C62" s="387"/>
      <c r="D62" s="417"/>
      <c r="E62" s="388"/>
    </row>
    <row r="63" spans="2:5" ht="15.75">
      <c r="B63" s="406" t="s">
        <v>1072</v>
      </c>
      <c r="C63" s="415">
        <v>32545</v>
      </c>
      <c r="D63" s="419">
        <v>42202</v>
      </c>
      <c r="E63" s="381">
        <v>46455</v>
      </c>
    </row>
    <row r="64" spans="2:10" ht="15.75">
      <c r="B64" s="406"/>
      <c r="C64" s="415"/>
      <c r="D64" s="419"/>
      <c r="E64" s="381"/>
      <c r="F64" s="2"/>
      <c r="G64" s="791" t="str">
        <f>CONCATENATE("Desired Carryover Into ",E1+1,"")</f>
        <v>Desired Carryover Into 2014</v>
      </c>
      <c r="H64" s="788"/>
      <c r="I64" s="788"/>
      <c r="J64" s="789"/>
    </row>
    <row r="65" spans="2:10" ht="15.75">
      <c r="B65" s="406"/>
      <c r="C65" s="415"/>
      <c r="D65" s="419"/>
      <c r="E65" s="381"/>
      <c r="F65" s="2"/>
      <c r="G65" s="638"/>
      <c r="H65" s="639"/>
      <c r="I65" s="640"/>
      <c r="J65" s="641"/>
    </row>
    <row r="66" spans="2:10" ht="15.75">
      <c r="B66" s="406"/>
      <c r="C66" s="415"/>
      <c r="D66" s="419"/>
      <c r="E66" s="381"/>
      <c r="F66" s="2"/>
      <c r="G66" s="642" t="s">
        <v>763</v>
      </c>
      <c r="H66" s="640"/>
      <c r="I66" s="640"/>
      <c r="J66" s="643">
        <v>0</v>
      </c>
    </row>
    <row r="67" spans="2:10" ht="15.75">
      <c r="B67" s="406"/>
      <c r="C67" s="415"/>
      <c r="D67" s="419"/>
      <c r="E67" s="381"/>
      <c r="F67" s="2"/>
      <c r="G67" s="638" t="s">
        <v>764</v>
      </c>
      <c r="H67" s="639"/>
      <c r="I67" s="639"/>
      <c r="J67" s="644">
        <f>IF(J66=0,"",ROUND((J66+E80-G79)/inputOth!E7*1000,3)-G84)</f>
      </c>
    </row>
    <row r="68" spans="2:10" ht="15.75">
      <c r="B68" s="406"/>
      <c r="C68" s="415"/>
      <c r="D68" s="419"/>
      <c r="E68" s="381"/>
      <c r="F68" s="2"/>
      <c r="G68" s="645" t="str">
        <f>CONCATENATE("",E1," Tot Exp/Non-Appr Must Be:")</f>
        <v>2013 Tot Exp/Non-Appr Must Be:</v>
      </c>
      <c r="H68" s="646"/>
      <c r="I68" s="647"/>
      <c r="J68" s="648">
        <f>IF(J66&gt;0,IF(E77&lt;E61,IF(J66=G79,E77,((J66-G79)*(1-D79))+E61),E77+(J66-G79)),0)</f>
        <v>0</v>
      </c>
    </row>
    <row r="69" spans="2:10" ht="15.75">
      <c r="B69" s="406"/>
      <c r="C69" s="415"/>
      <c r="D69" s="419"/>
      <c r="E69" s="381"/>
      <c r="F69" s="2"/>
      <c r="G69" s="649" t="s">
        <v>882</v>
      </c>
      <c r="H69" s="650"/>
      <c r="I69" s="650"/>
      <c r="J69" s="651">
        <f>IF(J66&gt;0,J68-E77,0)</f>
        <v>0</v>
      </c>
    </row>
    <row r="70" spans="2:10" ht="15.75">
      <c r="B70" s="390" t="s">
        <v>13</v>
      </c>
      <c r="C70" s="415"/>
      <c r="D70" s="419"/>
      <c r="E70" s="388">
        <f>nhood!E8</f>
        <v>1068</v>
      </c>
      <c r="F70"/>
      <c r="G70" s="2"/>
      <c r="H70" s="2"/>
      <c r="I70" s="2"/>
      <c r="J70" s="2"/>
    </row>
    <row r="71" spans="2:10" ht="15.75">
      <c r="B71" s="390" t="s">
        <v>14</v>
      </c>
      <c r="C71" s="482"/>
      <c r="D71" s="419"/>
      <c r="E71" s="381"/>
      <c r="F71"/>
      <c r="G71" s="791" t="str">
        <f>CONCATENATE("Projected Carryover Into ",E1+1,"")</f>
        <v>Projected Carryover Into 2014</v>
      </c>
      <c r="H71" s="792"/>
      <c r="I71" s="792"/>
      <c r="J71" s="793"/>
    </row>
    <row r="72" spans="2:10" ht="15.75">
      <c r="B72" s="390" t="s">
        <v>776</v>
      </c>
      <c r="C72" s="261">
        <f>IF(C73*0.1&lt;C71,"Exceed 10% Rule","")</f>
      </c>
      <c r="D72" s="261">
        <f>IF(D73*0.1&lt;D71,"Exceed 10% Rule","")</f>
      </c>
      <c r="E72" s="291">
        <f>IF(E73*0.1&lt;E71,"Exceed 10% Rule","")</f>
      </c>
      <c r="F72"/>
      <c r="G72" s="652"/>
      <c r="H72" s="639"/>
      <c r="I72" s="639"/>
      <c r="J72" s="653"/>
    </row>
    <row r="73" spans="2:10" ht="15.75">
      <c r="B73" s="397" t="s">
        <v>121</v>
      </c>
      <c r="C73" s="416">
        <f>SUM(C63:C71)</f>
        <v>32545</v>
      </c>
      <c r="D73" s="416">
        <f>SUM(D63:D71)</f>
        <v>42202</v>
      </c>
      <c r="E73" s="402">
        <f>SUM(E63:E71)</f>
        <v>47523</v>
      </c>
      <c r="F73"/>
      <c r="G73" s="654">
        <f>D74</f>
        <v>0</v>
      </c>
      <c r="H73" s="622" t="str">
        <f>CONCATENATE("",E1-1," Ending Cash Balance (est.)")</f>
        <v>2012 Ending Cash Balance (est.)</v>
      </c>
      <c r="I73" s="655"/>
      <c r="J73" s="653"/>
    </row>
    <row r="74" spans="2:10" ht="15.75">
      <c r="B74" s="387" t="s">
        <v>228</v>
      </c>
      <c r="C74" s="421">
        <f>SUM(C61-C73)</f>
        <v>0</v>
      </c>
      <c r="D74" s="421">
        <f>SUM(D61-D73)</f>
        <v>0</v>
      </c>
      <c r="E74" s="404" t="s">
        <v>94</v>
      </c>
      <c r="F74"/>
      <c r="G74" s="654">
        <f>E60</f>
        <v>8911</v>
      </c>
      <c r="H74" s="640" t="str">
        <f>CONCATENATE("",E1," Non-AV Receipts (est.)")</f>
        <v>2013 Non-AV Receipts (est.)</v>
      </c>
      <c r="I74" s="655"/>
      <c r="J74" s="653"/>
    </row>
    <row r="75" spans="2:11" ht="15.75">
      <c r="B75" s="392" t="str">
        <f>CONCATENATE("",E1-2,"/",E1-1," Budget Authority Amount:")</f>
        <v>2011/2012 Budget Authority Amount:</v>
      </c>
      <c r="C75" s="394">
        <f>inputOth!B62</f>
        <v>34930</v>
      </c>
      <c r="D75" s="394">
        <f>inputPrYr!D19</f>
        <v>43606</v>
      </c>
      <c r="E75" s="404" t="s">
        <v>94</v>
      </c>
      <c r="F75" s="275"/>
      <c r="G75" s="656">
        <f>IF(E79&gt;0,E78,E80)</f>
        <v>38612</v>
      </c>
      <c r="H75" s="640" t="str">
        <f>CONCATENATE("",E1," Ad Valorem Tax (est.)")</f>
        <v>2013 Ad Valorem Tax (est.)</v>
      </c>
      <c r="I75" s="655"/>
      <c r="J75" s="653"/>
      <c r="K75" s="631">
        <f>IF(G75=E80,"","Note: Does not include Delinquent Taxes")</f>
      </c>
    </row>
    <row r="76" spans="2:10" ht="15.75">
      <c r="B76" s="392"/>
      <c r="C76" s="782" t="s">
        <v>662</v>
      </c>
      <c r="D76" s="783"/>
      <c r="E76" s="67"/>
      <c r="F76" s="657">
        <f>IF(E73/0.95-E73&lt;E76,"Exceeds 5%","")</f>
      </c>
      <c r="G76" s="658">
        <f>SUM(G73:G75)</f>
        <v>47523</v>
      </c>
      <c r="H76" s="640" t="str">
        <f>CONCATENATE("Total ",E1," Resources Available")</f>
        <v>Total 2013 Resources Available</v>
      </c>
      <c r="I76" s="659"/>
      <c r="J76" s="653"/>
    </row>
    <row r="77" spans="2:10" ht="15.75">
      <c r="B77" s="519" t="str">
        <f>CONCATENATE(C95,"     ",D95)</f>
        <v>     </v>
      </c>
      <c r="C77" s="784" t="s">
        <v>663</v>
      </c>
      <c r="D77" s="785"/>
      <c r="E77" s="388">
        <f>SUM(E73+E76)</f>
        <v>47523</v>
      </c>
      <c r="F77"/>
      <c r="G77" s="660"/>
      <c r="H77" s="661"/>
      <c r="I77" s="639"/>
      <c r="J77" s="653"/>
    </row>
    <row r="78" spans="2:10" ht="15.75">
      <c r="B78" s="519" t="str">
        <f>CONCATENATE(C96,"     ",D96)</f>
        <v>     </v>
      </c>
      <c r="C78" s="400"/>
      <c r="D78" s="393" t="s">
        <v>122</v>
      </c>
      <c r="E78" s="382">
        <f>IF(E77-E61&gt;0,E77-E61,0)</f>
        <v>38612</v>
      </c>
      <c r="F78"/>
      <c r="G78" s="662">
        <f>ROUND(C73*0.05+C73,0)</f>
        <v>34172</v>
      </c>
      <c r="H78" s="661" t="str">
        <f>CONCATENATE("Less ",E1-2," Expenditures + 5%")</f>
        <v>Less 2011 Expenditures + 5%</v>
      </c>
      <c r="I78" s="659"/>
      <c r="J78" s="653"/>
    </row>
    <row r="79" spans="2:10" ht="15.75">
      <c r="B79" s="393"/>
      <c r="C79" s="375" t="s">
        <v>661</v>
      </c>
      <c r="D79" s="709">
        <f>inputOth!$E$47</f>
        <v>0</v>
      </c>
      <c r="E79" s="388">
        <f>ROUND(IF(D79&gt;0,(E78*D79),0),0)</f>
        <v>0</v>
      </c>
      <c r="F79"/>
      <c r="G79" s="663">
        <f>G76-G78</f>
        <v>13351</v>
      </c>
      <c r="H79" s="664" t="str">
        <f>CONCATENATE("Projected ",E1+1," carryover (est.)")</f>
        <v>Projected 2014 carryover (est.)</v>
      </c>
      <c r="I79" s="665"/>
      <c r="J79" s="666"/>
    </row>
    <row r="80" spans="2:10" ht="16.5" thickBot="1">
      <c r="B80" s="377"/>
      <c r="C80" s="794" t="str">
        <f>CONCATENATE("Amount of  ",E1-1," Ad Valorem Tax")</f>
        <v>Amount of  2012 Ad Valorem Tax</v>
      </c>
      <c r="D80" s="795"/>
      <c r="E80" s="636">
        <f>SUM(E78:E79)</f>
        <v>38612</v>
      </c>
      <c r="F80" s="667" t="str">
        <f>IF('Library Grant'!F33="","",IF('Library Grant'!F33="Qualify","Qualifies for State Library Grant","See 'Library Grant' tab"))</f>
        <v>Qualifies for State Library Grant</v>
      </c>
      <c r="G80" s="2"/>
      <c r="H80" s="2"/>
      <c r="I80" s="2"/>
      <c r="J80" s="2"/>
    </row>
    <row r="81" spans="2:10" ht="16.5" thickTop="1">
      <c r="B81" s="393" t="s">
        <v>124</v>
      </c>
      <c r="C81" s="405">
        <v>9</v>
      </c>
      <c r="D81" s="383"/>
      <c r="E81" s="377"/>
      <c r="F81"/>
      <c r="G81" s="776" t="s">
        <v>881</v>
      </c>
      <c r="H81" s="777"/>
      <c r="I81" s="777"/>
      <c r="J81" s="778"/>
    </row>
    <row r="82" spans="6:10" ht="15.75">
      <c r="F82" s="2"/>
      <c r="G82" s="621"/>
      <c r="H82" s="622"/>
      <c r="I82" s="623"/>
      <c r="J82" s="624"/>
    </row>
    <row r="83" spans="2:10" ht="15.75">
      <c r="B83" s="384"/>
      <c r="C83" s="384"/>
      <c r="D83" s="376"/>
      <c r="E83" s="376"/>
      <c r="F83"/>
      <c r="G83" s="625">
        <f>summ!H17</f>
        <v>11.938</v>
      </c>
      <c r="H83" s="622" t="str">
        <f>CONCATENATE("",E1," Fund Mill Rate")</f>
        <v>2013 Fund Mill Rate</v>
      </c>
      <c r="I83" s="623"/>
      <c r="J83" s="624"/>
    </row>
    <row r="84" spans="6:10" ht="15.75">
      <c r="F84" s="2"/>
      <c r="G84" s="626">
        <f>summ!E17</f>
        <v>11.552</v>
      </c>
      <c r="H84" s="622" t="str">
        <f>CONCATENATE("",E1-1," Fund Mill Rate")</f>
        <v>2012 Fund Mill Rate</v>
      </c>
      <c r="I84" s="623"/>
      <c r="J84" s="624"/>
    </row>
    <row r="85" spans="6:10" ht="15.75">
      <c r="F85" s="2"/>
      <c r="G85" s="627">
        <f>summ!H27</f>
        <v>71.55799999999999</v>
      </c>
      <c r="H85" s="622" t="str">
        <f>CONCATENATE("Total ",E1," Mill Rate")</f>
        <v>Total 2013 Mill Rate</v>
      </c>
      <c r="I85" s="623"/>
      <c r="J85" s="624"/>
    </row>
    <row r="86" spans="6:10" ht="15.75">
      <c r="F86" s="2"/>
      <c r="G86" s="626">
        <f>summ!E27</f>
        <v>71.2</v>
      </c>
      <c r="H86" s="628" t="str">
        <f>CONCATENATE("Total ",E1-1," Mill Rate")</f>
        <v>Total 2012 Mill Rate</v>
      </c>
      <c r="I86" s="629"/>
      <c r="J86" s="630"/>
    </row>
    <row r="88" spans="3:4" ht="15.75">
      <c r="C88" s="378" t="s">
        <v>665</v>
      </c>
      <c r="D88" s="378" t="s">
        <v>665</v>
      </c>
    </row>
    <row r="89" spans="3:4" ht="15.75">
      <c r="C89" s="378" t="s">
        <v>665</v>
      </c>
      <c r="D89" s="378" t="s">
        <v>665</v>
      </c>
    </row>
    <row r="91" spans="3:4" ht="15.75">
      <c r="C91" s="378" t="s">
        <v>665</v>
      </c>
      <c r="D91" s="378" t="s">
        <v>665</v>
      </c>
    </row>
    <row r="92" spans="3:4" ht="1.5" customHeight="1">
      <c r="C92" s="378" t="s">
        <v>665</v>
      </c>
      <c r="D92" s="378" t="s">
        <v>665</v>
      </c>
    </row>
    <row r="93" spans="3:4" ht="15" customHeight="1" hidden="1">
      <c r="C93" s="518">
        <f>IF(C33&gt;C35,"See Tab A","")</f>
      </c>
      <c r="D93" s="518">
        <f>IF(D33&gt;D35,"See Tab C","")</f>
      </c>
    </row>
    <row r="94" spans="3:4" ht="15.75" customHeight="1" hidden="1">
      <c r="C94" s="518">
        <f>IF(C34&lt;0,"See Tab B","")</f>
      </c>
      <c r="D94" s="518">
        <f>IF(D34&lt;0,"See Tab D","")</f>
      </c>
    </row>
    <row r="95" spans="3:4" ht="1.5" customHeight="1" hidden="1">
      <c r="C95" s="518">
        <f>IF(C73&gt;C75,"See Tab A","")</f>
      </c>
      <c r="D95" s="518">
        <f>IF(D73&gt;D75,"See Tab C","")</f>
      </c>
    </row>
    <row r="96" spans="3:4" ht="43.5" customHeight="1" hidden="1">
      <c r="C96" s="518">
        <f>IF(C74&lt;0,"See Tab B","")</f>
      </c>
      <c r="D96" s="518">
        <f>IF(D74&lt;0,"See Tab D","")</f>
      </c>
    </row>
    <row r="97" ht="24.75" customHeight="1"/>
  </sheetData>
  <sheetProtection/>
  <mergeCells count="12">
    <mergeCell ref="C80:D80"/>
    <mergeCell ref="C76:D76"/>
    <mergeCell ref="C77:D77"/>
    <mergeCell ref="C36:D36"/>
    <mergeCell ref="C37:D37"/>
    <mergeCell ref="C40:D40"/>
    <mergeCell ref="G31:J31"/>
    <mergeCell ref="G24:J24"/>
    <mergeCell ref="G41:J41"/>
    <mergeCell ref="G64:J64"/>
    <mergeCell ref="G71:J71"/>
    <mergeCell ref="G81:J81"/>
  </mergeCells>
  <conditionalFormatting sqref="C58">
    <cfRule type="cellIs" priority="22" dxfId="0" operator="greaterThan" stopIfTrue="1">
      <formula>$C$60*0.1</formula>
    </cfRule>
  </conditionalFormatting>
  <conditionalFormatting sqref="D58 D18">
    <cfRule type="cellIs" priority="21" dxfId="2" operator="greaterThan" stopIfTrue="1">
      <formula>$D$20*0.1</formula>
    </cfRule>
  </conditionalFormatting>
  <conditionalFormatting sqref="E58">
    <cfRule type="cellIs" priority="20" dxfId="86" operator="greaterThan" stopIfTrue="1">
      <formula>$E$20*0.1+E80</formula>
    </cfRule>
  </conditionalFormatting>
  <conditionalFormatting sqref="C71">
    <cfRule type="cellIs" priority="19" dxfId="0" operator="greaterThan" stopIfTrue="1">
      <formula>$C$73*0.1</formula>
    </cfRule>
  </conditionalFormatting>
  <conditionalFormatting sqref="D71">
    <cfRule type="cellIs" priority="18" dxfId="0" operator="greaterThan" stopIfTrue="1">
      <formula>$D$73*0.1</formula>
    </cfRule>
  </conditionalFormatting>
  <conditionalFormatting sqref="E71">
    <cfRule type="cellIs" priority="17" dxfId="0" operator="greaterThan" stopIfTrue="1">
      <formula>$E$73*0.1</formula>
    </cfRule>
  </conditionalFormatting>
  <conditionalFormatting sqref="C31">
    <cfRule type="cellIs" priority="16" dxfId="0" operator="greaterThan" stopIfTrue="1">
      <formula>$C$33*0.1</formula>
    </cfRule>
  </conditionalFormatting>
  <conditionalFormatting sqref="D31">
    <cfRule type="cellIs" priority="15" dxfId="0" operator="greaterThan" stopIfTrue="1">
      <formula>$D$33*0.1</formula>
    </cfRule>
  </conditionalFormatting>
  <conditionalFormatting sqref="E31">
    <cfRule type="cellIs" priority="14" dxfId="0" operator="greaterThan" stopIfTrue="1">
      <formula>$E$33*0.1</formula>
    </cfRule>
  </conditionalFormatting>
  <conditionalFormatting sqref="C18">
    <cfRule type="cellIs" priority="12" dxfId="2" operator="greaterThan" stopIfTrue="1">
      <formula>$C$20*0.1</formula>
    </cfRule>
  </conditionalFormatting>
  <conditionalFormatting sqref="E18">
    <cfRule type="cellIs" priority="11" dxfId="86" operator="greaterThan" stopIfTrue="1">
      <formula>$E$20*0.1+E40</formula>
    </cfRule>
  </conditionalFormatting>
  <conditionalFormatting sqref="E36">
    <cfRule type="cellIs" priority="10" dxfId="86" operator="greaterThan" stopIfTrue="1">
      <formula>$E$33/0.95-$E$33</formula>
    </cfRule>
  </conditionalFormatting>
  <conditionalFormatting sqref="E76">
    <cfRule type="cellIs" priority="9" dxfId="86" operator="greaterThan" stopIfTrue="1">
      <formula>$E$73/0.95-$E$73</formula>
    </cfRule>
  </conditionalFormatting>
  <conditionalFormatting sqref="C33">
    <cfRule type="cellIs" priority="8" dxfId="0" operator="greaterThan" stopIfTrue="1">
      <formula>$C$35</formula>
    </cfRule>
  </conditionalFormatting>
  <conditionalFormatting sqref="D74">
    <cfRule type="cellIs" priority="7" dxfId="0" operator="lessThan" stopIfTrue="1">
      <formula>0</formula>
    </cfRule>
  </conditionalFormatting>
  <conditionalFormatting sqref="D33">
    <cfRule type="cellIs" priority="6" dxfId="0" operator="greaterThan" stopIfTrue="1">
      <formula>$D$35</formula>
    </cfRule>
  </conditionalFormatting>
  <conditionalFormatting sqref="C73">
    <cfRule type="cellIs" priority="4" dxfId="0" operator="greaterThan" stopIfTrue="1">
      <formula>$C$75</formula>
    </cfRule>
  </conditionalFormatting>
  <conditionalFormatting sqref="D73">
    <cfRule type="cellIs" priority="2" dxfId="0" operator="greaterThan" stopIfTrue="1">
      <formula>$D$75</formula>
    </cfRule>
  </conditionalFormatting>
  <printOptions/>
  <pageMargins left="0.75" right="0.75" top="1" bottom="1" header="0.5" footer="0.5"/>
  <pageSetup blackAndWhite="1" fitToHeight="1" fitToWidth="1" horizontalDpi="600" verticalDpi="600" orientation="portrait" scale="57"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F132"/>
  <sheetViews>
    <sheetView zoomScalePageLayoutView="0" workbookViewId="0" topLeftCell="A58">
      <selection activeCell="D52" sqref="D52"/>
    </sheetView>
  </sheetViews>
  <sheetFormatPr defaultColWidth="8.796875" defaultRowHeight="15"/>
  <cols>
    <col min="1" max="1" width="28.296875" style="32" customWidth="1"/>
    <col min="2" max="3" width="15.796875" style="32" customWidth="1"/>
    <col min="4" max="4" width="16.09765625" style="32" customWidth="1"/>
    <col min="5" max="16384" width="8.8984375" style="32" customWidth="1"/>
  </cols>
  <sheetData>
    <row r="1" spans="1:4" ht="15.75">
      <c r="A1" s="197" t="str">
        <f>inputPrYr!D2</f>
        <v>City of Frankfort</v>
      </c>
      <c r="B1" s="47"/>
      <c r="C1" s="171"/>
      <c r="D1" s="47">
        <f>inputPrYr!C5</f>
        <v>2013</v>
      </c>
    </row>
    <row r="2" spans="1:4" ht="15.75">
      <c r="A2" s="47"/>
      <c r="B2" s="47"/>
      <c r="C2" s="47"/>
      <c r="D2" s="171"/>
    </row>
    <row r="3" spans="1:4" ht="15.75">
      <c r="A3" s="558"/>
      <c r="B3" s="277"/>
      <c r="C3" s="277"/>
      <c r="D3" s="277"/>
    </row>
    <row r="4" spans="1:4" ht="15.75">
      <c r="A4" s="697" t="s">
        <v>105</v>
      </c>
      <c r="B4" s="278" t="s">
        <v>940</v>
      </c>
      <c r="C4" s="144" t="s">
        <v>941</v>
      </c>
      <c r="D4" s="144" t="s">
        <v>942</v>
      </c>
    </row>
    <row r="5" spans="1:4" ht="15.75">
      <c r="A5" s="558" t="s">
        <v>399</v>
      </c>
      <c r="B5" s="251" t="str">
        <f>CONCATENATE("Actual for ",D1-2,"")</f>
        <v>Actual for 2011</v>
      </c>
      <c r="C5" s="251" t="str">
        <f>CONCATENATE("Estimate for ",D1-1,"")</f>
        <v>Estimate for 2012</v>
      </c>
      <c r="D5" s="251" t="str">
        <f>CONCATENATE("Year for ",D1,"")</f>
        <v>Year for 2013</v>
      </c>
    </row>
    <row r="6" spans="1:4" ht="15.75">
      <c r="A6" s="226" t="s">
        <v>117</v>
      </c>
      <c r="B6" s="87"/>
      <c r="C6" s="87"/>
      <c r="D6" s="87"/>
    </row>
    <row r="7" spans="1:4" ht="15.75">
      <c r="A7" s="279" t="s">
        <v>1010</v>
      </c>
      <c r="B7" s="87"/>
      <c r="C7" s="87"/>
      <c r="D7" s="87"/>
    </row>
    <row r="8" spans="1:4" ht="15.75">
      <c r="A8" s="280" t="s">
        <v>125</v>
      </c>
      <c r="B8" s="259">
        <v>43830</v>
      </c>
      <c r="C8" s="259">
        <v>43900</v>
      </c>
      <c r="D8" s="259">
        <v>42960</v>
      </c>
    </row>
    <row r="9" spans="1:4" ht="15.75">
      <c r="A9" s="280" t="s">
        <v>118</v>
      </c>
      <c r="B9" s="259">
        <v>36327</v>
      </c>
      <c r="C9" s="259">
        <v>45000</v>
      </c>
      <c r="D9" s="259">
        <v>49140</v>
      </c>
    </row>
    <row r="10" spans="1:4" ht="15.75">
      <c r="A10" s="280" t="s">
        <v>119</v>
      </c>
      <c r="B10" s="259">
        <v>5639</v>
      </c>
      <c r="C10" s="259">
        <v>8000</v>
      </c>
      <c r="D10" s="259">
        <v>8300</v>
      </c>
    </row>
    <row r="11" spans="1:4" ht="15.75">
      <c r="A11" s="280" t="s">
        <v>120</v>
      </c>
      <c r="B11" s="259">
        <v>0</v>
      </c>
      <c r="C11" s="259">
        <v>0</v>
      </c>
      <c r="D11" s="259">
        <v>0</v>
      </c>
    </row>
    <row r="12" spans="1:4" ht="15.75">
      <c r="A12" s="226" t="s">
        <v>1011</v>
      </c>
      <c r="B12" s="264">
        <f>SUM(B8:B11)</f>
        <v>85796</v>
      </c>
      <c r="C12" s="264">
        <f>SUM(C8:C11)</f>
        <v>96900</v>
      </c>
      <c r="D12" s="264">
        <f>SUM(D8:D11)</f>
        <v>100400</v>
      </c>
    </row>
    <row r="13" spans="1:4" ht="15.75">
      <c r="A13" s="697"/>
      <c r="B13" s="723"/>
      <c r="C13" s="723"/>
      <c r="D13" s="723"/>
    </row>
    <row r="14" spans="1:4" ht="15.75">
      <c r="A14" s="281" t="s">
        <v>1012</v>
      </c>
      <c r="B14" s="197"/>
      <c r="C14" s="197"/>
      <c r="D14" s="197"/>
    </row>
    <row r="15" spans="1:4" ht="15.75">
      <c r="A15" s="280" t="s">
        <v>125</v>
      </c>
      <c r="B15" s="259">
        <v>14377</v>
      </c>
      <c r="C15" s="259">
        <v>23000</v>
      </c>
      <c r="D15" s="259">
        <v>23000</v>
      </c>
    </row>
    <row r="16" spans="1:4" ht="15.75">
      <c r="A16" s="280" t="s">
        <v>118</v>
      </c>
      <c r="B16" s="259">
        <v>13609</v>
      </c>
      <c r="C16" s="259">
        <v>24000</v>
      </c>
      <c r="D16" s="259">
        <v>16000</v>
      </c>
    </row>
    <row r="17" spans="1:4" ht="15.75">
      <c r="A17" s="280" t="s">
        <v>119</v>
      </c>
      <c r="B17" s="259">
        <v>15981</v>
      </c>
      <c r="C17" s="259">
        <v>22000</v>
      </c>
      <c r="D17" s="259">
        <v>25000</v>
      </c>
    </row>
    <row r="18" spans="1:4" ht="15.75">
      <c r="A18" s="280" t="s">
        <v>120</v>
      </c>
      <c r="B18" s="259">
        <v>46101</v>
      </c>
      <c r="C18" s="259">
        <v>53119</v>
      </c>
      <c r="D18" s="259">
        <f>75769-24000</f>
        <v>51769</v>
      </c>
    </row>
    <row r="19" spans="1:4" ht="15.75">
      <c r="A19" s="226" t="s">
        <v>1013</v>
      </c>
      <c r="B19" s="264">
        <f>SUM(B15:B18)</f>
        <v>90068</v>
      </c>
      <c r="C19" s="264">
        <f>SUM(C15:C18)</f>
        <v>122119</v>
      </c>
      <c r="D19" s="264">
        <f>SUM(D15:D18)</f>
        <v>115769</v>
      </c>
    </row>
    <row r="20" spans="1:4" ht="15.75">
      <c r="A20" s="697"/>
      <c r="B20" s="723"/>
      <c r="C20" s="723"/>
      <c r="D20" s="723"/>
    </row>
    <row r="21" spans="1:4" ht="15.75">
      <c r="A21" s="281" t="s">
        <v>1015</v>
      </c>
      <c r="B21" s="197"/>
      <c r="C21" s="197"/>
      <c r="D21" s="197"/>
    </row>
    <row r="22" spans="1:4" ht="15.75">
      <c r="A22" s="280" t="s">
        <v>125</v>
      </c>
      <c r="B22" s="259">
        <v>5605</v>
      </c>
      <c r="C22" s="259">
        <v>10000</v>
      </c>
      <c r="D22" s="259">
        <v>12000</v>
      </c>
    </row>
    <row r="23" spans="1:4" ht="15.75">
      <c r="A23" s="280" t="s">
        <v>118</v>
      </c>
      <c r="B23" s="259">
        <v>4939</v>
      </c>
      <c r="C23" s="259">
        <v>6000</v>
      </c>
      <c r="D23" s="259">
        <v>6000</v>
      </c>
    </row>
    <row r="24" spans="1:4" ht="15.75">
      <c r="A24" s="280" t="s">
        <v>119</v>
      </c>
      <c r="B24" s="259">
        <v>2686</v>
      </c>
      <c r="C24" s="259">
        <v>6000</v>
      </c>
      <c r="D24" s="259">
        <v>6000</v>
      </c>
    </row>
    <row r="25" spans="1:4" ht="15.75">
      <c r="A25" s="280" t="s">
        <v>120</v>
      </c>
      <c r="B25" s="259">
        <v>0</v>
      </c>
      <c r="C25" s="259">
        <v>0</v>
      </c>
      <c r="D25" s="259">
        <v>0</v>
      </c>
    </row>
    <row r="26" spans="1:4" ht="15.75">
      <c r="A26" s="226" t="s">
        <v>1014</v>
      </c>
      <c r="B26" s="264">
        <f>SUM(B22:B25)</f>
        <v>13230</v>
      </c>
      <c r="C26" s="264">
        <f>SUM(C22:C25)</f>
        <v>22000</v>
      </c>
      <c r="D26" s="264">
        <f>SUM(D22:D25)</f>
        <v>24000</v>
      </c>
    </row>
    <row r="27" spans="1:4" ht="15.75">
      <c r="A27" s="281"/>
      <c r="B27" s="197"/>
      <c r="C27" s="197"/>
      <c r="D27" s="197"/>
    </row>
    <row r="28" spans="1:4" ht="15.75">
      <c r="A28" s="281" t="s">
        <v>1016</v>
      </c>
      <c r="B28" s="197"/>
      <c r="C28" s="197"/>
      <c r="D28" s="197"/>
    </row>
    <row r="29" spans="1:4" ht="15.75">
      <c r="A29" s="280" t="s">
        <v>125</v>
      </c>
      <c r="B29" s="259">
        <v>5719</v>
      </c>
      <c r="C29" s="259">
        <v>6900</v>
      </c>
      <c r="D29" s="259">
        <v>6900</v>
      </c>
    </row>
    <row r="30" spans="1:4" ht="15.75">
      <c r="A30" s="280" t="s">
        <v>118</v>
      </c>
      <c r="B30" s="259">
        <v>7188</v>
      </c>
      <c r="C30" s="259">
        <v>7400</v>
      </c>
      <c r="D30" s="259">
        <v>7400</v>
      </c>
    </row>
    <row r="31" spans="1:4" ht="15.75">
      <c r="A31" s="280" t="s">
        <v>119</v>
      </c>
      <c r="B31" s="259">
        <v>3510</v>
      </c>
      <c r="C31" s="259">
        <v>13000</v>
      </c>
      <c r="D31" s="259">
        <v>13000</v>
      </c>
    </row>
    <row r="32" spans="1:4" ht="15.75">
      <c r="A32" s="280" t="s">
        <v>120</v>
      </c>
      <c r="B32" s="259">
        <v>18916</v>
      </c>
      <c r="C32" s="259">
        <v>10000</v>
      </c>
      <c r="D32" s="259">
        <v>10000</v>
      </c>
    </row>
    <row r="33" spans="1:4" ht="15.75">
      <c r="A33" s="226" t="s">
        <v>1017</v>
      </c>
      <c r="B33" s="264">
        <f>SUM(B29:B32)</f>
        <v>35333</v>
      </c>
      <c r="C33" s="264">
        <f>SUM(C29:C32)</f>
        <v>37300</v>
      </c>
      <c r="D33" s="264">
        <f>SUM(D29:D32)</f>
        <v>37300</v>
      </c>
    </row>
    <row r="34" spans="1:4" ht="15.75">
      <c r="A34" s="697"/>
      <c r="B34" s="723"/>
      <c r="C34" s="723"/>
      <c r="D34" s="723"/>
    </row>
    <row r="35" spans="1:4" ht="15.75">
      <c r="A35" s="281" t="s">
        <v>1019</v>
      </c>
      <c r="B35" s="197"/>
      <c r="C35" s="197"/>
      <c r="D35" s="197"/>
    </row>
    <row r="36" spans="1:4" ht="15.75">
      <c r="A36" s="280" t="s">
        <v>125</v>
      </c>
      <c r="B36" s="259">
        <v>20347</v>
      </c>
      <c r="C36" s="259">
        <v>23970</v>
      </c>
      <c r="D36" s="259">
        <v>23970</v>
      </c>
    </row>
    <row r="37" spans="1:4" ht="15.75">
      <c r="A37" s="280" t="s">
        <v>118</v>
      </c>
      <c r="B37" s="259">
        <v>14801</v>
      </c>
      <c r="C37" s="259">
        <v>14000</v>
      </c>
      <c r="D37" s="259">
        <v>14000</v>
      </c>
    </row>
    <row r="38" spans="1:4" ht="15.75">
      <c r="A38" s="280" t="s">
        <v>119</v>
      </c>
      <c r="B38" s="259">
        <v>14097</v>
      </c>
      <c r="C38" s="259">
        <v>12000</v>
      </c>
      <c r="D38" s="259">
        <v>12000</v>
      </c>
    </row>
    <row r="39" spans="1:4" ht="15.75">
      <c r="A39" s="280" t="s">
        <v>120</v>
      </c>
      <c r="B39" s="259">
        <v>0</v>
      </c>
      <c r="C39" s="259">
        <v>0</v>
      </c>
      <c r="D39" s="259">
        <v>0</v>
      </c>
    </row>
    <row r="40" spans="1:4" ht="15.75">
      <c r="A40" s="226" t="s">
        <v>1018</v>
      </c>
      <c r="B40" s="264">
        <f>SUM(B36:B39)</f>
        <v>49245</v>
      </c>
      <c r="C40" s="264">
        <f>SUM(C36:C39)</f>
        <v>49970</v>
      </c>
      <c r="D40" s="264">
        <f>SUM(D36:D39)</f>
        <v>49970</v>
      </c>
    </row>
    <row r="41" spans="1:4" ht="15.75">
      <c r="A41" s="281"/>
      <c r="B41" s="197"/>
      <c r="C41" s="197"/>
      <c r="D41" s="197"/>
    </row>
    <row r="42" spans="1:4" ht="15.75">
      <c r="A42" s="281" t="s">
        <v>1020</v>
      </c>
      <c r="B42" s="197"/>
      <c r="C42" s="197"/>
      <c r="D42" s="197"/>
    </row>
    <row r="43" spans="1:4" ht="15.75">
      <c r="A43" s="280" t="s">
        <v>1022</v>
      </c>
      <c r="B43" s="259">
        <v>11909</v>
      </c>
      <c r="C43" s="259">
        <v>12600</v>
      </c>
      <c r="D43" s="259">
        <v>13400</v>
      </c>
    </row>
    <row r="44" spans="1:4" ht="15.75">
      <c r="A44" s="280" t="s">
        <v>1023</v>
      </c>
      <c r="B44" s="259">
        <v>5576</v>
      </c>
      <c r="C44" s="259">
        <v>5900</v>
      </c>
      <c r="D44" s="259">
        <v>8400</v>
      </c>
    </row>
    <row r="45" spans="1:4" ht="15.75">
      <c r="A45" s="280" t="s">
        <v>1024</v>
      </c>
      <c r="B45" s="259">
        <v>30087</v>
      </c>
      <c r="C45" s="259">
        <v>35200</v>
      </c>
      <c r="D45" s="259">
        <v>38720</v>
      </c>
    </row>
    <row r="46" spans="1:4" ht="15.75">
      <c r="A46" s="226" t="s">
        <v>1021</v>
      </c>
      <c r="B46" s="264">
        <f>SUM(B43:B45)</f>
        <v>47572</v>
      </c>
      <c r="C46" s="264">
        <f>SUM(C43:C45)</f>
        <v>53700</v>
      </c>
      <c r="D46" s="264">
        <f>SUM(D43:D45)</f>
        <v>60520</v>
      </c>
    </row>
    <row r="47" spans="1:4" ht="15.75">
      <c r="A47" s="281"/>
      <c r="B47" s="197"/>
      <c r="C47" s="197"/>
      <c r="D47" s="197"/>
    </row>
    <row r="48" spans="1:4" ht="15.75">
      <c r="A48" s="281" t="s">
        <v>1025</v>
      </c>
      <c r="B48" s="197"/>
      <c r="C48" s="197"/>
      <c r="D48" s="197"/>
    </row>
    <row r="49" spans="1:4" ht="15.75">
      <c r="A49" s="280" t="s">
        <v>125</v>
      </c>
      <c r="B49" s="259">
        <v>6594</v>
      </c>
      <c r="C49" s="259">
        <v>9000</v>
      </c>
      <c r="D49" s="259">
        <v>9000</v>
      </c>
    </row>
    <row r="50" spans="1:4" ht="15.75">
      <c r="A50" s="280" t="s">
        <v>118</v>
      </c>
      <c r="B50" s="259">
        <v>0</v>
      </c>
      <c r="C50" s="259">
        <v>5000</v>
      </c>
      <c r="D50" s="259">
        <v>5000</v>
      </c>
    </row>
    <row r="51" spans="1:4" ht="15.75">
      <c r="A51" s="280" t="s">
        <v>119</v>
      </c>
      <c r="B51" s="259">
        <v>7997</v>
      </c>
      <c r="C51" s="259">
        <v>19000</v>
      </c>
      <c r="D51" s="259">
        <v>19000</v>
      </c>
    </row>
    <row r="52" spans="1:4" ht="15.75">
      <c r="A52" s="280" t="s">
        <v>120</v>
      </c>
      <c r="B52" s="259">
        <v>24000</v>
      </c>
      <c r="C52" s="259">
        <v>24000</v>
      </c>
      <c r="D52" s="259">
        <v>24000</v>
      </c>
    </row>
    <row r="53" spans="1:4" ht="15.75">
      <c r="A53" s="226" t="s">
        <v>1026</v>
      </c>
      <c r="B53" s="264">
        <f>SUM(B49:B52)</f>
        <v>38591</v>
      </c>
      <c r="C53" s="264">
        <f>SUM(C49:C52)</f>
        <v>57000</v>
      </c>
      <c r="D53" s="264">
        <f>SUM(D49:D52)</f>
        <v>57000</v>
      </c>
    </row>
    <row r="54" spans="1:4" ht="15.75">
      <c r="A54" s="281"/>
      <c r="B54" s="197"/>
      <c r="C54" s="197"/>
      <c r="D54" s="197"/>
    </row>
    <row r="55" spans="1:4" ht="15.75">
      <c r="A55" s="281" t="s">
        <v>1027</v>
      </c>
      <c r="B55" s="197"/>
      <c r="C55" s="197"/>
      <c r="D55" s="197"/>
    </row>
    <row r="56" spans="1:4" ht="15.75">
      <c r="A56" s="280" t="s">
        <v>1028</v>
      </c>
      <c r="B56" s="259">
        <v>0</v>
      </c>
      <c r="C56" s="259">
        <v>0</v>
      </c>
      <c r="D56" s="259">
        <v>0</v>
      </c>
    </row>
    <row r="57" spans="1:4" ht="15.75">
      <c r="A57" s="280" t="s">
        <v>1029</v>
      </c>
      <c r="B57" s="259">
        <v>0</v>
      </c>
      <c r="C57" s="259">
        <v>0</v>
      </c>
      <c r="D57" s="259">
        <v>0</v>
      </c>
    </row>
    <row r="58" spans="1:4" ht="15.75">
      <c r="A58" s="280"/>
      <c r="B58" s="259"/>
      <c r="C58" s="259"/>
      <c r="D58" s="259"/>
    </row>
    <row r="59" spans="1:4" ht="15.75">
      <c r="A59" s="280"/>
      <c r="B59" s="259"/>
      <c r="C59" s="259"/>
      <c r="D59" s="259"/>
    </row>
    <row r="60" spans="1:4" ht="15.75">
      <c r="A60" s="226" t="s">
        <v>1030</v>
      </c>
      <c r="B60" s="264">
        <f>SUM(B56:B59)</f>
        <v>0</v>
      </c>
      <c r="C60" s="264">
        <f>SUM(C56:C59)</f>
        <v>0</v>
      </c>
      <c r="D60" s="264">
        <f>SUM(D56:D59)</f>
        <v>0</v>
      </c>
    </row>
    <row r="61" spans="1:4" ht="15.75">
      <c r="A61" s="47"/>
      <c r="B61" s="197"/>
      <c r="C61" s="197"/>
      <c r="D61" s="197"/>
    </row>
    <row r="62" spans="1:4" ht="16.5" thickBot="1">
      <c r="A62" s="226" t="s">
        <v>395</v>
      </c>
      <c r="B62" s="282">
        <f>B12+B19+B26+B33+B40+B46+B53+B60</f>
        <v>359835</v>
      </c>
      <c r="C62" s="282">
        <f>C12+C19+C26+C33+C40+C46+C53+C60</f>
        <v>438989</v>
      </c>
      <c r="D62" s="282">
        <f>D12+D19+D26+D33+D40+D46+D53+D60</f>
        <v>444959</v>
      </c>
    </row>
    <row r="63" spans="1:4" ht="16.5" thickTop="1">
      <c r="A63" s="283"/>
      <c r="B63" s="197"/>
      <c r="C63" s="197"/>
      <c r="D63" s="197"/>
    </row>
    <row r="64" spans="1:4" ht="15.75">
      <c r="A64" s="393" t="s">
        <v>124</v>
      </c>
      <c r="B64" s="197" t="str">
        <f>CONCATENATE("",general!C59,"b")</f>
        <v>8b</v>
      </c>
      <c r="C64" s="197"/>
      <c r="D64" s="197"/>
    </row>
    <row r="65" spans="1:4" ht="15.75">
      <c r="A65" s="47"/>
      <c r="B65" s="197"/>
      <c r="C65" s="197"/>
      <c r="D65" s="197"/>
    </row>
    <row r="66" spans="1:4" ht="15.75">
      <c r="A66" s="197" t="str">
        <f>A1</f>
        <v>City of Frankfort</v>
      </c>
      <c r="B66" s="47"/>
      <c r="C66" s="171"/>
      <c r="D66" s="47">
        <f>D1</f>
        <v>2013</v>
      </c>
    </row>
    <row r="67" spans="1:4" ht="15.75">
      <c r="A67" s="47"/>
      <c r="B67" s="47"/>
      <c r="C67" s="47"/>
      <c r="D67" s="171"/>
    </row>
    <row r="68" spans="1:6" ht="15.75">
      <c r="A68" s="249"/>
      <c r="B68" s="221"/>
      <c r="C68" s="221"/>
      <c r="D68" s="221"/>
      <c r="F68" s="700"/>
    </row>
    <row r="69" spans="1:6" ht="15.75">
      <c r="A69" s="698" t="s">
        <v>105</v>
      </c>
      <c r="B69" s="557" t="str">
        <f aca="true" t="shared" si="0" ref="B69:D70">B4</f>
        <v>Prior Year </v>
      </c>
      <c r="C69" s="699" t="str">
        <f t="shared" si="0"/>
        <v>Current Year </v>
      </c>
      <c r="D69" s="556" t="str">
        <f t="shared" si="0"/>
        <v>Proposed Budget </v>
      </c>
      <c r="F69" s="700"/>
    </row>
    <row r="70" spans="1:4" ht="15.75">
      <c r="A70" s="558" t="s">
        <v>400</v>
      </c>
      <c r="B70" s="251" t="str">
        <f t="shared" si="0"/>
        <v>Actual for 2011</v>
      </c>
      <c r="C70" s="251" t="str">
        <f t="shared" si="0"/>
        <v>Estimate for 2012</v>
      </c>
      <c r="D70" s="251" t="str">
        <f t="shared" si="0"/>
        <v>Year for 2013</v>
      </c>
    </row>
    <row r="71" spans="1:4" ht="15.75">
      <c r="A71" s="226" t="s">
        <v>117</v>
      </c>
      <c r="B71" s="87"/>
      <c r="C71" s="87"/>
      <c r="D71" s="87"/>
    </row>
    <row r="72" spans="1:4" ht="15.75">
      <c r="A72" s="279"/>
      <c r="B72" s="87"/>
      <c r="C72" s="87"/>
      <c r="D72" s="87"/>
    </row>
    <row r="73" spans="1:4" ht="15.75">
      <c r="A73" s="280" t="s">
        <v>125</v>
      </c>
      <c r="B73" s="259"/>
      <c r="C73" s="259"/>
      <c r="D73" s="259"/>
    </row>
    <row r="74" spans="1:4" ht="15.75">
      <c r="A74" s="280" t="s">
        <v>118</v>
      </c>
      <c r="B74" s="259"/>
      <c r="C74" s="259"/>
      <c r="D74" s="259"/>
    </row>
    <row r="75" spans="1:4" ht="15.75">
      <c r="A75" s="280" t="s">
        <v>119</v>
      </c>
      <c r="B75" s="259"/>
      <c r="C75" s="259"/>
      <c r="D75" s="259"/>
    </row>
    <row r="76" spans="1:4" ht="15.75">
      <c r="A76" s="280" t="s">
        <v>120</v>
      </c>
      <c r="B76" s="259"/>
      <c r="C76" s="259"/>
      <c r="D76" s="259"/>
    </row>
    <row r="77" spans="1:4" ht="15.75">
      <c r="A77" s="69"/>
      <c r="B77" s="259"/>
      <c r="C77" s="259"/>
      <c r="D77" s="259"/>
    </row>
    <row r="78" spans="1:4" ht="15.75">
      <c r="A78" s="226" t="s">
        <v>77</v>
      </c>
      <c r="B78" s="264">
        <f>SUM(B73:B77)</f>
        <v>0</v>
      </c>
      <c r="C78" s="264">
        <f>SUM(C73:C77)</f>
        <v>0</v>
      </c>
      <c r="D78" s="264">
        <f>SUM(D73:D77)</f>
        <v>0</v>
      </c>
    </row>
    <row r="79" spans="1:4" ht="15.75">
      <c r="A79" s="281"/>
      <c r="B79" s="197"/>
      <c r="C79" s="197"/>
      <c r="D79" s="197"/>
    </row>
    <row r="80" spans="1:4" ht="15.75">
      <c r="A80" s="280" t="s">
        <v>125</v>
      </c>
      <c r="B80" s="259"/>
      <c r="C80" s="259"/>
      <c r="D80" s="259"/>
    </row>
    <row r="81" spans="1:4" ht="15.75">
      <c r="A81" s="280" t="s">
        <v>118</v>
      </c>
      <c r="B81" s="259"/>
      <c r="C81" s="259"/>
      <c r="D81" s="259"/>
    </row>
    <row r="82" spans="1:4" ht="15.75">
      <c r="A82" s="280" t="s">
        <v>119</v>
      </c>
      <c r="B82" s="259"/>
      <c r="C82" s="259"/>
      <c r="D82" s="259"/>
    </row>
    <row r="83" spans="1:4" ht="15.75">
      <c r="A83" s="280" t="s">
        <v>120</v>
      </c>
      <c r="B83" s="259"/>
      <c r="C83" s="259"/>
      <c r="D83" s="259"/>
    </row>
    <row r="84" spans="1:4" ht="15.75">
      <c r="A84" s="280"/>
      <c r="B84" s="259"/>
      <c r="C84" s="259"/>
      <c r="D84" s="259"/>
    </row>
    <row r="85" spans="1:4" ht="15.75">
      <c r="A85" s="226" t="s">
        <v>77</v>
      </c>
      <c r="B85" s="264">
        <f>SUM(B80:B84)</f>
        <v>0</v>
      </c>
      <c r="C85" s="264">
        <f>SUM(C80:C84)</f>
        <v>0</v>
      </c>
      <c r="D85" s="264">
        <f>SUM(D80:D84)</f>
        <v>0</v>
      </c>
    </row>
    <row r="86" spans="1:4" ht="15.75">
      <c r="A86" s="281"/>
      <c r="B86" s="197"/>
      <c r="C86" s="197"/>
      <c r="D86" s="197"/>
    </row>
    <row r="87" spans="1:4" ht="15.75">
      <c r="A87" s="280" t="s">
        <v>125</v>
      </c>
      <c r="B87" s="259"/>
      <c r="C87" s="259"/>
      <c r="D87" s="259"/>
    </row>
    <row r="88" spans="1:4" ht="15.75">
      <c r="A88" s="280" t="s">
        <v>118</v>
      </c>
      <c r="B88" s="259"/>
      <c r="C88" s="259"/>
      <c r="D88" s="259"/>
    </row>
    <row r="89" spans="1:4" ht="15.75">
      <c r="A89" s="280" t="s">
        <v>119</v>
      </c>
      <c r="B89" s="259"/>
      <c r="C89" s="259"/>
      <c r="D89" s="259"/>
    </row>
    <row r="90" spans="1:4" ht="15.75">
      <c r="A90" s="280" t="s">
        <v>120</v>
      </c>
      <c r="B90" s="259"/>
      <c r="C90" s="259"/>
      <c r="D90" s="259"/>
    </row>
    <row r="91" spans="1:4" ht="15.75">
      <c r="A91" s="280"/>
      <c r="B91" s="259"/>
      <c r="C91" s="259"/>
      <c r="D91" s="259"/>
    </row>
    <row r="92" spans="1:4" ht="15.75">
      <c r="A92" s="226" t="s">
        <v>77</v>
      </c>
      <c r="B92" s="264">
        <f>SUM(B87:B91)</f>
        <v>0</v>
      </c>
      <c r="C92" s="264">
        <f>SUM(C87:C91)</f>
        <v>0</v>
      </c>
      <c r="D92" s="264">
        <f>SUM(D87:D91)</f>
        <v>0</v>
      </c>
    </row>
    <row r="93" spans="1:4" ht="15.75">
      <c r="A93" s="281"/>
      <c r="B93" s="197"/>
      <c r="C93" s="197"/>
      <c r="D93" s="197"/>
    </row>
    <row r="94" spans="1:4" ht="15.75">
      <c r="A94" s="280" t="s">
        <v>125</v>
      </c>
      <c r="B94" s="259"/>
      <c r="C94" s="259"/>
      <c r="D94" s="259"/>
    </row>
    <row r="95" spans="1:4" ht="15.75">
      <c r="A95" s="280" t="s">
        <v>118</v>
      </c>
      <c r="B95" s="259"/>
      <c r="C95" s="259"/>
      <c r="D95" s="259"/>
    </row>
    <row r="96" spans="1:4" ht="15.75">
      <c r="A96" s="280" t="s">
        <v>119</v>
      </c>
      <c r="B96" s="259"/>
      <c r="C96" s="259"/>
      <c r="D96" s="259"/>
    </row>
    <row r="97" spans="1:4" ht="15.75">
      <c r="A97" s="280" t="s">
        <v>120</v>
      </c>
      <c r="B97" s="259"/>
      <c r="C97" s="259"/>
      <c r="D97" s="259"/>
    </row>
    <row r="98" spans="1:4" ht="15.75">
      <c r="A98" s="226" t="s">
        <v>77</v>
      </c>
      <c r="B98" s="264">
        <f>SUM(B94:B97)</f>
        <v>0</v>
      </c>
      <c r="C98" s="264">
        <f>SUM(C94:C97)</f>
        <v>0</v>
      </c>
      <c r="D98" s="264">
        <f>SUM(D94:D97)</f>
        <v>0</v>
      </c>
    </row>
    <row r="99" spans="1:4" ht="15.75">
      <c r="A99" s="281"/>
      <c r="B99" s="197"/>
      <c r="C99" s="197"/>
      <c r="D99" s="197"/>
    </row>
    <row r="100" spans="1:4" ht="15.75">
      <c r="A100" s="280" t="s">
        <v>125</v>
      </c>
      <c r="B100" s="259"/>
      <c r="C100" s="259"/>
      <c r="D100" s="259"/>
    </row>
    <row r="101" spans="1:4" ht="15.75">
      <c r="A101" s="280" t="s">
        <v>118</v>
      </c>
      <c r="B101" s="259"/>
      <c r="C101" s="259"/>
      <c r="D101" s="259"/>
    </row>
    <row r="102" spans="1:4" ht="15.75">
      <c r="A102" s="280" t="s">
        <v>119</v>
      </c>
      <c r="B102" s="259"/>
      <c r="C102" s="259"/>
      <c r="D102" s="259"/>
    </row>
    <row r="103" spans="1:4" ht="15.75">
      <c r="A103" s="280" t="s">
        <v>120</v>
      </c>
      <c r="B103" s="259"/>
      <c r="C103" s="259"/>
      <c r="D103" s="259"/>
    </row>
    <row r="104" spans="1:4" ht="15.75">
      <c r="A104" s="280"/>
      <c r="B104" s="259"/>
      <c r="C104" s="259"/>
      <c r="D104" s="259"/>
    </row>
    <row r="105" spans="1:4" ht="15.75">
      <c r="A105" s="226" t="s">
        <v>77</v>
      </c>
      <c r="B105" s="264">
        <f>SUM(B100:B104)</f>
        <v>0</v>
      </c>
      <c r="C105" s="264">
        <f>SUM(C100:C104)</f>
        <v>0</v>
      </c>
      <c r="D105" s="264">
        <f>SUM(D100:D104)</f>
        <v>0</v>
      </c>
    </row>
    <row r="106" spans="1:4" ht="15.75">
      <c r="A106" s="281"/>
      <c r="B106" s="197"/>
      <c r="C106" s="197"/>
      <c r="D106" s="197"/>
    </row>
    <row r="107" spans="1:4" ht="15.75">
      <c r="A107" s="280" t="s">
        <v>125</v>
      </c>
      <c r="B107" s="259"/>
      <c r="C107" s="259"/>
      <c r="D107" s="259"/>
    </row>
    <row r="108" spans="1:4" ht="15.75">
      <c r="A108" s="280" t="s">
        <v>118</v>
      </c>
      <c r="B108" s="259"/>
      <c r="C108" s="259"/>
      <c r="D108" s="259"/>
    </row>
    <row r="109" spans="1:4" ht="15.75">
      <c r="A109" s="280" t="s">
        <v>119</v>
      </c>
      <c r="B109" s="259"/>
      <c r="C109" s="259"/>
      <c r="D109" s="259"/>
    </row>
    <row r="110" spans="1:4" ht="15.75">
      <c r="A110" s="280" t="s">
        <v>120</v>
      </c>
      <c r="B110" s="259"/>
      <c r="C110" s="259"/>
      <c r="D110" s="259"/>
    </row>
    <row r="111" spans="1:4" ht="15.75">
      <c r="A111" s="280"/>
      <c r="B111" s="259"/>
      <c r="C111" s="259"/>
      <c r="D111" s="259"/>
    </row>
    <row r="112" spans="1:4" ht="15.75">
      <c r="A112" s="226" t="s">
        <v>77</v>
      </c>
      <c r="B112" s="264">
        <f>SUM(B107:B111)</f>
        <v>0</v>
      </c>
      <c r="C112" s="264">
        <f>SUM(C107:C111)</f>
        <v>0</v>
      </c>
      <c r="D112" s="264">
        <f>SUM(D107:D111)</f>
        <v>0</v>
      </c>
    </row>
    <row r="113" spans="1:4" ht="15.75">
      <c r="A113" s="281"/>
      <c r="B113" s="197"/>
      <c r="C113" s="197"/>
      <c r="D113" s="197"/>
    </row>
    <row r="114" spans="1:4" ht="15.75">
      <c r="A114" s="280" t="s">
        <v>125</v>
      </c>
      <c r="B114" s="259"/>
      <c r="C114" s="259"/>
      <c r="D114" s="259"/>
    </row>
    <row r="115" spans="1:4" ht="15.75">
      <c r="A115" s="280" t="s">
        <v>118</v>
      </c>
      <c r="B115" s="259"/>
      <c r="C115" s="259"/>
      <c r="D115" s="259"/>
    </row>
    <row r="116" spans="1:4" ht="15.75">
      <c r="A116" s="280" t="s">
        <v>119</v>
      </c>
      <c r="B116" s="259"/>
      <c r="C116" s="259"/>
      <c r="D116" s="259"/>
    </row>
    <row r="117" spans="1:4" ht="15.75">
      <c r="A117" s="280" t="s">
        <v>120</v>
      </c>
      <c r="B117" s="259"/>
      <c r="C117" s="259"/>
      <c r="D117" s="259"/>
    </row>
    <row r="118" spans="1:4" ht="15.75">
      <c r="A118" s="280"/>
      <c r="B118" s="259"/>
      <c r="C118" s="259"/>
      <c r="D118" s="259"/>
    </row>
    <row r="119" spans="1:4" ht="15.75">
      <c r="A119" s="226" t="s">
        <v>77</v>
      </c>
      <c r="B119" s="264">
        <f>SUM(B114:B118)</f>
        <v>0</v>
      </c>
      <c r="C119" s="264">
        <f>SUM(C114:C118)</f>
        <v>0</v>
      </c>
      <c r="D119" s="264">
        <f>SUM(D114:D118)</f>
        <v>0</v>
      </c>
    </row>
    <row r="120" spans="1:4" ht="15.75">
      <c r="A120" s="281"/>
      <c r="B120" s="197"/>
      <c r="C120" s="197"/>
      <c r="D120" s="197"/>
    </row>
    <row r="121" spans="1:4" ht="15.75">
      <c r="A121" s="280" t="s">
        <v>125</v>
      </c>
      <c r="B121" s="259"/>
      <c r="C121" s="259"/>
      <c r="D121" s="259"/>
    </row>
    <row r="122" spans="1:4" ht="15.75">
      <c r="A122" s="280" t="s">
        <v>118</v>
      </c>
      <c r="B122" s="259"/>
      <c r="C122" s="259"/>
      <c r="D122" s="259"/>
    </row>
    <row r="123" spans="1:4" ht="15.75">
      <c r="A123" s="280" t="s">
        <v>119</v>
      </c>
      <c r="B123" s="259"/>
      <c r="C123" s="259"/>
      <c r="D123" s="259"/>
    </row>
    <row r="124" spans="1:4" ht="15.75">
      <c r="A124" s="280" t="s">
        <v>120</v>
      </c>
      <c r="B124" s="259"/>
      <c r="C124" s="259"/>
      <c r="D124" s="259"/>
    </row>
    <row r="125" spans="1:4" ht="15.75">
      <c r="A125" s="280"/>
      <c r="B125" s="259"/>
      <c r="C125" s="259"/>
      <c r="D125" s="259"/>
    </row>
    <row r="126" spans="1:4" ht="15.75">
      <c r="A126" s="226" t="s">
        <v>77</v>
      </c>
      <c r="B126" s="264">
        <f>SUM(B121:B125)</f>
        <v>0</v>
      </c>
      <c r="C126" s="264">
        <f>SUM(C121:C125)</f>
        <v>0</v>
      </c>
      <c r="D126" s="339">
        <f>SUM(D121:D125)</f>
        <v>0</v>
      </c>
    </row>
    <row r="127" spans="1:4" ht="15.75">
      <c r="A127" s="226"/>
      <c r="B127" s="197"/>
      <c r="C127" s="197"/>
      <c r="D127" s="197"/>
    </row>
    <row r="128" spans="1:4" ht="15.75">
      <c r="A128" s="65" t="s">
        <v>397</v>
      </c>
      <c r="B128" s="340">
        <f>B78+B85+B92+B98+B105+B112+B119+B126</f>
        <v>0</v>
      </c>
      <c r="C128" s="340">
        <f>C78+C85+C92+C98+C105+C112+C119+C126</f>
        <v>0</v>
      </c>
      <c r="D128" s="340">
        <f>D78+D85+D92+D98+D105+D112+D119+D126</f>
        <v>0</v>
      </c>
    </row>
    <row r="129" spans="1:4" ht="15.75">
      <c r="A129" s="226" t="s">
        <v>396</v>
      </c>
      <c r="B129" s="264">
        <f>B62</f>
        <v>359835</v>
      </c>
      <c r="C129" s="264">
        <f>C62</f>
        <v>438989</v>
      </c>
      <c r="D129" s="264">
        <f>D62</f>
        <v>444959</v>
      </c>
    </row>
    <row r="130" spans="1:4" ht="16.5" thickBot="1">
      <c r="A130" s="226" t="s">
        <v>398</v>
      </c>
      <c r="B130" s="282">
        <f>SUM(B128:B129)</f>
        <v>359835</v>
      </c>
      <c r="C130" s="282">
        <f>SUM(C128:C129)</f>
        <v>438989</v>
      </c>
      <c r="D130" s="282">
        <f>SUM(D128:D129)</f>
        <v>444959</v>
      </c>
    </row>
    <row r="131" spans="1:4" ht="16.5" thickTop="1">
      <c r="A131" s="283" t="s">
        <v>47</v>
      </c>
      <c r="B131" s="197"/>
      <c r="C131" s="197"/>
      <c r="D131" s="197"/>
    </row>
    <row r="132" spans="1:4" ht="15.75">
      <c r="A132" s="393" t="s">
        <v>124</v>
      </c>
      <c r="B132" s="197" t="str">
        <f>CONCATENATE("",general!C59,"c")</f>
        <v>8c</v>
      </c>
      <c r="C132" s="197"/>
      <c r="D132" s="197"/>
    </row>
  </sheetData>
  <sheetProtection/>
  <printOptions/>
  <pageMargins left="0.5" right="0.5" top="1" bottom="0.5" header="0.5" footer="0.5"/>
  <pageSetup blackAndWhite="1" fitToHeight="2" fitToWidth="1" horizontalDpi="300" verticalDpi="300" orientation="portrait" scale="69" r:id="rId1"/>
  <headerFooter alignWithMargins="0">
    <oddHeader>&amp;RState of Kansas
City</oddHeader>
  </headerFooter>
  <rowBreaks count="3" manualBreakCount="3">
    <brk id="64" max="255" man="1"/>
    <brk id="66" max="255" man="1"/>
    <brk id="132" max="255" man="1"/>
  </rowBreaks>
  <colBreaks count="3" manualBreakCount="3">
    <brk id="1" max="65535" man="1"/>
    <brk id="2" max="65535" man="1"/>
    <brk id="3" max="65535" man="1"/>
  </colBreaks>
</worksheet>
</file>

<file path=xl/worksheets/sheet16.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41">
      <selection activeCell="C68" sqref="C68"/>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16384" width="8.8984375" style="45" customWidth="1"/>
  </cols>
  <sheetData>
    <row r="1" spans="2:5" ht="15.75">
      <c r="B1" s="197" t="str">
        <f>(inputPrYr!D2)</f>
        <v>City of Frankfort</v>
      </c>
      <c r="C1" s="47"/>
      <c r="D1" s="47"/>
      <c r="E1" s="248">
        <f>inputPrYr!C5</f>
        <v>2013</v>
      </c>
    </row>
    <row r="2" spans="2:5" ht="15.75">
      <c r="B2" s="47"/>
      <c r="C2" s="47"/>
      <c r="D2" s="47"/>
      <c r="E2" s="169"/>
    </row>
    <row r="3" spans="2:5" ht="15.75">
      <c r="B3" s="249" t="s">
        <v>173</v>
      </c>
      <c r="C3" s="286"/>
      <c r="D3" s="286"/>
      <c r="E3" s="286"/>
    </row>
    <row r="4" spans="2:5" ht="15.75">
      <c r="B4" s="52" t="s">
        <v>105</v>
      </c>
      <c r="C4" s="695" t="s">
        <v>940</v>
      </c>
      <c r="D4" s="696" t="s">
        <v>941</v>
      </c>
      <c r="E4" s="144" t="s">
        <v>942</v>
      </c>
    </row>
    <row r="5" spans="2:5" ht="15.75">
      <c r="B5" s="523" t="str">
        <f>(inputPrYr!B34)</f>
        <v>Special Highway</v>
      </c>
      <c r="C5" s="225" t="str">
        <f>CONCATENATE("Actual for ",E1-2,"")</f>
        <v>Actual for 2011</v>
      </c>
      <c r="D5" s="225" t="str">
        <f>CONCATENATE("Estimate for ",E1-1,"")</f>
        <v>Estimate for 2012</v>
      </c>
      <c r="E5" s="208" t="str">
        <f>CONCATENATE("Year for ",E1,"")</f>
        <v>Year for 2013</v>
      </c>
    </row>
    <row r="6" spans="2:5" ht="15.75">
      <c r="B6" s="252" t="s">
        <v>227</v>
      </c>
      <c r="C6" s="67">
        <v>3418</v>
      </c>
      <c r="D6" s="228">
        <f>C31</f>
        <v>1949</v>
      </c>
      <c r="E6" s="228">
        <f>D31</f>
        <v>1099</v>
      </c>
    </row>
    <row r="7" spans="2:5" ht="15.75">
      <c r="B7" s="255" t="s">
        <v>229</v>
      </c>
      <c r="C7" s="87"/>
      <c r="D7" s="87"/>
      <c r="E7" s="87"/>
    </row>
    <row r="8" spans="2:5" ht="15.75">
      <c r="B8" s="273" t="s">
        <v>207</v>
      </c>
      <c r="C8" s="67">
        <v>19532</v>
      </c>
      <c r="D8" s="287">
        <f>inputOth!E52</f>
        <v>18750</v>
      </c>
      <c r="E8" s="228">
        <f>inputOth!E50</f>
        <v>18900</v>
      </c>
    </row>
    <row r="9" spans="2:5" ht="15.75">
      <c r="B9" s="288" t="s">
        <v>273</v>
      </c>
      <c r="C9" s="67"/>
      <c r="D9" s="287">
        <f>inputOth!E53</f>
        <v>0</v>
      </c>
      <c r="E9" s="287">
        <f>inputOth!E51</f>
        <v>0</v>
      </c>
    </row>
    <row r="10" spans="2:5" ht="15.75">
      <c r="B10" s="272"/>
      <c r="C10" s="67"/>
      <c r="D10" s="67"/>
      <c r="E10" s="67"/>
    </row>
    <row r="11" spans="2:5" ht="15.75">
      <c r="B11" s="272"/>
      <c r="C11" s="67"/>
      <c r="D11" s="67"/>
      <c r="E11" s="67"/>
    </row>
    <row r="12" spans="2:5" ht="15.75">
      <c r="B12" s="272"/>
      <c r="C12" s="67"/>
      <c r="D12" s="67"/>
      <c r="E12" s="67"/>
    </row>
    <row r="13" spans="2:5" ht="15.75">
      <c r="B13" s="272"/>
      <c r="C13" s="67"/>
      <c r="D13" s="67"/>
      <c r="E13" s="67"/>
    </row>
    <row r="14" spans="2:5" ht="15.75">
      <c r="B14" s="260" t="s">
        <v>113</v>
      </c>
      <c r="C14" s="67"/>
      <c r="D14" s="67"/>
      <c r="E14" s="67"/>
    </row>
    <row r="15" spans="2:5" ht="15.75">
      <c r="B15" s="159" t="s">
        <v>14</v>
      </c>
      <c r="C15" s="67"/>
      <c r="D15" s="257"/>
      <c r="E15" s="257"/>
    </row>
    <row r="16" spans="2:5" ht="15.75">
      <c r="B16" s="252" t="s">
        <v>775</v>
      </c>
      <c r="C16" s="291">
        <f>IF(C17*0.1&lt;C15,"Exceed 10% Rule","")</f>
      </c>
      <c r="D16" s="262">
        <f>IF(D17*0.1&lt;D15,"Exceed 10% Rule","")</f>
      </c>
      <c r="E16" s="262">
        <f>IF(E17*0.1&lt;E15,"Exceed 10% Rule","")</f>
      </c>
    </row>
    <row r="17" spans="2:5" ht="15.75">
      <c r="B17" s="263" t="s">
        <v>114</v>
      </c>
      <c r="C17" s="266">
        <f>SUM(C8:C15)</f>
        <v>19532</v>
      </c>
      <c r="D17" s="266">
        <f>SUM(D8:D15)</f>
        <v>18750</v>
      </c>
      <c r="E17" s="266">
        <f>SUM(E8:E15)</f>
        <v>18900</v>
      </c>
    </row>
    <row r="18" spans="2:5" ht="15.75">
      <c r="B18" s="263" t="s">
        <v>115</v>
      </c>
      <c r="C18" s="266">
        <f>C6+C17</f>
        <v>22950</v>
      </c>
      <c r="D18" s="266">
        <f>D6+D17</f>
        <v>20699</v>
      </c>
      <c r="E18" s="266">
        <f>E6+E17</f>
        <v>19999</v>
      </c>
    </row>
    <row r="19" spans="2:5" ht="15.75">
      <c r="B19" s="150" t="s">
        <v>117</v>
      </c>
      <c r="C19" s="228"/>
      <c r="D19" s="228"/>
      <c r="E19" s="228"/>
    </row>
    <row r="20" spans="2:5" ht="15.75">
      <c r="B20" s="272" t="s">
        <v>1057</v>
      </c>
      <c r="C20" s="67">
        <v>7252</v>
      </c>
      <c r="D20" s="67">
        <v>8000</v>
      </c>
      <c r="E20" s="67">
        <v>8000</v>
      </c>
    </row>
    <row r="21" spans="2:5" ht="15.75">
      <c r="B21" s="272" t="s">
        <v>1058</v>
      </c>
      <c r="C21" s="67">
        <v>2795</v>
      </c>
      <c r="D21" s="67">
        <v>600</v>
      </c>
      <c r="E21" s="67">
        <v>600</v>
      </c>
    </row>
    <row r="22" spans="2:5" ht="15.75">
      <c r="B22" s="272" t="s">
        <v>1059</v>
      </c>
      <c r="C22" s="67">
        <v>10954</v>
      </c>
      <c r="D22" s="67">
        <v>11000</v>
      </c>
      <c r="E22" s="67">
        <v>11399</v>
      </c>
    </row>
    <row r="23" spans="2:5" ht="15.75">
      <c r="B23" s="272"/>
      <c r="C23" s="67"/>
      <c r="D23" s="67"/>
      <c r="E23" s="67"/>
    </row>
    <row r="24" spans="2:5" ht="15.75">
      <c r="B24" s="272"/>
      <c r="C24" s="67"/>
      <c r="D24" s="67"/>
      <c r="E24" s="67"/>
    </row>
    <row r="25" spans="2:5" ht="15.75">
      <c r="B25" s="272"/>
      <c r="C25" s="67"/>
      <c r="D25" s="67"/>
      <c r="E25" s="67"/>
    </row>
    <row r="26" spans="2:5" ht="15.75">
      <c r="B26" s="272"/>
      <c r="C26" s="67"/>
      <c r="D26" s="67"/>
      <c r="E26" s="67"/>
    </row>
    <row r="27" spans="2:5" ht="15.75">
      <c r="B27" s="272"/>
      <c r="C27" s="67"/>
      <c r="D27" s="67"/>
      <c r="E27" s="67"/>
    </row>
    <row r="28" spans="2:5" ht="15.75">
      <c r="B28" s="273" t="s">
        <v>14</v>
      </c>
      <c r="C28" s="67"/>
      <c r="D28" s="257"/>
      <c r="E28" s="257"/>
    </row>
    <row r="29" spans="2:5" ht="15.75">
      <c r="B29" s="273" t="s">
        <v>776</v>
      </c>
      <c r="C29" s="291">
        <f>IF(C30*0.1&lt;C28,"Exceed 10% Rule","")</f>
      </c>
      <c r="D29" s="262">
        <f>IF(D30*0.1&lt;D28,"Exceed 10% Rule","")</f>
      </c>
      <c r="E29" s="262">
        <f>IF(E30*0.1&lt;E28,"Exceed 10% Rule","")</f>
      </c>
    </row>
    <row r="30" spans="2:5" ht="15.75">
      <c r="B30" s="263" t="s">
        <v>121</v>
      </c>
      <c r="C30" s="266">
        <f>SUM(C20:C28)</f>
        <v>21001</v>
      </c>
      <c r="D30" s="266">
        <f>SUM(D20:D28)</f>
        <v>19600</v>
      </c>
      <c r="E30" s="266">
        <f>SUM(E20:E28)</f>
        <v>19999</v>
      </c>
    </row>
    <row r="31" spans="2:5" ht="15.75">
      <c r="B31" s="150" t="s">
        <v>228</v>
      </c>
      <c r="C31" s="82">
        <f>C18-C30</f>
        <v>1949</v>
      </c>
      <c r="D31" s="82">
        <f>D18-D30</f>
        <v>1099</v>
      </c>
      <c r="E31" s="82">
        <f>E18-E30</f>
        <v>0</v>
      </c>
    </row>
    <row r="32" spans="2:5" ht="15.75">
      <c r="B32" s="136" t="str">
        <f>CONCATENATE("",E1-2,"/",E1-1," Budget Authority Amount:")</f>
        <v>2011/2012 Budget Authority Amount:</v>
      </c>
      <c r="C32" s="241">
        <f>inputOth!B73</f>
        <v>21360</v>
      </c>
      <c r="D32" s="241">
        <f>inputPrYr!D34</f>
        <v>23848</v>
      </c>
      <c r="E32" s="372">
        <f>IF(E31&lt;0,"See Tab E","")</f>
      </c>
    </row>
    <row r="33" spans="2:5" ht="15.75">
      <c r="B33" s="136"/>
      <c r="C33" s="276">
        <f>IF(C30&gt;C32,"See Tab A","")</f>
      </c>
      <c r="D33" s="276">
        <f>IF(D30&gt;D32,"See Tab C","")</f>
      </c>
      <c r="E33" s="97"/>
    </row>
    <row r="34" spans="2:5" ht="15.75">
      <c r="B34" s="136"/>
      <c r="C34" s="276">
        <f>IF(C31&lt;0,"See Tab B","")</f>
      </c>
      <c r="D34" s="276">
        <f>IF(D31&lt;0,"See Tab D","")</f>
      </c>
      <c r="E34" s="97"/>
    </row>
    <row r="35" spans="2:5" ht="15.75">
      <c r="B35" s="47"/>
      <c r="C35" s="97"/>
      <c r="D35" s="97"/>
      <c r="E35" s="97"/>
    </row>
    <row r="36" spans="2:5" ht="15.75">
      <c r="B36" s="52" t="s">
        <v>105</v>
      </c>
      <c r="C36" s="289"/>
      <c r="D36" s="289"/>
      <c r="E36" s="289"/>
    </row>
    <row r="37" spans="2:5" ht="15.75">
      <c r="B37" s="47"/>
      <c r="C37" s="695" t="s">
        <v>940</v>
      </c>
      <c r="D37" s="696" t="s">
        <v>941</v>
      </c>
      <c r="E37" s="144" t="s">
        <v>942</v>
      </c>
    </row>
    <row r="38" spans="2:5" ht="15.75">
      <c r="B38" s="523" t="str">
        <f>(inputPrYr!B35)</f>
        <v>Special Parks &amp; Recreation</v>
      </c>
      <c r="C38" s="225" t="str">
        <f>CONCATENATE("Actual for ",$E$1-2,"")</f>
        <v>Actual for 2011</v>
      </c>
      <c r="D38" s="225" t="str">
        <f>CONCATENATE("Estimate for ",$E$1-1,"")</f>
        <v>Estimate for 2012</v>
      </c>
      <c r="E38" s="208" t="str">
        <f>CONCATENATE("Year for ",$E$1,"")</f>
        <v>Year for 2013</v>
      </c>
    </row>
    <row r="39" spans="2:5" ht="15.75">
      <c r="B39" s="252" t="s">
        <v>227</v>
      </c>
      <c r="C39" s="67">
        <v>0</v>
      </c>
      <c r="D39" s="228">
        <f>C62</f>
        <v>1387</v>
      </c>
      <c r="E39" s="228">
        <f>D62</f>
        <v>2853</v>
      </c>
    </row>
    <row r="40" spans="2:5" ht="15.75">
      <c r="B40" s="255" t="s">
        <v>229</v>
      </c>
      <c r="C40" s="87"/>
      <c r="D40" s="87"/>
      <c r="E40" s="87"/>
    </row>
    <row r="41" spans="2:5" ht="15.75">
      <c r="B41" s="272" t="s">
        <v>1067</v>
      </c>
      <c r="C41" s="67">
        <v>1387</v>
      </c>
      <c r="D41" s="67">
        <v>2316</v>
      </c>
      <c r="E41" s="67">
        <v>2292</v>
      </c>
    </row>
    <row r="42" spans="2:5" ht="15.75">
      <c r="B42" s="272"/>
      <c r="C42" s="67"/>
      <c r="D42" s="67"/>
      <c r="E42" s="67"/>
    </row>
    <row r="43" spans="2:5" ht="15.75">
      <c r="B43" s="272"/>
      <c r="C43" s="67"/>
      <c r="D43" s="67"/>
      <c r="E43" s="67"/>
    </row>
    <row r="44" spans="2:5" ht="15.75">
      <c r="B44" s="272"/>
      <c r="C44" s="67"/>
      <c r="D44" s="67"/>
      <c r="E44" s="67"/>
    </row>
    <row r="45" spans="2:5" ht="15.75">
      <c r="B45" s="260" t="s">
        <v>113</v>
      </c>
      <c r="C45" s="67"/>
      <c r="D45" s="67"/>
      <c r="E45" s="67"/>
    </row>
    <row r="46" spans="2:5" ht="15.75">
      <c r="B46" s="159" t="s">
        <v>14</v>
      </c>
      <c r="C46" s="67"/>
      <c r="D46" s="257"/>
      <c r="E46" s="257"/>
    </row>
    <row r="47" spans="2:5" ht="15.75">
      <c r="B47" s="252" t="s">
        <v>775</v>
      </c>
      <c r="C47" s="291">
        <f>IF(C48*0.1&lt;C46,"Exceed 10% Rule","")</f>
      </c>
      <c r="D47" s="262">
        <f>IF(D48*0.1&lt;D46,"Exceed 10% Rule","")</f>
      </c>
      <c r="E47" s="262">
        <f>IF(E48*0.1&lt;E46,"Exceed 10% Rule","")</f>
      </c>
    </row>
    <row r="48" spans="2:5" ht="15.75">
      <c r="B48" s="263" t="s">
        <v>114</v>
      </c>
      <c r="C48" s="266">
        <f>SUM(C41:C46)</f>
        <v>1387</v>
      </c>
      <c r="D48" s="266">
        <f>SUM(D41:D46)</f>
        <v>2316</v>
      </c>
      <c r="E48" s="266">
        <f>SUM(E41:E46)</f>
        <v>2292</v>
      </c>
    </row>
    <row r="49" spans="2:5" ht="15.75">
      <c r="B49" s="263" t="s">
        <v>115</v>
      </c>
      <c r="C49" s="266">
        <f>C39+C48</f>
        <v>1387</v>
      </c>
      <c r="D49" s="266">
        <f>D39+D48</f>
        <v>3703</v>
      </c>
      <c r="E49" s="266">
        <f>E39+E48</f>
        <v>5145</v>
      </c>
    </row>
    <row r="50" spans="2:5" ht="15.75">
      <c r="B50" s="150" t="s">
        <v>117</v>
      </c>
      <c r="C50" s="228"/>
      <c r="D50" s="228"/>
      <c r="E50" s="228"/>
    </row>
    <row r="51" spans="2:5" ht="15.75">
      <c r="B51" s="272" t="s">
        <v>1057</v>
      </c>
      <c r="C51" s="67">
        <v>0</v>
      </c>
      <c r="D51" s="67">
        <v>0</v>
      </c>
      <c r="E51" s="67">
        <v>0</v>
      </c>
    </row>
    <row r="52" spans="2:5" ht="15.75">
      <c r="B52" s="272" t="s">
        <v>1058</v>
      </c>
      <c r="C52" s="67">
        <v>0</v>
      </c>
      <c r="D52" s="67">
        <v>0</v>
      </c>
      <c r="E52" s="67">
        <v>0</v>
      </c>
    </row>
    <row r="53" spans="2:5" ht="15.75">
      <c r="B53" s="272" t="s">
        <v>1059</v>
      </c>
      <c r="C53" s="67">
        <v>0</v>
      </c>
      <c r="D53" s="67">
        <v>850</v>
      </c>
      <c r="E53" s="67">
        <v>5145</v>
      </c>
    </row>
    <row r="54" spans="2:5" ht="15.75">
      <c r="B54" s="272" t="s">
        <v>1060</v>
      </c>
      <c r="C54" s="67">
        <v>0</v>
      </c>
      <c r="D54" s="67">
        <v>0</v>
      </c>
      <c r="E54" s="67">
        <v>0</v>
      </c>
    </row>
    <row r="55" spans="2:5" ht="15.75">
      <c r="B55" s="272"/>
      <c r="C55" s="67"/>
      <c r="D55" s="67"/>
      <c r="E55" s="67"/>
    </row>
    <row r="56" spans="2:5" ht="15.75">
      <c r="B56" s="272"/>
      <c r="C56" s="67"/>
      <c r="D56" s="67"/>
      <c r="E56" s="67"/>
    </row>
    <row r="57" spans="2:5" ht="15.75">
      <c r="B57" s="272"/>
      <c r="C57" s="67"/>
      <c r="D57" s="67"/>
      <c r="E57" s="67"/>
    </row>
    <row r="58" spans="2:5" ht="15.75">
      <c r="B58" s="272"/>
      <c r="C58" s="67"/>
      <c r="D58" s="67"/>
      <c r="E58" s="67"/>
    </row>
    <row r="59" spans="2:5" ht="15.75">
      <c r="B59" s="273" t="s">
        <v>14</v>
      </c>
      <c r="C59" s="67"/>
      <c r="D59" s="257"/>
      <c r="E59" s="257"/>
    </row>
    <row r="60" spans="2:5" ht="15.75">
      <c r="B60" s="273" t="s">
        <v>776</v>
      </c>
      <c r="C60" s="291">
        <f>IF(C61*0.1&lt;C59,"Exceed 10% Rule","")</f>
      </c>
      <c r="D60" s="262">
        <f>IF(D61*0.1&lt;D59,"Exceed 10% Rule","")</f>
      </c>
      <c r="E60" s="262">
        <f>IF(E61*0.1&lt;E59,"Exceed 10% Rule","")</f>
      </c>
    </row>
    <row r="61" spans="2:5" ht="15.75">
      <c r="B61" s="263" t="s">
        <v>121</v>
      </c>
      <c r="C61" s="266">
        <f>SUM(C51:C59)</f>
        <v>0</v>
      </c>
      <c r="D61" s="266">
        <f>SUM(D51:D59)</f>
        <v>850</v>
      </c>
      <c r="E61" s="266">
        <f>SUM(E51:E59)</f>
        <v>5145</v>
      </c>
    </row>
    <row r="62" spans="2:5" ht="15.75">
      <c r="B62" s="150" t="s">
        <v>228</v>
      </c>
      <c r="C62" s="82">
        <f>C49-C61</f>
        <v>1387</v>
      </c>
      <c r="D62" s="82">
        <f>D49-D61</f>
        <v>2853</v>
      </c>
      <c r="E62" s="82">
        <f>E49-E61</f>
        <v>0</v>
      </c>
    </row>
    <row r="63" spans="2:5" ht="15.75">
      <c r="B63" s="136" t="str">
        <f>CONCATENATE("",E1-2,"/",E1-1," Budget Authority Amount:")</f>
        <v>2011/2012 Budget Authority Amount:</v>
      </c>
      <c r="C63" s="241">
        <f>inputOth!B74</f>
        <v>0</v>
      </c>
      <c r="D63" s="241">
        <f>inputPrYr!D35</f>
        <v>850</v>
      </c>
      <c r="E63" s="372">
        <f>IF(E62&lt;0,"See Tab E","")</f>
      </c>
    </row>
    <row r="64" spans="2:5" ht="15.75">
      <c r="B64" s="136"/>
      <c r="C64" s="276">
        <f>IF(C61&gt;C63,"See Tab A","")</f>
      </c>
      <c r="D64" s="276">
        <f>IF(D61&gt;D63,"See Tab C","")</f>
      </c>
      <c r="E64" s="47"/>
    </row>
    <row r="65" spans="2:5" ht="15.75">
      <c r="B65" s="136"/>
      <c r="C65" s="276">
        <f>IF(C62&lt;0,"See Tab B","")</f>
      </c>
      <c r="D65" s="276">
        <f>IF(D62&lt;0,"See Tab D","")</f>
      </c>
      <c r="E65" s="47"/>
    </row>
    <row r="66" spans="2:5" ht="15.75">
      <c r="B66" s="47"/>
      <c r="C66" s="47"/>
      <c r="D66" s="47"/>
      <c r="E66" s="47"/>
    </row>
    <row r="67" spans="2:5" ht="15.75">
      <c r="B67" s="393" t="s">
        <v>124</v>
      </c>
      <c r="C67" s="281">
        <v>10</v>
      </c>
      <c r="D67" s="47"/>
      <c r="E67" s="47"/>
    </row>
  </sheetData>
  <sheetProtection sheet="1"/>
  <conditionalFormatting sqref="C15">
    <cfRule type="cellIs" priority="3" dxfId="86" operator="greaterThan" stopIfTrue="1">
      <formula>$C$17*0.1</formula>
    </cfRule>
  </conditionalFormatting>
  <conditionalFormatting sqref="D15">
    <cfRule type="cellIs" priority="4" dxfId="86" operator="greaterThan" stopIfTrue="1">
      <formula>$D$17*0.1</formula>
    </cfRule>
  </conditionalFormatting>
  <conditionalFormatting sqref="E15">
    <cfRule type="cellIs" priority="5" dxfId="86" operator="greaterThan" stopIfTrue="1">
      <formula>$E$17*0.1</formula>
    </cfRule>
  </conditionalFormatting>
  <conditionalFormatting sqref="C28">
    <cfRule type="cellIs" priority="6" dxfId="86" operator="greaterThan" stopIfTrue="1">
      <formula>$C$30*0.1</formula>
    </cfRule>
  </conditionalFormatting>
  <conditionalFormatting sqref="D28">
    <cfRule type="cellIs" priority="7" dxfId="86" operator="greaterThan" stopIfTrue="1">
      <formula>$D$30*0.1</formula>
    </cfRule>
  </conditionalFormatting>
  <conditionalFormatting sqref="E28">
    <cfRule type="cellIs" priority="8" dxfId="86" operator="greaterThan" stopIfTrue="1">
      <formula>$E$30*0.1</formula>
    </cfRule>
  </conditionalFormatting>
  <conditionalFormatting sqref="C46">
    <cfRule type="cellIs" priority="9" dxfId="86" operator="greaterThan" stopIfTrue="1">
      <formula>$C$48*0.1</formula>
    </cfRule>
  </conditionalFormatting>
  <conditionalFormatting sqref="D46">
    <cfRule type="cellIs" priority="10" dxfId="86" operator="greaterThan" stopIfTrue="1">
      <formula>$D$48*0.1</formula>
    </cfRule>
  </conditionalFormatting>
  <conditionalFormatting sqref="E46">
    <cfRule type="cellIs" priority="11" dxfId="86" operator="greaterThan" stopIfTrue="1">
      <formula>$E$48*0.1</formula>
    </cfRule>
  </conditionalFormatting>
  <conditionalFormatting sqref="C59">
    <cfRule type="cellIs" priority="12" dxfId="86" operator="greaterThan" stopIfTrue="1">
      <formula>$C$61*0.1</formula>
    </cfRule>
  </conditionalFormatting>
  <conditionalFormatting sqref="D59">
    <cfRule type="cellIs" priority="13" dxfId="86" operator="greaterThan" stopIfTrue="1">
      <formula>$D$61*0.1</formula>
    </cfRule>
  </conditionalFormatting>
  <conditionalFormatting sqref="E59">
    <cfRule type="cellIs" priority="14" dxfId="86" operator="greaterThan" stopIfTrue="1">
      <formula>$E$61*0.1</formula>
    </cfRule>
  </conditionalFormatting>
  <conditionalFormatting sqref="D61">
    <cfRule type="cellIs" priority="15" dxfId="2" operator="greaterThan" stopIfTrue="1">
      <formula>$D$63</formula>
    </cfRule>
  </conditionalFormatting>
  <conditionalFormatting sqref="C61">
    <cfRule type="cellIs" priority="16" dxfId="2" operator="greaterThan" stopIfTrue="1">
      <formula>$C$63</formula>
    </cfRule>
  </conditionalFormatting>
  <conditionalFormatting sqref="C62 E62 C31 E31">
    <cfRule type="cellIs" priority="17" dxfId="2" operator="lessThan" stopIfTrue="1">
      <formula>0</formula>
    </cfRule>
  </conditionalFormatting>
  <conditionalFormatting sqref="D30">
    <cfRule type="cellIs" priority="18" dxfId="2" operator="greaterThan" stopIfTrue="1">
      <formula>$D$32</formula>
    </cfRule>
  </conditionalFormatting>
  <conditionalFormatting sqref="C30">
    <cfRule type="cellIs" priority="19" dxfId="2" operator="greaterThan" stopIfTrue="1">
      <formula>$C$32</formula>
    </cfRule>
  </conditionalFormatting>
  <conditionalFormatting sqref="D31">
    <cfRule type="cellIs" priority="2" dxfId="0" operator="lessThan" stopIfTrue="1">
      <formula>0</formula>
    </cfRule>
  </conditionalFormatting>
  <conditionalFormatting sqref="D62">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3"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0">
      <selection activeCell="C66" sqref="C66"/>
    </sheetView>
  </sheetViews>
  <sheetFormatPr defaultColWidth="8.796875" defaultRowHeight="15"/>
  <cols>
    <col min="1" max="1" width="2.3984375" style="45" customWidth="1"/>
    <col min="2" max="2" width="31.09765625" style="45" customWidth="1"/>
    <col min="3" max="4" width="15.796875" style="45" customWidth="1"/>
    <col min="5" max="5" width="16.296875" style="45" customWidth="1"/>
    <col min="6" max="16384" width="8.8984375" style="45" customWidth="1"/>
  </cols>
  <sheetData>
    <row r="1" spans="2:5" ht="15.75">
      <c r="B1" s="197" t="str">
        <f>(inputPrYr!D2)</f>
        <v>City of Frankfort</v>
      </c>
      <c r="C1" s="47"/>
      <c r="D1" s="47"/>
      <c r="E1" s="248">
        <f>inputPrYr!C5</f>
        <v>2013</v>
      </c>
    </row>
    <row r="2" spans="2:5" ht="15.75">
      <c r="B2" s="47"/>
      <c r="C2" s="47"/>
      <c r="D2" s="47"/>
      <c r="E2" s="169"/>
    </row>
    <row r="3" spans="2:5" ht="15.75">
      <c r="B3" s="249" t="s">
        <v>173</v>
      </c>
      <c r="C3" s="286"/>
      <c r="D3" s="286"/>
      <c r="E3" s="286"/>
    </row>
    <row r="4" spans="2:5" ht="15.75">
      <c r="B4" s="52" t="s">
        <v>105</v>
      </c>
      <c r="C4" s="695" t="s">
        <v>940</v>
      </c>
      <c r="D4" s="696" t="s">
        <v>941</v>
      </c>
      <c r="E4" s="144" t="s">
        <v>942</v>
      </c>
    </row>
    <row r="5" spans="2:5" ht="15.75">
      <c r="B5" s="523" t="str">
        <f>(inputPrYr!B36)</f>
        <v>Ambulance</v>
      </c>
      <c r="C5" s="225" t="str">
        <f>CONCATENATE("Actual for ",E1-2,"")</f>
        <v>Actual for 2011</v>
      </c>
      <c r="D5" s="225" t="str">
        <f>CONCATENATE("Estimate for ",E1-1,"")</f>
        <v>Estimate for 2012</v>
      </c>
      <c r="E5" s="208" t="str">
        <f>CONCATENATE("Year for ",E1,"")</f>
        <v>Year for 2013</v>
      </c>
    </row>
    <row r="6" spans="2:5" ht="15.75">
      <c r="B6" s="252" t="s">
        <v>227</v>
      </c>
      <c r="C6" s="67">
        <v>304731</v>
      </c>
      <c r="D6" s="228">
        <f>C29</f>
        <v>318915</v>
      </c>
      <c r="E6" s="228">
        <f>D29</f>
        <v>304825</v>
      </c>
    </row>
    <row r="7" spans="2:5" ht="15.75">
      <c r="B7" s="255" t="s">
        <v>229</v>
      </c>
      <c r="C7" s="87"/>
      <c r="D7" s="87"/>
      <c r="E7" s="87"/>
    </row>
    <row r="8" spans="2:5" ht="15.75">
      <c r="B8" s="272" t="s">
        <v>1061</v>
      </c>
      <c r="C8" s="67">
        <v>43560</v>
      </c>
      <c r="D8" s="67">
        <v>40000</v>
      </c>
      <c r="E8" s="67">
        <v>44000</v>
      </c>
    </row>
    <row r="9" spans="2:5" ht="15.75">
      <c r="B9" s="272" t="s">
        <v>1062</v>
      </c>
      <c r="C9" s="67">
        <v>45607</v>
      </c>
      <c r="D9" s="67">
        <v>40000</v>
      </c>
      <c r="E9" s="67">
        <v>44000</v>
      </c>
    </row>
    <row r="10" spans="2:5" ht="15.75">
      <c r="B10" s="272" t="s">
        <v>1052</v>
      </c>
      <c r="C10" s="67"/>
      <c r="D10" s="67"/>
      <c r="E10" s="67"/>
    </row>
    <row r="11" spans="2:5" ht="15.75">
      <c r="B11" s="272"/>
      <c r="C11" s="67"/>
      <c r="D11" s="67"/>
      <c r="E11" s="67"/>
    </row>
    <row r="12" spans="2:5" ht="15.75">
      <c r="B12" s="260" t="s">
        <v>113</v>
      </c>
      <c r="C12" s="67">
        <v>1919</v>
      </c>
      <c r="D12" s="67">
        <v>2000</v>
      </c>
      <c r="E12" s="67">
        <v>2000</v>
      </c>
    </row>
    <row r="13" spans="2:5" ht="15.75">
      <c r="B13" s="159" t="s">
        <v>14</v>
      </c>
      <c r="C13" s="67"/>
      <c r="D13" s="257"/>
      <c r="E13" s="257"/>
    </row>
    <row r="14" spans="2:5" ht="15.75">
      <c r="B14" s="252" t="s">
        <v>775</v>
      </c>
      <c r="C14" s="291">
        <f>IF(C15*0.1&lt;C13,"Exceed 10% Rule","")</f>
      </c>
      <c r="D14" s="262">
        <f>IF(D15*0.1&lt;D13,"Exceed 10% Rule","")</f>
      </c>
      <c r="E14" s="262">
        <f>IF(E15*0.1&lt;E13,"Exceed 10% Rule","")</f>
      </c>
    </row>
    <row r="15" spans="2:5" ht="15.75">
      <c r="B15" s="263" t="s">
        <v>114</v>
      </c>
      <c r="C15" s="266">
        <f>SUM(C8:C13)</f>
        <v>91086</v>
      </c>
      <c r="D15" s="266">
        <f>SUM(D8:D13)</f>
        <v>82000</v>
      </c>
      <c r="E15" s="266">
        <f>SUM(E8:E13)</f>
        <v>90000</v>
      </c>
    </row>
    <row r="16" spans="2:5" ht="15.75">
      <c r="B16" s="263" t="s">
        <v>115</v>
      </c>
      <c r="C16" s="266">
        <f>C6+C15</f>
        <v>395817</v>
      </c>
      <c r="D16" s="266">
        <f>D6+D15</f>
        <v>400915</v>
      </c>
      <c r="E16" s="266">
        <f>E6+E15</f>
        <v>394825</v>
      </c>
    </row>
    <row r="17" spans="2:5" ht="15.75">
      <c r="B17" s="150" t="s">
        <v>117</v>
      </c>
      <c r="C17" s="228"/>
      <c r="D17" s="228"/>
      <c r="E17" s="228"/>
    </row>
    <row r="18" spans="2:5" ht="15.75">
      <c r="B18" s="272" t="s">
        <v>1057</v>
      </c>
      <c r="C18" s="67">
        <v>57017</v>
      </c>
      <c r="D18" s="67">
        <v>64890</v>
      </c>
      <c r="E18" s="67">
        <v>66840</v>
      </c>
    </row>
    <row r="19" spans="2:5" ht="15.75">
      <c r="B19" s="272" t="s">
        <v>1058</v>
      </c>
      <c r="C19" s="67">
        <v>14291</v>
      </c>
      <c r="D19" s="67">
        <v>15200</v>
      </c>
      <c r="E19" s="67">
        <v>15660</v>
      </c>
    </row>
    <row r="20" spans="2:5" ht="15.75">
      <c r="B20" s="272" t="s">
        <v>1059</v>
      </c>
      <c r="C20" s="67">
        <v>5594</v>
      </c>
      <c r="D20" s="67">
        <v>16000</v>
      </c>
      <c r="E20" s="67">
        <v>16480</v>
      </c>
    </row>
    <row r="21" spans="2:5" ht="15.75">
      <c r="B21" s="272" t="s">
        <v>1060</v>
      </c>
      <c r="C21" s="67">
        <v>0</v>
      </c>
      <c r="D21" s="67">
        <v>0</v>
      </c>
      <c r="E21" s="67">
        <v>180000</v>
      </c>
    </row>
    <row r="22" spans="2:5" ht="15.75">
      <c r="B22" s="272"/>
      <c r="C22" s="67"/>
      <c r="D22" s="67"/>
      <c r="E22" s="67"/>
    </row>
    <row r="23" spans="2:5" ht="15.75">
      <c r="B23" s="272"/>
      <c r="C23" s="67"/>
      <c r="D23" s="67"/>
      <c r="E23" s="67"/>
    </row>
    <row r="24" spans="2:5" ht="15.75">
      <c r="B24" s="272"/>
      <c r="C24" s="67"/>
      <c r="D24" s="67"/>
      <c r="E24" s="67"/>
    </row>
    <row r="25" spans="2:5" ht="15.75">
      <c r="B25" s="272"/>
      <c r="C25" s="67"/>
      <c r="D25" s="67"/>
      <c r="E25" s="67"/>
    </row>
    <row r="26" spans="2:5" ht="15.75">
      <c r="B26" s="273" t="s">
        <v>14</v>
      </c>
      <c r="C26" s="67"/>
      <c r="D26" s="257"/>
      <c r="E26" s="257"/>
    </row>
    <row r="27" spans="2:5" ht="15.75">
      <c r="B27" s="273" t="s">
        <v>776</v>
      </c>
      <c r="C27" s="291">
        <f>IF(C28*0.1&lt;C26,"Exceed 10% Rule","")</f>
      </c>
      <c r="D27" s="262">
        <f>IF(D28*0.1&lt;D26,"Exceed 10% Rule","")</f>
      </c>
      <c r="E27" s="262">
        <f>IF(E28*0.1&lt;E26,"Exceed 10% Rule","")</f>
      </c>
    </row>
    <row r="28" spans="2:5" ht="15.75">
      <c r="B28" s="263" t="s">
        <v>121</v>
      </c>
      <c r="C28" s="266">
        <f>SUM(C18:C26)</f>
        <v>76902</v>
      </c>
      <c r="D28" s="266">
        <f>SUM(D18:D26)</f>
        <v>96090</v>
      </c>
      <c r="E28" s="266">
        <f>SUM(E18:E26)</f>
        <v>278980</v>
      </c>
    </row>
    <row r="29" spans="2:5" ht="15.75">
      <c r="B29" s="150" t="s">
        <v>228</v>
      </c>
      <c r="C29" s="82">
        <f>C16-C28</f>
        <v>318915</v>
      </c>
      <c r="D29" s="82">
        <f>D16-D28</f>
        <v>304825</v>
      </c>
      <c r="E29" s="82">
        <f>E16-E28</f>
        <v>115845</v>
      </c>
    </row>
    <row r="30" spans="2:5" ht="15.75">
      <c r="B30" s="136" t="str">
        <f>CONCATENATE("",E1-2,"/",E1-1," Budget Authority Amount:")</f>
        <v>2011/2012 Budget Authority Amount:</v>
      </c>
      <c r="C30" s="241">
        <f>inputOth!B75</f>
        <v>214200</v>
      </c>
      <c r="D30" s="241">
        <f>inputPrYr!D36</f>
        <v>216090</v>
      </c>
      <c r="E30" s="372">
        <f>IF(E29&lt;0,"See Tab E","")</f>
      </c>
    </row>
    <row r="31" spans="2:5" ht="15.75">
      <c r="B31" s="136"/>
      <c r="C31" s="276">
        <f>IF(C28&gt;C30,"See Tab A","")</f>
      </c>
      <c r="D31" s="276">
        <f>IF(D28&gt;D30,"See Tab C","")</f>
      </c>
      <c r="E31" s="97"/>
    </row>
    <row r="32" spans="2:5" ht="15.75">
      <c r="B32" s="136"/>
      <c r="C32" s="276">
        <f>IF(C29&lt;0,"See Tab B","")</f>
      </c>
      <c r="D32" s="276">
        <f>IF(D29&lt;0,"See Tab D","")</f>
      </c>
      <c r="E32" s="97"/>
    </row>
    <row r="33" spans="2:5" ht="15.75">
      <c r="B33" s="47"/>
      <c r="C33" s="97"/>
      <c r="D33" s="97"/>
      <c r="E33" s="97"/>
    </row>
    <row r="34" spans="2:5" ht="15.75">
      <c r="B34" s="52" t="s">
        <v>105</v>
      </c>
      <c r="C34" s="289"/>
      <c r="D34" s="289"/>
      <c r="E34" s="289"/>
    </row>
    <row r="35" spans="2:5" ht="15.75">
      <c r="B35" s="47"/>
      <c r="C35" s="695" t="s">
        <v>940</v>
      </c>
      <c r="D35" s="696" t="s">
        <v>941</v>
      </c>
      <c r="E35" s="144" t="s">
        <v>942</v>
      </c>
    </row>
    <row r="36" spans="2:5" ht="15.75">
      <c r="B36" s="523" t="str">
        <f>(inputPrYr!B37)</f>
        <v>Water Utility</v>
      </c>
      <c r="C36" s="225" t="str">
        <f>CONCATENATE("Actual for ",$E$1-2,"")</f>
        <v>Actual for 2011</v>
      </c>
      <c r="D36" s="225" t="str">
        <f>CONCATENATE("Estimate for ",$E$1-1,"")</f>
        <v>Estimate for 2012</v>
      </c>
      <c r="E36" s="208" t="str">
        <f>CONCATENATE("Year for ",$E$1,"")</f>
        <v>Year for 2013</v>
      </c>
    </row>
    <row r="37" spans="2:5" ht="15.75">
      <c r="B37" s="252" t="s">
        <v>227</v>
      </c>
      <c r="C37" s="67">
        <v>83580</v>
      </c>
      <c r="D37" s="228">
        <f>C60</f>
        <v>98186</v>
      </c>
      <c r="E37" s="228">
        <f>D60</f>
        <v>90676</v>
      </c>
    </row>
    <row r="38" spans="2:5" ht="15.75">
      <c r="B38" s="255" t="s">
        <v>229</v>
      </c>
      <c r="C38" s="87"/>
      <c r="D38" s="87"/>
      <c r="E38" s="87"/>
    </row>
    <row r="39" spans="2:5" ht="15.75">
      <c r="B39" s="272" t="s">
        <v>1063</v>
      </c>
      <c r="C39" s="67">
        <v>90204</v>
      </c>
      <c r="D39" s="67">
        <v>98290</v>
      </c>
      <c r="E39" s="67">
        <v>98290</v>
      </c>
    </row>
    <row r="40" spans="2:5" ht="15.75">
      <c r="B40" s="272" t="s">
        <v>1064</v>
      </c>
      <c r="C40" s="67">
        <v>351</v>
      </c>
      <c r="D40" s="67">
        <v>0</v>
      </c>
      <c r="E40" s="67">
        <v>0</v>
      </c>
    </row>
    <row r="41" spans="2:5" ht="15.75">
      <c r="B41" s="272" t="s">
        <v>157</v>
      </c>
      <c r="C41" s="67">
        <v>1229</v>
      </c>
      <c r="D41" s="67">
        <v>0</v>
      </c>
      <c r="E41" s="67">
        <v>0</v>
      </c>
    </row>
    <row r="42" spans="2:5" ht="15.75">
      <c r="B42" s="272"/>
      <c r="C42" s="67"/>
      <c r="D42" s="67"/>
      <c r="E42" s="67"/>
    </row>
    <row r="43" spans="2:5" ht="15.75">
      <c r="B43" s="260" t="s">
        <v>113</v>
      </c>
      <c r="C43" s="67">
        <v>27</v>
      </c>
      <c r="D43" s="67">
        <v>0</v>
      </c>
      <c r="E43" s="67">
        <v>0</v>
      </c>
    </row>
    <row r="44" spans="2:5" ht="15.75">
      <c r="B44" s="159" t="s">
        <v>14</v>
      </c>
      <c r="C44" s="67"/>
      <c r="D44" s="257"/>
      <c r="E44" s="257"/>
    </row>
    <row r="45" spans="2:5" ht="15.75">
      <c r="B45" s="252" t="s">
        <v>775</v>
      </c>
      <c r="C45" s="291">
        <f>IF(C46*0.1&lt;C44,"Exceed 10% Rule","")</f>
      </c>
      <c r="D45" s="262">
        <f>IF(D46*0.1&lt;D44,"Exceed 10% Rule","")</f>
      </c>
      <c r="E45" s="262">
        <f>IF(E46*0.1&lt;E44,"Exceed 10% Rule","")</f>
      </c>
    </row>
    <row r="46" spans="2:5" ht="15.75">
      <c r="B46" s="263" t="s">
        <v>114</v>
      </c>
      <c r="C46" s="266">
        <f>SUM(C39:C44)</f>
        <v>91811</v>
      </c>
      <c r="D46" s="266">
        <f>SUM(D39:D44)</f>
        <v>98290</v>
      </c>
      <c r="E46" s="266">
        <f>SUM(E39:E44)</f>
        <v>98290</v>
      </c>
    </row>
    <row r="47" spans="2:5" ht="15.75">
      <c r="B47" s="263" t="s">
        <v>115</v>
      </c>
      <c r="C47" s="266">
        <f>C37+C46</f>
        <v>175391</v>
      </c>
      <c r="D47" s="266">
        <f>D37+D46</f>
        <v>196476</v>
      </c>
      <c r="E47" s="266">
        <f>E37+E46</f>
        <v>188966</v>
      </c>
    </row>
    <row r="48" spans="2:5" ht="15.75">
      <c r="B48" s="150" t="s">
        <v>117</v>
      </c>
      <c r="C48" s="228"/>
      <c r="D48" s="228"/>
      <c r="E48" s="228"/>
    </row>
    <row r="49" spans="2:5" ht="15.75">
      <c r="B49" s="272" t="s">
        <v>1065</v>
      </c>
      <c r="C49" s="67"/>
      <c r="D49" s="67"/>
      <c r="E49" s="67"/>
    </row>
    <row r="50" spans="2:5" ht="15.75">
      <c r="B50" s="272" t="s">
        <v>1057</v>
      </c>
      <c r="C50" s="67">
        <v>35017</v>
      </c>
      <c r="D50" s="67">
        <v>50900</v>
      </c>
      <c r="E50" s="67">
        <v>50900</v>
      </c>
    </row>
    <row r="51" spans="2:5" ht="15.75">
      <c r="B51" s="272" t="s">
        <v>1058</v>
      </c>
      <c r="C51" s="67">
        <v>19777</v>
      </c>
      <c r="D51" s="67">
        <v>26000</v>
      </c>
      <c r="E51" s="67">
        <v>26000</v>
      </c>
    </row>
    <row r="52" spans="2:5" ht="15.75">
      <c r="B52" s="272" t="s">
        <v>1059</v>
      </c>
      <c r="C52" s="67">
        <v>21230</v>
      </c>
      <c r="D52" s="67">
        <v>27000</v>
      </c>
      <c r="E52" s="67">
        <v>27000</v>
      </c>
    </row>
    <row r="53" spans="2:5" ht="15.75">
      <c r="B53" s="272" t="s">
        <v>1066</v>
      </c>
      <c r="C53" s="67">
        <v>1181</v>
      </c>
      <c r="D53" s="67">
        <v>1900</v>
      </c>
      <c r="E53" s="67">
        <v>1900</v>
      </c>
    </row>
    <row r="54" spans="2:5" ht="15.75">
      <c r="B54" s="272" t="s">
        <v>1060</v>
      </c>
      <c r="C54" s="67">
        <v>0</v>
      </c>
      <c r="D54" s="67">
        <v>0</v>
      </c>
      <c r="E54" s="67">
        <v>80000</v>
      </c>
    </row>
    <row r="55" spans="2:5" ht="15.75">
      <c r="B55" s="272"/>
      <c r="C55" s="67"/>
      <c r="D55" s="67"/>
      <c r="E55" s="67"/>
    </row>
    <row r="56" spans="2:5" ht="15.75">
      <c r="B56" s="272"/>
      <c r="C56" s="67"/>
      <c r="D56" s="67"/>
      <c r="E56" s="67"/>
    </row>
    <row r="57" spans="2:5" ht="15.75">
      <c r="B57" s="273" t="s">
        <v>14</v>
      </c>
      <c r="C57" s="67"/>
      <c r="D57" s="257"/>
      <c r="E57" s="257"/>
    </row>
    <row r="58" spans="2:5" ht="15.75">
      <c r="B58" s="273" t="s">
        <v>776</v>
      </c>
      <c r="C58" s="291">
        <f>IF(C59*0.1&lt;C57,"Exceed 10% Rule","")</f>
      </c>
      <c r="D58" s="262">
        <f>IF(D59*0.1&lt;D57,"Exceed 10% Rule","")</f>
      </c>
      <c r="E58" s="262">
        <f>IF(E59*0.1&lt;E57,"Exceed 10% Rule","")</f>
      </c>
    </row>
    <row r="59" spans="2:5" ht="15.75">
      <c r="B59" s="263" t="s">
        <v>121</v>
      </c>
      <c r="C59" s="266">
        <f>SUM(C49:C57)</f>
        <v>77205</v>
      </c>
      <c r="D59" s="266">
        <f>SUM(D49:D57)</f>
        <v>105800</v>
      </c>
      <c r="E59" s="266">
        <f>SUM(E49:E57)</f>
        <v>185800</v>
      </c>
    </row>
    <row r="60" spans="2:5" ht="15.75">
      <c r="B60" s="150" t="s">
        <v>228</v>
      </c>
      <c r="C60" s="82">
        <f>C47-C59</f>
        <v>98186</v>
      </c>
      <c r="D60" s="82">
        <f>D47-D59</f>
        <v>90676</v>
      </c>
      <c r="E60" s="82">
        <f>E47-E59</f>
        <v>3166</v>
      </c>
    </row>
    <row r="61" spans="2:5" ht="15.75">
      <c r="B61" s="136" t="str">
        <f>CONCATENATE("",E1-2,"/",E1-1," Budget Authority Amount:")</f>
        <v>2011/2012 Budget Authority Amount:</v>
      </c>
      <c r="C61" s="241">
        <f>inputOth!B76</f>
        <v>165800</v>
      </c>
      <c r="D61" s="241">
        <f>inputPrYr!D37</f>
        <v>165800</v>
      </c>
      <c r="E61" s="372">
        <f>IF(E60&lt;0,"See Tab E","")</f>
      </c>
    </row>
    <row r="62" spans="2:5" ht="15.75">
      <c r="B62" s="136"/>
      <c r="C62" s="276">
        <f>IF(C59&gt;C61,"See Tab A","")</f>
      </c>
      <c r="D62" s="276">
        <f>IF(D59&gt;D61,"See Tab C","")</f>
      </c>
      <c r="E62" s="47"/>
    </row>
    <row r="63" spans="2:5" ht="15.75">
      <c r="B63" s="136"/>
      <c r="C63" s="276">
        <f>IF(C60&lt;0,"See Tab B","")</f>
      </c>
      <c r="D63" s="276">
        <f>IF(D60&lt;0,"See Tab D","")</f>
      </c>
      <c r="E63" s="47"/>
    </row>
    <row r="64" spans="2:5" ht="15.75">
      <c r="B64" s="47"/>
      <c r="C64" s="47"/>
      <c r="D64" s="47"/>
      <c r="E64" s="47"/>
    </row>
    <row r="65" spans="2:5" ht="15.75">
      <c r="B65" s="393" t="s">
        <v>124</v>
      </c>
      <c r="C65" s="281">
        <v>11</v>
      </c>
      <c r="D65" s="47"/>
      <c r="E65" s="47"/>
    </row>
  </sheetData>
  <sheetProtection sheet="1"/>
  <conditionalFormatting sqref="C13">
    <cfRule type="cellIs" priority="3" dxfId="86" operator="greaterThan" stopIfTrue="1">
      <formula>$C$15*0.1</formula>
    </cfRule>
  </conditionalFormatting>
  <conditionalFormatting sqref="D13">
    <cfRule type="cellIs" priority="4" dxfId="86" operator="greaterThan" stopIfTrue="1">
      <formula>$D$15*0.1</formula>
    </cfRule>
  </conditionalFormatting>
  <conditionalFormatting sqref="E13">
    <cfRule type="cellIs" priority="5" dxfId="86" operator="greaterThan" stopIfTrue="1">
      <formula>$E$15*0.1</formula>
    </cfRule>
  </conditionalFormatting>
  <conditionalFormatting sqref="C26">
    <cfRule type="cellIs" priority="6" dxfId="86" operator="greaterThan" stopIfTrue="1">
      <formula>$C$28*0.1</formula>
    </cfRule>
  </conditionalFormatting>
  <conditionalFormatting sqref="D26">
    <cfRule type="cellIs" priority="7" dxfId="86" operator="greaterThan" stopIfTrue="1">
      <formula>$D$28*0.1</formula>
    </cfRule>
  </conditionalFormatting>
  <conditionalFormatting sqref="E26">
    <cfRule type="cellIs" priority="8" dxfId="86" operator="greaterThan" stopIfTrue="1">
      <formula>$E$28*0.1</formula>
    </cfRule>
  </conditionalFormatting>
  <conditionalFormatting sqref="C44">
    <cfRule type="cellIs" priority="9" dxfId="86" operator="greaterThan" stopIfTrue="1">
      <formula>$C$46*0.1</formula>
    </cfRule>
  </conditionalFormatting>
  <conditionalFormatting sqref="D44">
    <cfRule type="cellIs" priority="10" dxfId="86" operator="greaterThan" stopIfTrue="1">
      <formula>$D$46*0.1</formula>
    </cfRule>
  </conditionalFormatting>
  <conditionalFormatting sqref="E44">
    <cfRule type="cellIs" priority="11" dxfId="86" operator="greaterThan" stopIfTrue="1">
      <formula>$E$46*0.1</formula>
    </cfRule>
  </conditionalFormatting>
  <conditionalFormatting sqref="C57">
    <cfRule type="cellIs" priority="12" dxfId="86" operator="greaterThan" stopIfTrue="1">
      <formula>$C$59*0.1</formula>
    </cfRule>
  </conditionalFormatting>
  <conditionalFormatting sqref="D57">
    <cfRule type="cellIs" priority="13" dxfId="86" operator="greaterThan" stopIfTrue="1">
      <formula>$D$59*0.1</formula>
    </cfRule>
  </conditionalFormatting>
  <conditionalFormatting sqref="E57">
    <cfRule type="cellIs" priority="14" dxfId="86" operator="greaterThan" stopIfTrue="1">
      <formula>$E$59*0.1</formula>
    </cfRule>
  </conditionalFormatting>
  <conditionalFormatting sqref="D59">
    <cfRule type="cellIs" priority="15" dxfId="2" operator="greaterThan" stopIfTrue="1">
      <formula>$D$61</formula>
    </cfRule>
  </conditionalFormatting>
  <conditionalFormatting sqref="C59">
    <cfRule type="cellIs" priority="16" dxfId="2" operator="greaterThan" stopIfTrue="1">
      <formula>$C$61</formula>
    </cfRule>
  </conditionalFormatting>
  <conditionalFormatting sqref="C60 E60 C29 E29">
    <cfRule type="cellIs" priority="17" dxfId="2" operator="lessThan" stopIfTrue="1">
      <formula>0</formula>
    </cfRule>
  </conditionalFormatting>
  <conditionalFormatting sqref="D28">
    <cfRule type="cellIs" priority="18" dxfId="2" operator="greaterThan" stopIfTrue="1">
      <formula>$D$30</formula>
    </cfRule>
  </conditionalFormatting>
  <conditionalFormatting sqref="C28">
    <cfRule type="cellIs" priority="19" dxfId="2"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6"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0">
      <selection activeCell="C66" sqref="C66"/>
    </sheetView>
  </sheetViews>
  <sheetFormatPr defaultColWidth="8.796875" defaultRowHeight="15"/>
  <cols>
    <col min="1" max="1" width="2.3984375" style="45" customWidth="1"/>
    <col min="2" max="2" width="31.09765625" style="45" customWidth="1"/>
    <col min="3" max="4" width="15.796875" style="45" customWidth="1"/>
    <col min="5" max="5" width="16.09765625" style="45" customWidth="1"/>
    <col min="6" max="16384" width="8.8984375" style="45" customWidth="1"/>
  </cols>
  <sheetData>
    <row r="1" spans="2:5" ht="15.75">
      <c r="B1" s="197" t="str">
        <f>(inputPrYr!D2)</f>
        <v>City of Frankfort</v>
      </c>
      <c r="C1" s="47"/>
      <c r="D1" s="47"/>
      <c r="E1" s="248">
        <f>inputPrYr!C5</f>
        <v>2013</v>
      </c>
    </row>
    <row r="2" spans="2:5" ht="15.75">
      <c r="B2" s="47"/>
      <c r="C2" s="47"/>
      <c r="D2" s="47"/>
      <c r="E2" s="169"/>
    </row>
    <row r="3" spans="2:5" ht="15.75">
      <c r="B3" s="249" t="s">
        <v>173</v>
      </c>
      <c r="C3" s="286"/>
      <c r="D3" s="286"/>
      <c r="E3" s="286"/>
    </row>
    <row r="4" spans="2:5" ht="15.75">
      <c r="B4" s="52" t="s">
        <v>105</v>
      </c>
      <c r="C4" s="695" t="s">
        <v>940</v>
      </c>
      <c r="D4" s="696" t="s">
        <v>941</v>
      </c>
      <c r="E4" s="144" t="s">
        <v>942</v>
      </c>
    </row>
    <row r="5" spans="2:5" ht="15.75">
      <c r="B5" s="523" t="str">
        <f>(inputPrYr!B38)</f>
        <v>Sewer Utility</v>
      </c>
      <c r="C5" s="225" t="str">
        <f>CONCATENATE("Actual for ",E1-2,"")</f>
        <v>Actual for 2011</v>
      </c>
      <c r="D5" s="225" t="str">
        <f>CONCATENATE("Estimate for ",E1-1,"")</f>
        <v>Estimate for 2012</v>
      </c>
      <c r="E5" s="208" t="str">
        <f>CONCATENATE("Year for ",E1,"")</f>
        <v>Year for 2013</v>
      </c>
    </row>
    <row r="6" spans="2:5" ht="15.75">
      <c r="B6" s="252" t="s">
        <v>227</v>
      </c>
      <c r="C6" s="67">
        <v>51766</v>
      </c>
      <c r="D6" s="228">
        <f>C29</f>
        <v>65455</v>
      </c>
      <c r="E6" s="228">
        <f>D29</f>
        <v>62755</v>
      </c>
    </row>
    <row r="7" spans="2:5" ht="15.75">
      <c r="B7" s="255" t="s">
        <v>229</v>
      </c>
      <c r="C7" s="87"/>
      <c r="D7" s="87"/>
      <c r="E7" s="87"/>
    </row>
    <row r="8" spans="2:5" ht="15.75">
      <c r="B8" s="272" t="s">
        <v>1054</v>
      </c>
      <c r="C8" s="67">
        <v>56463</v>
      </c>
      <c r="D8" s="67">
        <v>62000</v>
      </c>
      <c r="E8" s="67">
        <v>62000</v>
      </c>
    </row>
    <row r="9" spans="2:5" ht="15.75">
      <c r="B9" s="272" t="s">
        <v>1055</v>
      </c>
      <c r="C9" s="67">
        <v>0</v>
      </c>
      <c r="D9" s="67">
        <v>0</v>
      </c>
      <c r="E9" s="67">
        <v>0</v>
      </c>
    </row>
    <row r="10" spans="2:5" ht="15.75">
      <c r="B10" s="272" t="s">
        <v>1056</v>
      </c>
      <c r="C10" s="67">
        <v>100</v>
      </c>
      <c r="D10" s="67">
        <v>0</v>
      </c>
      <c r="E10" s="67">
        <v>0</v>
      </c>
    </row>
    <row r="11" spans="2:5" ht="15.75">
      <c r="B11" s="272"/>
      <c r="C11" s="67"/>
      <c r="D11" s="67"/>
      <c r="E11" s="67"/>
    </row>
    <row r="12" spans="2:5" ht="15.75">
      <c r="B12" s="260" t="s">
        <v>113</v>
      </c>
      <c r="C12" s="67">
        <v>20</v>
      </c>
      <c r="D12" s="67">
        <v>0</v>
      </c>
      <c r="E12" s="67">
        <v>0</v>
      </c>
    </row>
    <row r="13" spans="2:5" ht="15.75">
      <c r="B13" s="159" t="s">
        <v>14</v>
      </c>
      <c r="C13" s="67"/>
      <c r="D13" s="257"/>
      <c r="E13" s="257"/>
    </row>
    <row r="14" spans="2:5" ht="15.75">
      <c r="B14" s="252" t="s">
        <v>775</v>
      </c>
      <c r="C14" s="291">
        <f>IF(C15*0.1&lt;C13,"Exceed 10% Rule","")</f>
      </c>
      <c r="D14" s="262">
        <f>IF(D15*0.1&lt;D13,"Exceed 10% Rule","")</f>
      </c>
      <c r="E14" s="262">
        <f>IF(E15*0.1&lt;E13,"Exceed 10% Rule","")</f>
      </c>
    </row>
    <row r="15" spans="2:5" ht="15.75">
      <c r="B15" s="263" t="s">
        <v>114</v>
      </c>
      <c r="C15" s="266">
        <f>SUM(C8:C13)</f>
        <v>56583</v>
      </c>
      <c r="D15" s="266">
        <f>SUM(D8:D13)</f>
        <v>62000</v>
      </c>
      <c r="E15" s="266">
        <f>SUM(E8:E13)</f>
        <v>62000</v>
      </c>
    </row>
    <row r="16" spans="2:5" ht="15.75">
      <c r="B16" s="263" t="s">
        <v>115</v>
      </c>
      <c r="C16" s="266">
        <f>C6+C15</f>
        <v>108349</v>
      </c>
      <c r="D16" s="266">
        <f>D6+D15</f>
        <v>127455</v>
      </c>
      <c r="E16" s="266">
        <f>E6+E15</f>
        <v>124755</v>
      </c>
    </row>
    <row r="17" spans="2:5" ht="15.75">
      <c r="B17" s="150" t="s">
        <v>117</v>
      </c>
      <c r="C17" s="228"/>
      <c r="D17" s="228"/>
      <c r="E17" s="228"/>
    </row>
    <row r="18" spans="2:5" ht="15.75">
      <c r="B18" s="272" t="s">
        <v>1057</v>
      </c>
      <c r="C18" s="67">
        <v>33267</v>
      </c>
      <c r="D18" s="67">
        <v>36700</v>
      </c>
      <c r="E18" s="67">
        <v>37800</v>
      </c>
    </row>
    <row r="19" spans="2:5" ht="15.75">
      <c r="B19" s="272" t="s">
        <v>1058</v>
      </c>
      <c r="C19" s="67">
        <v>4570</v>
      </c>
      <c r="D19" s="67">
        <v>16000</v>
      </c>
      <c r="E19" s="67">
        <v>14000</v>
      </c>
    </row>
    <row r="20" spans="2:5" ht="15.75">
      <c r="B20" s="272" t="s">
        <v>1059</v>
      </c>
      <c r="C20" s="67">
        <v>5057</v>
      </c>
      <c r="D20" s="67">
        <v>12000</v>
      </c>
      <c r="E20" s="67">
        <v>13000</v>
      </c>
    </row>
    <row r="21" spans="2:5" ht="15.75">
      <c r="B21" s="272" t="s">
        <v>1060</v>
      </c>
      <c r="C21" s="67">
        <v>0</v>
      </c>
      <c r="D21" s="67">
        <v>0</v>
      </c>
      <c r="E21" s="67">
        <v>40000</v>
      </c>
    </row>
    <row r="22" spans="2:5" ht="15.75">
      <c r="B22" s="272"/>
      <c r="C22" s="67"/>
      <c r="D22" s="67"/>
      <c r="E22" s="67"/>
    </row>
    <row r="23" spans="2:5" ht="15.75">
      <c r="B23" s="272"/>
      <c r="C23" s="67"/>
      <c r="D23" s="67"/>
      <c r="E23" s="67"/>
    </row>
    <row r="24" spans="2:5" ht="15.75">
      <c r="B24" s="272"/>
      <c r="C24" s="67"/>
      <c r="D24" s="67"/>
      <c r="E24" s="67"/>
    </row>
    <row r="25" spans="2:5" ht="15.75">
      <c r="B25" s="272"/>
      <c r="C25" s="67"/>
      <c r="D25" s="67"/>
      <c r="E25" s="67"/>
    </row>
    <row r="26" spans="2:5" ht="15.75">
      <c r="B26" s="273" t="s">
        <v>14</v>
      </c>
      <c r="C26" s="67"/>
      <c r="D26" s="257"/>
      <c r="E26" s="257"/>
    </row>
    <row r="27" spans="2:5" ht="15.75">
      <c r="B27" s="273" t="s">
        <v>776</v>
      </c>
      <c r="C27" s="291">
        <f>IF(C28*0.1&lt;C26,"Exceed 10% Rule","")</f>
      </c>
      <c r="D27" s="262">
        <f>IF(D28*0.1&lt;D26,"Exceed 10% Rule","")</f>
      </c>
      <c r="E27" s="262">
        <f>IF(E28*0.1&lt;E26,"Exceed 10% Rule","")</f>
      </c>
    </row>
    <row r="28" spans="2:5" ht="15.75">
      <c r="B28" s="263" t="s">
        <v>121</v>
      </c>
      <c r="C28" s="266">
        <f>SUM(C18:C26)</f>
        <v>42894</v>
      </c>
      <c r="D28" s="266">
        <f>SUM(D18:D26)</f>
        <v>64700</v>
      </c>
      <c r="E28" s="266">
        <f>SUM(E18:E26)</f>
        <v>104800</v>
      </c>
    </row>
    <row r="29" spans="2:5" ht="15.75">
      <c r="B29" s="150" t="s">
        <v>228</v>
      </c>
      <c r="C29" s="82">
        <f>C16-C28</f>
        <v>65455</v>
      </c>
      <c r="D29" s="82">
        <f>D16-D28</f>
        <v>62755</v>
      </c>
      <c r="E29" s="82">
        <f>E16-E28</f>
        <v>19955</v>
      </c>
    </row>
    <row r="30" spans="2:5" ht="15.75">
      <c r="B30" s="136" t="str">
        <f>CONCATENATE("",E1-2,"/",E1-1," Budget Authority Amount:")</f>
        <v>2011/2012 Budget Authority Amount:</v>
      </c>
      <c r="C30" s="241">
        <f>inputOth!B77</f>
        <v>94700</v>
      </c>
      <c r="D30" s="241">
        <f>inputPrYr!D38</f>
        <v>104700</v>
      </c>
      <c r="E30" s="372">
        <f>IF(E29&lt;0,"See Tab E","")</f>
      </c>
    </row>
    <row r="31" spans="2:5" ht="15.75">
      <c r="B31" s="136"/>
      <c r="C31" s="276">
        <f>IF(C28&gt;C30,"See Tab A","")</f>
      </c>
      <c r="D31" s="276">
        <f>IF(D28&gt;D30,"See Tab C","")</f>
      </c>
      <c r="E31" s="97"/>
    </row>
    <row r="32" spans="2:5" ht="15.75">
      <c r="B32" s="136"/>
      <c r="C32" s="276">
        <f>IF(C29&lt;0,"See Tab B","")</f>
      </c>
      <c r="D32" s="276">
        <f>IF(D29&lt;0,"See Tab D","")</f>
      </c>
      <c r="E32" s="97"/>
    </row>
    <row r="33" spans="2:5" ht="15.75">
      <c r="B33" s="47"/>
      <c r="C33" s="97"/>
      <c r="D33" s="97"/>
      <c r="E33" s="97"/>
    </row>
    <row r="34" spans="2:5" ht="15.75">
      <c r="B34" s="52" t="s">
        <v>105</v>
      </c>
      <c r="C34" s="289"/>
      <c r="D34" s="289"/>
      <c r="E34" s="289"/>
    </row>
    <row r="35" spans="2:5" ht="15.75">
      <c r="B35" s="47"/>
      <c r="C35" s="695" t="s">
        <v>940</v>
      </c>
      <c r="D35" s="696" t="s">
        <v>941</v>
      </c>
      <c r="E35" s="144" t="s">
        <v>942</v>
      </c>
    </row>
    <row r="36" spans="2:5" ht="15.75">
      <c r="B36" s="523">
        <f>(inputPrYr!B39)</f>
        <v>0</v>
      </c>
      <c r="C36" s="225" t="str">
        <f>CONCATENATE("Actual for ",$E$1-2,"")</f>
        <v>Actual for 2011</v>
      </c>
      <c r="D36" s="225" t="str">
        <f>CONCATENATE("Estimate for ",$E$1-1,"")</f>
        <v>Estimate for 2012</v>
      </c>
      <c r="E36" s="208" t="str">
        <f>CONCATENATE("Year for ",$E$1,"")</f>
        <v>Year for 2013</v>
      </c>
    </row>
    <row r="37" spans="2:5" ht="15.75">
      <c r="B37" s="252" t="s">
        <v>227</v>
      </c>
      <c r="C37" s="67"/>
      <c r="D37" s="228">
        <f>C60</f>
        <v>0</v>
      </c>
      <c r="E37" s="228">
        <f>D60</f>
        <v>0</v>
      </c>
    </row>
    <row r="38" spans="2:5" ht="15.75">
      <c r="B38" s="255" t="s">
        <v>229</v>
      </c>
      <c r="C38" s="87"/>
      <c r="D38" s="87"/>
      <c r="E38" s="87"/>
    </row>
    <row r="39" spans="2:5" ht="15.75">
      <c r="B39" s="272"/>
      <c r="C39" s="67"/>
      <c r="D39" s="67"/>
      <c r="E39" s="67"/>
    </row>
    <row r="40" spans="2:5" ht="15.75">
      <c r="B40" s="272"/>
      <c r="C40" s="67"/>
      <c r="D40" s="67"/>
      <c r="E40" s="67"/>
    </row>
    <row r="41" spans="2:5" ht="15.75">
      <c r="B41" s="272"/>
      <c r="C41" s="67"/>
      <c r="D41" s="67"/>
      <c r="E41" s="67"/>
    </row>
    <row r="42" spans="2:5" ht="15.75">
      <c r="B42" s="272"/>
      <c r="C42" s="67"/>
      <c r="D42" s="67"/>
      <c r="E42" s="67"/>
    </row>
    <row r="43" spans="2:5" ht="15.75">
      <c r="B43" s="260" t="s">
        <v>113</v>
      </c>
      <c r="C43" s="67"/>
      <c r="D43" s="67"/>
      <c r="E43" s="67"/>
    </row>
    <row r="44" spans="2:5" ht="15.75">
      <c r="B44" s="159" t="s">
        <v>14</v>
      </c>
      <c r="C44" s="67"/>
      <c r="D44" s="257"/>
      <c r="E44" s="257"/>
    </row>
    <row r="45" spans="2:5" ht="15.75">
      <c r="B45" s="252" t="s">
        <v>775</v>
      </c>
      <c r="C45" s="291">
        <f>IF(C46*0.1&lt;C44,"Exceed 10% Rule","")</f>
      </c>
      <c r="D45" s="262">
        <f>IF(D46*0.1&lt;D44,"Exceed 10% Rule","")</f>
      </c>
      <c r="E45" s="262">
        <f>IF(E46*0.1&lt;E44,"Exceed 10% Rule","")</f>
      </c>
    </row>
    <row r="46" spans="2:5" ht="15.75">
      <c r="B46" s="263" t="s">
        <v>114</v>
      </c>
      <c r="C46" s="266">
        <f>SUM(C39:C44)</f>
        <v>0</v>
      </c>
      <c r="D46" s="266">
        <f>SUM(D39:D44)</f>
        <v>0</v>
      </c>
      <c r="E46" s="266">
        <f>SUM(E39:E44)</f>
        <v>0</v>
      </c>
    </row>
    <row r="47" spans="2:5" ht="15.75">
      <c r="B47" s="263" t="s">
        <v>115</v>
      </c>
      <c r="C47" s="266">
        <f>C37+C46</f>
        <v>0</v>
      </c>
      <c r="D47" s="266">
        <f>D37+D46</f>
        <v>0</v>
      </c>
      <c r="E47" s="266">
        <f>E37+E46</f>
        <v>0</v>
      </c>
    </row>
    <row r="48" spans="2:5" ht="15.75">
      <c r="B48" s="150" t="s">
        <v>117</v>
      </c>
      <c r="C48" s="228"/>
      <c r="D48" s="228"/>
      <c r="E48" s="228"/>
    </row>
    <row r="49" spans="2:5" ht="15.75">
      <c r="B49" s="272"/>
      <c r="C49" s="67"/>
      <c r="D49" s="67"/>
      <c r="E49" s="67"/>
    </row>
    <row r="50" spans="2:5" ht="15.75">
      <c r="B50" s="272"/>
      <c r="C50" s="67"/>
      <c r="D50" s="67"/>
      <c r="E50" s="67"/>
    </row>
    <row r="51" spans="2:5" ht="15.75">
      <c r="B51" s="272"/>
      <c r="C51" s="67"/>
      <c r="D51" s="67"/>
      <c r="E51" s="67"/>
    </row>
    <row r="52" spans="2:5" ht="15.75">
      <c r="B52" s="272"/>
      <c r="C52" s="67"/>
      <c r="D52" s="67"/>
      <c r="E52" s="67"/>
    </row>
    <row r="53" spans="2:5" ht="15.75">
      <c r="B53" s="272"/>
      <c r="C53" s="67"/>
      <c r="D53" s="67"/>
      <c r="E53" s="67"/>
    </row>
    <row r="54" spans="2:5" ht="15.75">
      <c r="B54" s="272"/>
      <c r="C54" s="67"/>
      <c r="D54" s="67"/>
      <c r="E54" s="67"/>
    </row>
    <row r="55" spans="2:5" ht="15.75">
      <c r="B55" s="272"/>
      <c r="C55" s="67"/>
      <c r="D55" s="67"/>
      <c r="E55" s="67"/>
    </row>
    <row r="56" spans="2:5" ht="15.75">
      <c r="B56" s="272"/>
      <c r="C56" s="67"/>
      <c r="D56" s="67"/>
      <c r="E56" s="67"/>
    </row>
    <row r="57" spans="2:5" ht="15.75">
      <c r="B57" s="273" t="s">
        <v>14</v>
      </c>
      <c r="C57" s="67"/>
      <c r="D57" s="257"/>
      <c r="E57" s="257"/>
    </row>
    <row r="58" spans="2:5" ht="15.75">
      <c r="B58" s="290" t="s">
        <v>776</v>
      </c>
      <c r="C58" s="291">
        <f>IF(C59*0.1&lt;C57,"Exceed 10% Rule","")</f>
      </c>
      <c r="D58" s="262">
        <f>IF(D59*0.1&lt;D57,"Exceed 10% Rule","")</f>
      </c>
      <c r="E58" s="262">
        <f>IF(E59*0.1&lt;E57,"Exceed 10% Rule","")</f>
      </c>
    </row>
    <row r="59" spans="2:5" ht="15.75">
      <c r="B59" s="263" t="s">
        <v>121</v>
      </c>
      <c r="C59" s="266">
        <f>SUM(C49:C57)</f>
        <v>0</v>
      </c>
      <c r="D59" s="266">
        <f>SUM(D49:D57)</f>
        <v>0</v>
      </c>
      <c r="E59" s="266">
        <f>SUM(E49:E57)</f>
        <v>0</v>
      </c>
    </row>
    <row r="60" spans="2:5" ht="15.75">
      <c r="B60" s="150" t="s">
        <v>228</v>
      </c>
      <c r="C60" s="82">
        <f>C47-C59</f>
        <v>0</v>
      </c>
      <c r="D60" s="82">
        <f>D47-D59</f>
        <v>0</v>
      </c>
      <c r="E60" s="82">
        <f>E47-E59</f>
        <v>0</v>
      </c>
    </row>
    <row r="61" spans="2:5" ht="15.75">
      <c r="B61" s="136" t="str">
        <f>CONCATENATE("",E1-2,"/",E1-1," Budget Authority Amount:")</f>
        <v>2011/2012 Budget Authority Amount:</v>
      </c>
      <c r="C61" s="241">
        <f>inputOth!B78</f>
        <v>0</v>
      </c>
      <c r="D61" s="241">
        <f>inputPrYr!D39</f>
        <v>0</v>
      </c>
      <c r="E61" s="372">
        <f>IF(E60&lt;0,"See Tab E","")</f>
      </c>
    </row>
    <row r="62" spans="2:5" ht="15.75">
      <c r="B62" s="136"/>
      <c r="C62" s="276">
        <f>IF(C59&gt;C61,"See Tab A","")</f>
      </c>
      <c r="D62" s="276">
        <f>IF(D59&gt;D61,"See Tab C","")</f>
      </c>
      <c r="E62" s="47"/>
    </row>
    <row r="63" spans="2:5" ht="15.75">
      <c r="B63" s="136"/>
      <c r="C63" s="276">
        <f>IF(C60&lt;0,"See Tab B","")</f>
      </c>
      <c r="D63" s="276">
        <f>IF(D60&lt;0,"See Tab D","")</f>
      </c>
      <c r="E63" s="47"/>
    </row>
    <row r="64" spans="2:5" ht="15.75">
      <c r="B64" s="47"/>
      <c r="C64" s="47"/>
      <c r="D64" s="47"/>
      <c r="E64" s="47"/>
    </row>
    <row r="65" spans="2:5" ht="15.75">
      <c r="B65" s="393" t="s">
        <v>124</v>
      </c>
      <c r="C65" s="281">
        <v>12</v>
      </c>
      <c r="D65" s="47"/>
      <c r="E65" s="47"/>
    </row>
  </sheetData>
  <sheetProtection sheet="1"/>
  <conditionalFormatting sqref="C13">
    <cfRule type="cellIs" priority="3" dxfId="86" operator="greaterThan" stopIfTrue="1">
      <formula>$C$15*0.1</formula>
    </cfRule>
  </conditionalFormatting>
  <conditionalFormatting sqref="D13">
    <cfRule type="cellIs" priority="4" dxfId="86" operator="greaterThan" stopIfTrue="1">
      <formula>$D$15*0.1</formula>
    </cfRule>
  </conditionalFormatting>
  <conditionalFormatting sqref="E13">
    <cfRule type="cellIs" priority="5" dxfId="86" operator="greaterThan" stopIfTrue="1">
      <formula>$E$15*0.1</formula>
    </cfRule>
  </conditionalFormatting>
  <conditionalFormatting sqref="C26">
    <cfRule type="cellIs" priority="6" dxfId="86" operator="greaterThan" stopIfTrue="1">
      <formula>$C$28*0.1</formula>
    </cfRule>
  </conditionalFormatting>
  <conditionalFormatting sqref="D26">
    <cfRule type="cellIs" priority="7" dxfId="86" operator="greaterThan" stopIfTrue="1">
      <formula>$D$28*0.1</formula>
    </cfRule>
  </conditionalFormatting>
  <conditionalFormatting sqref="E26">
    <cfRule type="cellIs" priority="8" dxfId="86" operator="greaterThan" stopIfTrue="1">
      <formula>$E$28*0.1</formula>
    </cfRule>
  </conditionalFormatting>
  <conditionalFormatting sqref="C44">
    <cfRule type="cellIs" priority="9" dxfId="86" operator="greaterThan" stopIfTrue="1">
      <formula>$C$46*0.1</formula>
    </cfRule>
  </conditionalFormatting>
  <conditionalFormatting sqref="D44">
    <cfRule type="cellIs" priority="10" dxfId="86" operator="greaterThan" stopIfTrue="1">
      <formula>$D$46*0.1</formula>
    </cfRule>
  </conditionalFormatting>
  <conditionalFormatting sqref="E44">
    <cfRule type="cellIs" priority="11" dxfId="86" operator="greaterThan" stopIfTrue="1">
      <formula>$E$46*0.1</formula>
    </cfRule>
  </conditionalFormatting>
  <conditionalFormatting sqref="C57">
    <cfRule type="cellIs" priority="12" dxfId="86" operator="greaterThan" stopIfTrue="1">
      <formula>$C$59*0.1</formula>
    </cfRule>
  </conditionalFormatting>
  <conditionalFormatting sqref="D57">
    <cfRule type="cellIs" priority="13" dxfId="86" operator="greaterThan" stopIfTrue="1">
      <formula>$D$59*0.1</formula>
    </cfRule>
  </conditionalFormatting>
  <conditionalFormatting sqref="E57">
    <cfRule type="cellIs" priority="14" dxfId="86" operator="greaterThan" stopIfTrue="1">
      <formula>$E$59*0.1</formula>
    </cfRule>
  </conditionalFormatting>
  <conditionalFormatting sqref="D59">
    <cfRule type="cellIs" priority="15" dxfId="2" operator="greaterThan" stopIfTrue="1">
      <formula>$D$61</formula>
    </cfRule>
  </conditionalFormatting>
  <conditionalFormatting sqref="C59">
    <cfRule type="cellIs" priority="16" dxfId="2" operator="greaterThan" stopIfTrue="1">
      <formula>$C$61</formula>
    </cfRule>
  </conditionalFormatting>
  <conditionalFormatting sqref="C60 E60 C29 E29">
    <cfRule type="cellIs" priority="17" dxfId="2" operator="lessThan" stopIfTrue="1">
      <formula>0</formula>
    </cfRule>
  </conditionalFormatting>
  <conditionalFormatting sqref="D28">
    <cfRule type="cellIs" priority="18" dxfId="2" operator="greaterThan" stopIfTrue="1">
      <formula>$D$30</formula>
    </cfRule>
  </conditionalFormatting>
  <conditionalFormatting sqref="C28">
    <cfRule type="cellIs" priority="19" dxfId="2"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6"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4">
      <selection activeCell="F34" sqref="F34"/>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4" t="str">
        <f>inputPrYr!$D$2</f>
        <v>City of Frankfort</v>
      </c>
      <c r="B1" s="292"/>
      <c r="C1" s="173"/>
      <c r="D1" s="173"/>
      <c r="E1" s="173"/>
      <c r="F1" s="175" t="s">
        <v>251</v>
      </c>
      <c r="G1" s="173"/>
      <c r="H1" s="173"/>
      <c r="I1" s="173"/>
      <c r="J1" s="173"/>
      <c r="K1" s="173">
        <f>inputPrYr!$C$5</f>
        <v>2013</v>
      </c>
    </row>
    <row r="2" spans="1:11" ht="15.75">
      <c r="A2" s="173"/>
      <c r="B2" s="173"/>
      <c r="C2" s="173"/>
      <c r="D2" s="173"/>
      <c r="E2" s="173"/>
      <c r="F2" s="293" t="str">
        <f>CONCATENATE("(Only the actual budget year for ",K1-2," is to be shown)")</f>
        <v>(Only the actual budget year for 2011 is to be shown)</v>
      </c>
      <c r="G2" s="173"/>
      <c r="H2" s="173"/>
      <c r="I2" s="173"/>
      <c r="J2" s="173"/>
      <c r="K2" s="173"/>
    </row>
    <row r="3" spans="1:11" ht="15.75">
      <c r="A3" s="173" t="s">
        <v>292</v>
      </c>
      <c r="B3" s="173"/>
      <c r="C3" s="173"/>
      <c r="D3" s="173"/>
      <c r="E3" s="173"/>
      <c r="F3" s="294"/>
      <c r="G3" s="173"/>
      <c r="H3" s="173"/>
      <c r="I3" s="173"/>
      <c r="J3" s="173"/>
      <c r="K3" s="173"/>
    </row>
    <row r="4" spans="1:11" ht="15.75">
      <c r="A4" s="173" t="s">
        <v>252</v>
      </c>
      <c r="B4" s="173"/>
      <c r="C4" s="173" t="s">
        <v>253</v>
      </c>
      <c r="D4" s="173"/>
      <c r="E4" s="173" t="s">
        <v>254</v>
      </c>
      <c r="F4" s="292"/>
      <c r="G4" s="173" t="s">
        <v>255</v>
      </c>
      <c r="H4" s="173"/>
      <c r="I4" s="173" t="s">
        <v>256</v>
      </c>
      <c r="J4" s="173"/>
      <c r="K4" s="173"/>
    </row>
    <row r="5" spans="1:11" ht="15.75">
      <c r="A5" s="796" t="str">
        <f>IF(inputPrYr!B57&gt;" ",(inputPrYr!B57)," ")</f>
        <v>Capital Improvement</v>
      </c>
      <c r="B5" s="797"/>
      <c r="C5" s="796" t="str">
        <f>IF(inputPrYr!B58&gt;" ",(inputPrYr!B58)," ")</f>
        <v> </v>
      </c>
      <c r="D5" s="797"/>
      <c r="E5" s="796" t="str">
        <f>IF(inputPrYr!B59&gt;" ",(inputPrYr!B59)," ")</f>
        <v> </v>
      </c>
      <c r="F5" s="797"/>
      <c r="G5" s="796" t="str">
        <f>IF(inputPrYr!B60&gt;" ",(inputPrYr!B60)," ")</f>
        <v> </v>
      </c>
      <c r="H5" s="797"/>
      <c r="I5" s="796" t="str">
        <f>IF(inputPrYr!B61&gt;" ",(inputPrYr!B61)," ")</f>
        <v> </v>
      </c>
      <c r="J5" s="797"/>
      <c r="K5" s="124"/>
    </row>
    <row r="6" spans="1:11" ht="15.75">
      <c r="A6" s="296" t="s">
        <v>257</v>
      </c>
      <c r="B6" s="297"/>
      <c r="C6" s="298" t="s">
        <v>257</v>
      </c>
      <c r="D6" s="299"/>
      <c r="E6" s="298" t="s">
        <v>257</v>
      </c>
      <c r="F6" s="295"/>
      <c r="G6" s="298" t="s">
        <v>257</v>
      </c>
      <c r="H6" s="300"/>
      <c r="I6" s="298" t="s">
        <v>257</v>
      </c>
      <c r="J6" s="173"/>
      <c r="K6" s="301" t="s">
        <v>77</v>
      </c>
    </row>
    <row r="7" spans="1:11" ht="15.75">
      <c r="A7" s="302" t="s">
        <v>21</v>
      </c>
      <c r="B7" s="303">
        <v>288835</v>
      </c>
      <c r="C7" s="304" t="s">
        <v>21</v>
      </c>
      <c r="D7" s="303"/>
      <c r="E7" s="304" t="s">
        <v>21</v>
      </c>
      <c r="F7" s="303"/>
      <c r="G7" s="304" t="s">
        <v>21</v>
      </c>
      <c r="H7" s="303"/>
      <c r="I7" s="304" t="s">
        <v>21</v>
      </c>
      <c r="J7" s="303"/>
      <c r="K7" s="305">
        <f>SUM(B7+D7+F7+H7+J7)</f>
        <v>288835</v>
      </c>
    </row>
    <row r="8" spans="1:11" ht="15.75">
      <c r="A8" s="306" t="s">
        <v>229</v>
      </c>
      <c r="B8" s="307"/>
      <c r="C8" s="306" t="s">
        <v>229</v>
      </c>
      <c r="D8" s="308"/>
      <c r="E8" s="306" t="s">
        <v>229</v>
      </c>
      <c r="F8" s="292"/>
      <c r="G8" s="306" t="s">
        <v>229</v>
      </c>
      <c r="H8" s="173"/>
      <c r="I8" s="306" t="s">
        <v>229</v>
      </c>
      <c r="J8" s="173"/>
      <c r="K8" s="292"/>
    </row>
    <row r="9" spans="1:11" ht="15.75">
      <c r="A9" s="309" t="s">
        <v>1052</v>
      </c>
      <c r="B9" s="303">
        <v>700</v>
      </c>
      <c r="C9" s="309"/>
      <c r="D9" s="303"/>
      <c r="E9" s="309"/>
      <c r="F9" s="303"/>
      <c r="G9" s="309"/>
      <c r="H9" s="303"/>
      <c r="I9" s="309"/>
      <c r="J9" s="303"/>
      <c r="K9" s="292"/>
    </row>
    <row r="10" spans="1:11" ht="15.75">
      <c r="A10" s="309" t="s">
        <v>1053</v>
      </c>
      <c r="B10" s="303">
        <v>30000</v>
      </c>
      <c r="C10" s="309"/>
      <c r="D10" s="303"/>
      <c r="E10" s="309"/>
      <c r="F10" s="303"/>
      <c r="G10" s="309"/>
      <c r="H10" s="303"/>
      <c r="I10" s="309"/>
      <c r="J10" s="303"/>
      <c r="K10" s="292"/>
    </row>
    <row r="11" spans="1:11" ht="15.75">
      <c r="A11" s="309" t="s">
        <v>113</v>
      </c>
      <c r="B11" s="303">
        <v>4233</v>
      </c>
      <c r="C11" s="310"/>
      <c r="D11" s="303"/>
      <c r="E11" s="310"/>
      <c r="F11" s="303"/>
      <c r="G11" s="310"/>
      <c r="H11" s="303"/>
      <c r="I11" s="311"/>
      <c r="J11" s="303"/>
      <c r="K11" s="292"/>
    </row>
    <row r="12" spans="1:11" ht="15.75">
      <c r="A12" s="309"/>
      <c r="B12" s="303"/>
      <c r="C12" s="309"/>
      <c r="D12" s="303"/>
      <c r="E12" s="312"/>
      <c r="F12" s="303"/>
      <c r="G12" s="312"/>
      <c r="H12" s="303"/>
      <c r="I12" s="312"/>
      <c r="J12" s="303"/>
      <c r="K12" s="292"/>
    </row>
    <row r="13" spans="1:11" ht="15.75">
      <c r="A13" s="313"/>
      <c r="B13" s="303"/>
      <c r="C13" s="314"/>
      <c r="D13" s="303"/>
      <c r="E13" s="314"/>
      <c r="F13" s="303"/>
      <c r="G13" s="314"/>
      <c r="H13" s="303"/>
      <c r="I13" s="311"/>
      <c r="J13" s="303"/>
      <c r="K13" s="292"/>
    </row>
    <row r="14" spans="1:11" ht="15.75">
      <c r="A14" s="309"/>
      <c r="B14" s="303"/>
      <c r="C14" s="312"/>
      <c r="D14" s="303"/>
      <c r="E14" s="312"/>
      <c r="F14" s="303"/>
      <c r="G14" s="312"/>
      <c r="H14" s="303"/>
      <c r="I14" s="312"/>
      <c r="J14" s="303"/>
      <c r="K14" s="292"/>
    </row>
    <row r="15" spans="1:11" ht="15.75">
      <c r="A15" s="309"/>
      <c r="B15" s="303"/>
      <c r="C15" s="312"/>
      <c r="D15" s="303"/>
      <c r="E15" s="312"/>
      <c r="F15" s="303"/>
      <c r="G15" s="312"/>
      <c r="H15" s="303"/>
      <c r="I15" s="312"/>
      <c r="J15" s="303"/>
      <c r="K15" s="292"/>
    </row>
    <row r="16" spans="1:11" ht="15.75">
      <c r="A16" s="309"/>
      <c r="B16" s="303"/>
      <c r="C16" s="309"/>
      <c r="D16" s="303"/>
      <c r="E16" s="309"/>
      <c r="F16" s="303"/>
      <c r="G16" s="312"/>
      <c r="H16" s="303"/>
      <c r="I16" s="309"/>
      <c r="J16" s="303"/>
      <c r="K16" s="292"/>
    </row>
    <row r="17" spans="1:11" ht="15.75">
      <c r="A17" s="306" t="s">
        <v>114</v>
      </c>
      <c r="B17" s="305">
        <f>SUM(B9:B16)</f>
        <v>34933</v>
      </c>
      <c r="C17" s="306" t="s">
        <v>114</v>
      </c>
      <c r="D17" s="305">
        <f>SUM(D9:D16)</f>
        <v>0</v>
      </c>
      <c r="E17" s="306" t="s">
        <v>114</v>
      </c>
      <c r="F17" s="370">
        <f>SUM(F9:F16)</f>
        <v>0</v>
      </c>
      <c r="G17" s="306" t="s">
        <v>114</v>
      </c>
      <c r="H17" s="305">
        <f>SUM(H9:H16)</f>
        <v>0</v>
      </c>
      <c r="I17" s="306" t="s">
        <v>114</v>
      </c>
      <c r="J17" s="305">
        <f>SUM(J9:J16)</f>
        <v>0</v>
      </c>
      <c r="K17" s="305">
        <f>SUM(B17+D17+F17+H17+J17)</f>
        <v>34933</v>
      </c>
    </row>
    <row r="18" spans="1:11" ht="15.75">
      <c r="A18" s="306" t="s">
        <v>115</v>
      </c>
      <c r="B18" s="305">
        <f>SUM(B7+B17)</f>
        <v>323768</v>
      </c>
      <c r="C18" s="306" t="s">
        <v>115</v>
      </c>
      <c r="D18" s="305">
        <f>SUM(D7+D17)</f>
        <v>0</v>
      </c>
      <c r="E18" s="306" t="s">
        <v>115</v>
      </c>
      <c r="F18" s="305">
        <f>SUM(F7+F17)</f>
        <v>0</v>
      </c>
      <c r="G18" s="306" t="s">
        <v>115</v>
      </c>
      <c r="H18" s="305">
        <f>SUM(H7+H17)</f>
        <v>0</v>
      </c>
      <c r="I18" s="306" t="s">
        <v>115</v>
      </c>
      <c r="J18" s="305">
        <f>SUM(J7+J17)</f>
        <v>0</v>
      </c>
      <c r="K18" s="305">
        <f>SUM(B18+D18+F18+H18+J18)</f>
        <v>323768</v>
      </c>
    </row>
    <row r="19" spans="1:11" ht="15.75">
      <c r="A19" s="306" t="s">
        <v>117</v>
      </c>
      <c r="B19" s="307"/>
      <c r="C19" s="306" t="s">
        <v>117</v>
      </c>
      <c r="D19" s="308"/>
      <c r="E19" s="306" t="s">
        <v>117</v>
      </c>
      <c r="F19" s="292"/>
      <c r="G19" s="306" t="s">
        <v>117</v>
      </c>
      <c r="H19" s="173"/>
      <c r="I19" s="306" t="s">
        <v>117</v>
      </c>
      <c r="J19" s="173"/>
      <c r="K19" s="292"/>
    </row>
    <row r="20" spans="1:11" ht="15.75">
      <c r="A20" s="309" t="s">
        <v>1060</v>
      </c>
      <c r="B20" s="303">
        <v>49936</v>
      </c>
      <c r="C20" s="312"/>
      <c r="D20" s="303"/>
      <c r="E20" s="312"/>
      <c r="F20" s="303"/>
      <c r="G20" s="312"/>
      <c r="H20" s="303"/>
      <c r="I20" s="312"/>
      <c r="J20" s="303"/>
      <c r="K20" s="292"/>
    </row>
    <row r="21" spans="1:11" ht="15.75">
      <c r="A21" s="309"/>
      <c r="B21" s="303"/>
      <c r="C21" s="312"/>
      <c r="D21" s="303"/>
      <c r="E21" s="312"/>
      <c r="F21" s="303"/>
      <c r="G21" s="312"/>
      <c r="H21" s="303"/>
      <c r="I21" s="312"/>
      <c r="J21" s="303"/>
      <c r="K21" s="292"/>
    </row>
    <row r="22" spans="1:11" ht="15.75">
      <c r="A22" s="309"/>
      <c r="B22" s="303"/>
      <c r="C22" s="314"/>
      <c r="D22" s="303"/>
      <c r="E22" s="314"/>
      <c r="F22" s="303"/>
      <c r="G22" s="314"/>
      <c r="H22" s="303"/>
      <c r="I22" s="311"/>
      <c r="J22" s="303"/>
      <c r="K22" s="292"/>
    </row>
    <row r="23" spans="1:11" ht="15.75">
      <c r="A23" s="309"/>
      <c r="B23" s="303"/>
      <c r="C23" s="312"/>
      <c r="D23" s="303"/>
      <c r="E23" s="312"/>
      <c r="F23" s="303"/>
      <c r="G23" s="312"/>
      <c r="H23" s="303"/>
      <c r="I23" s="312"/>
      <c r="J23" s="303"/>
      <c r="K23" s="292"/>
    </row>
    <row r="24" spans="1:11" ht="15.75">
      <c r="A24" s="309"/>
      <c r="B24" s="303"/>
      <c r="C24" s="314"/>
      <c r="D24" s="303"/>
      <c r="E24" s="314"/>
      <c r="F24" s="303"/>
      <c r="G24" s="314"/>
      <c r="H24" s="303"/>
      <c r="I24" s="311"/>
      <c r="J24" s="303"/>
      <c r="K24" s="292"/>
    </row>
    <row r="25" spans="1:11" ht="15.75">
      <c r="A25" s="309"/>
      <c r="B25" s="303"/>
      <c r="C25" s="312"/>
      <c r="D25" s="303"/>
      <c r="E25" s="312"/>
      <c r="F25" s="303"/>
      <c r="G25" s="312"/>
      <c r="H25" s="303"/>
      <c r="I25" s="312"/>
      <c r="J25" s="303"/>
      <c r="K25" s="292"/>
    </row>
    <row r="26" spans="1:11" ht="15.75">
      <c r="A26" s="309"/>
      <c r="B26" s="303"/>
      <c r="C26" s="312"/>
      <c r="D26" s="303"/>
      <c r="E26" s="312"/>
      <c r="F26" s="303"/>
      <c r="G26" s="312"/>
      <c r="H26" s="303"/>
      <c r="I26" s="312"/>
      <c r="J26" s="303"/>
      <c r="K26" s="292"/>
    </row>
    <row r="27" spans="1:11" ht="15.75">
      <c r="A27" s="309"/>
      <c r="B27" s="303"/>
      <c r="C27" s="309"/>
      <c r="D27" s="303"/>
      <c r="E27" s="309"/>
      <c r="F27" s="303"/>
      <c r="G27" s="312"/>
      <c r="H27" s="303"/>
      <c r="I27" s="312"/>
      <c r="J27" s="303"/>
      <c r="K27" s="292"/>
    </row>
    <row r="28" spans="1:11" ht="15.75">
      <c r="A28" s="306" t="s">
        <v>121</v>
      </c>
      <c r="B28" s="305">
        <f>SUM(B20:B27)</f>
        <v>49936</v>
      </c>
      <c r="C28" s="306" t="s">
        <v>121</v>
      </c>
      <c r="D28" s="305">
        <f>SUM(D20:D27)</f>
        <v>0</v>
      </c>
      <c r="E28" s="306" t="s">
        <v>121</v>
      </c>
      <c r="F28" s="370">
        <f>SUM(F20:F27)</f>
        <v>0</v>
      </c>
      <c r="G28" s="306" t="s">
        <v>121</v>
      </c>
      <c r="H28" s="370">
        <f>SUM(H20:H27)</f>
        <v>0</v>
      </c>
      <c r="I28" s="306" t="s">
        <v>121</v>
      </c>
      <c r="J28" s="305">
        <f>SUM(J20:J27)</f>
        <v>0</v>
      </c>
      <c r="K28" s="305">
        <f>SUM(B28+D28+F28+H28+J28)</f>
        <v>49936</v>
      </c>
    </row>
    <row r="29" spans="1:12" ht="15.75">
      <c r="A29" s="306" t="s">
        <v>258</v>
      </c>
      <c r="B29" s="305">
        <f>SUM(B18-B28)</f>
        <v>273832</v>
      </c>
      <c r="C29" s="306" t="s">
        <v>258</v>
      </c>
      <c r="D29" s="305">
        <f>SUM(D18-D28)</f>
        <v>0</v>
      </c>
      <c r="E29" s="306" t="s">
        <v>258</v>
      </c>
      <c r="F29" s="305">
        <f>SUM(F18-F28)</f>
        <v>0</v>
      </c>
      <c r="G29" s="306" t="s">
        <v>258</v>
      </c>
      <c r="H29" s="305">
        <f>SUM(H18-H28)</f>
        <v>0</v>
      </c>
      <c r="I29" s="306" t="s">
        <v>258</v>
      </c>
      <c r="J29" s="305">
        <f>SUM(J18-J28)</f>
        <v>0</v>
      </c>
      <c r="K29" s="315">
        <f>SUM(B29+D29+F29+H29+J29)</f>
        <v>273832</v>
      </c>
      <c r="L29" s="32" t="s">
        <v>329</v>
      </c>
    </row>
    <row r="30" spans="1:12" ht="15.75">
      <c r="A30" s="306"/>
      <c r="B30" s="338">
        <f>IF(B29&lt;0,"See Tab B","")</f>
      </c>
      <c r="C30" s="306"/>
      <c r="D30" s="338">
        <f>IF(D29&lt;0,"See Tab B","")</f>
      </c>
      <c r="E30" s="306"/>
      <c r="F30" s="338">
        <f>IF(F29&lt;0,"See Tab B","")</f>
      </c>
      <c r="G30" s="173"/>
      <c r="H30" s="338">
        <f>IF(H29&lt;0,"See Tab B","")</f>
      </c>
      <c r="I30" s="173"/>
      <c r="J30" s="338">
        <f>IF(J29&lt;0,"See Tab B","")</f>
      </c>
      <c r="K30" s="315">
        <f>SUM(K7+K17-K28)</f>
        <v>273832</v>
      </c>
      <c r="L30" s="32" t="s">
        <v>329</v>
      </c>
    </row>
    <row r="31" spans="1:11" ht="15.75">
      <c r="A31" s="173"/>
      <c r="B31" s="178"/>
      <c r="C31" s="173"/>
      <c r="D31" s="292"/>
      <c r="E31" s="173"/>
      <c r="F31" s="173"/>
      <c r="G31" s="43" t="s">
        <v>330</v>
      </c>
      <c r="H31" s="43"/>
      <c r="I31" s="43"/>
      <c r="J31" s="43"/>
      <c r="K31" s="173"/>
    </row>
    <row r="32" spans="1:11" ht="15.75">
      <c r="A32" s="173"/>
      <c r="B32" s="178"/>
      <c r="C32" s="173"/>
      <c r="D32" s="173"/>
      <c r="E32" s="173"/>
      <c r="F32" s="173"/>
      <c r="G32" s="173"/>
      <c r="H32" s="173"/>
      <c r="I32" s="173"/>
      <c r="J32" s="173"/>
      <c r="K32" s="173"/>
    </row>
    <row r="33" spans="1:11" ht="15.75">
      <c r="A33" s="173"/>
      <c r="B33" s="178"/>
      <c r="C33" s="173"/>
      <c r="D33" s="173"/>
      <c r="E33" s="187" t="s">
        <v>124</v>
      </c>
      <c r="F33" s="281">
        <v>13</v>
      </c>
      <c r="G33" s="173"/>
      <c r="H33" s="173"/>
      <c r="I33" s="173"/>
      <c r="J33" s="173"/>
      <c r="K33" s="173"/>
    </row>
    <row r="34" ht="15.75">
      <c r="B34" s="316"/>
    </row>
    <row r="35" ht="15.75">
      <c r="B35" s="316"/>
    </row>
    <row r="36" ht="15.75">
      <c r="B36" s="316"/>
    </row>
    <row r="37" ht="15.75">
      <c r="B37" s="316"/>
    </row>
    <row r="38" ht="15.75">
      <c r="B38" s="316"/>
    </row>
    <row r="39" ht="15.75">
      <c r="B39" s="316"/>
    </row>
    <row r="40" ht="15.75">
      <c r="B40" s="316"/>
    </row>
    <row r="41" ht="15.75">
      <c r="B41" s="316"/>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125"/>
  <sheetViews>
    <sheetView zoomScalePageLayoutView="0" workbookViewId="0" topLeftCell="A1">
      <selection activeCell="A1" sqref="A1:E1"/>
    </sheetView>
  </sheetViews>
  <sheetFormatPr defaultColWidth="8.796875" defaultRowHeight="15"/>
  <cols>
    <col min="1" max="1" width="15.796875" style="45" customWidth="1"/>
    <col min="2" max="2" width="20.796875" style="45" customWidth="1"/>
    <col min="3" max="3" width="9.796875" style="45" customWidth="1"/>
    <col min="4" max="4" width="15.09765625" style="45" customWidth="1"/>
    <col min="5" max="5" width="15.796875" style="45" customWidth="1"/>
    <col min="6" max="6" width="1.8984375" style="45" customWidth="1"/>
    <col min="7" max="7" width="18.69921875" style="45" customWidth="1"/>
    <col min="8" max="16384" width="8.8984375" style="45" customWidth="1"/>
  </cols>
  <sheetData>
    <row r="1" spans="1:5" ht="15.75">
      <c r="A1" s="736" t="s">
        <v>72</v>
      </c>
      <c r="B1" s="737"/>
      <c r="C1" s="737"/>
      <c r="D1" s="737"/>
      <c r="E1" s="737"/>
    </row>
    <row r="2" spans="1:5" ht="15.75">
      <c r="A2" s="46" t="s">
        <v>19</v>
      </c>
      <c r="B2" s="47"/>
      <c r="C2" s="47"/>
      <c r="D2" s="48" t="s">
        <v>994</v>
      </c>
      <c r="E2" s="49"/>
    </row>
    <row r="3" spans="1:5" ht="15.75">
      <c r="A3" s="46" t="s">
        <v>20</v>
      </c>
      <c r="B3" s="47"/>
      <c r="C3" s="47"/>
      <c r="D3" s="50" t="s">
        <v>995</v>
      </c>
      <c r="E3" s="51"/>
    </row>
    <row r="4" spans="1:5" ht="15.75">
      <c r="A4" s="52"/>
      <c r="B4" s="47"/>
      <c r="C4" s="47"/>
      <c r="D4" s="53"/>
      <c r="E4" s="47"/>
    </row>
    <row r="5" spans="1:5" ht="15.75">
      <c r="A5" s="46" t="s">
        <v>265</v>
      </c>
      <c r="B5" s="47"/>
      <c r="C5" s="54">
        <v>2013</v>
      </c>
      <c r="D5" s="53"/>
      <c r="E5" s="47"/>
    </row>
    <row r="6" spans="1:5" ht="15.75">
      <c r="A6" s="47"/>
      <c r="B6" s="47"/>
      <c r="C6" s="47"/>
      <c r="D6" s="47"/>
      <c r="E6" s="47"/>
    </row>
    <row r="7" spans="1:5" ht="15.75">
      <c r="A7" s="55" t="s">
        <v>392</v>
      </c>
      <c r="B7" s="56"/>
      <c r="C7" s="56"/>
      <c r="D7" s="56"/>
      <c r="E7" s="56"/>
    </row>
    <row r="8" spans="1:8" ht="15.75">
      <c r="A8" s="55" t="s">
        <v>391</v>
      </c>
      <c r="B8" s="56"/>
      <c r="C8" s="56"/>
      <c r="D8" s="56"/>
      <c r="E8" s="56"/>
      <c r="F8" s="47"/>
      <c r="G8" s="738" t="s">
        <v>861</v>
      </c>
      <c r="H8" s="739"/>
    </row>
    <row r="9" spans="1:8" ht="15.75">
      <c r="A9" s="55"/>
      <c r="B9" s="56"/>
      <c r="C9" s="56"/>
      <c r="D9" s="56"/>
      <c r="E9" s="56"/>
      <c r="F9" s="47"/>
      <c r="G9" s="740"/>
      <c r="H9" s="739"/>
    </row>
    <row r="10" spans="1:8" ht="15.75">
      <c r="A10" s="734" t="s">
        <v>325</v>
      </c>
      <c r="B10" s="735"/>
      <c r="C10" s="735"/>
      <c r="D10" s="735"/>
      <c r="E10" s="735"/>
      <c r="F10" s="47"/>
      <c r="G10" s="740"/>
      <c r="H10" s="739"/>
    </row>
    <row r="11" spans="1:8" ht="15.75">
      <c r="A11" s="47"/>
      <c r="B11" s="47"/>
      <c r="C11" s="47"/>
      <c r="D11" s="47"/>
      <c r="E11" s="47"/>
      <c r="F11" s="47"/>
      <c r="G11" s="740"/>
      <c r="H11" s="739"/>
    </row>
    <row r="12" spans="1:8" ht="15.75">
      <c r="A12" s="57" t="s">
        <v>326</v>
      </c>
      <c r="B12" s="58"/>
      <c r="C12" s="47"/>
      <c r="D12" s="47"/>
      <c r="E12" s="47"/>
      <c r="F12" s="47"/>
      <c r="G12" s="740"/>
      <c r="H12" s="739"/>
    </row>
    <row r="13" spans="1:8" ht="15.75">
      <c r="A13" s="59" t="str">
        <f>CONCATENATE("the ",C5-1," Budget, Certificate Page:")</f>
        <v>the 2012 Budget, Certificate Page:</v>
      </c>
      <c r="B13" s="60"/>
      <c r="C13" s="47"/>
      <c r="D13" s="47"/>
      <c r="E13" s="47"/>
      <c r="F13" s="47"/>
      <c r="G13" s="740"/>
      <c r="H13" s="739"/>
    </row>
    <row r="14" spans="1:8" ht="15.75">
      <c r="A14" s="59" t="s">
        <v>394</v>
      </c>
      <c r="B14" s="60"/>
      <c r="C14" s="47"/>
      <c r="D14" s="47"/>
      <c r="E14" s="47"/>
      <c r="F14" s="47"/>
      <c r="G14" s="76"/>
      <c r="H14" s="598"/>
    </row>
    <row r="15" spans="1:8" ht="15.75">
      <c r="A15" s="47"/>
      <c r="B15" s="47"/>
      <c r="C15" s="47"/>
      <c r="D15" s="61">
        <f>C5-1</f>
        <v>2012</v>
      </c>
      <c r="E15" s="61">
        <f>C5-2</f>
        <v>2011</v>
      </c>
      <c r="G15" s="199" t="s">
        <v>862</v>
      </c>
      <c r="H15" s="156" t="s">
        <v>123</v>
      </c>
    </row>
    <row r="16" spans="1:8" ht="15.75">
      <c r="A16" s="52" t="s">
        <v>73</v>
      </c>
      <c r="B16" s="47"/>
      <c r="C16" s="62" t="s">
        <v>74</v>
      </c>
      <c r="D16" s="63" t="s">
        <v>393</v>
      </c>
      <c r="E16" s="63" t="s">
        <v>64</v>
      </c>
      <c r="G16" s="200" t="str">
        <f>CONCATENATE("",E15," Ad Valorem Tax")</f>
        <v>2011 Ad Valorem Tax</v>
      </c>
      <c r="H16" s="599">
        <v>0</v>
      </c>
    </row>
    <row r="17" spans="1:7" ht="15.75">
      <c r="A17" s="47"/>
      <c r="B17" s="64" t="s">
        <v>75</v>
      </c>
      <c r="C17" s="156" t="s">
        <v>231</v>
      </c>
      <c r="D17" s="66">
        <v>1059725</v>
      </c>
      <c r="E17" s="66">
        <v>189024</v>
      </c>
      <c r="G17" s="228">
        <f>IF(H16&gt;0,ROUND(E17-(E17*H16),0),0)</f>
        <v>0</v>
      </c>
    </row>
    <row r="18" spans="1:7" ht="15.75">
      <c r="A18" s="47"/>
      <c r="B18" s="64" t="s">
        <v>46</v>
      </c>
      <c r="C18" s="156" t="s">
        <v>266</v>
      </c>
      <c r="D18" s="67"/>
      <c r="E18" s="67"/>
      <c r="G18" s="228">
        <f>IF(H16&gt;0,ROUND(E18-(E18*H16),0),0)</f>
        <v>0</v>
      </c>
    </row>
    <row r="19" spans="1:7" ht="15.75">
      <c r="A19" s="47"/>
      <c r="B19" s="64" t="s">
        <v>863</v>
      </c>
      <c r="C19" s="156" t="s">
        <v>864</v>
      </c>
      <c r="D19" s="67">
        <v>43606</v>
      </c>
      <c r="E19" s="67">
        <v>36608</v>
      </c>
      <c r="G19" s="228">
        <f>IF(H16&gt;0,ROUND(E19-(E19*H16),0),0)</f>
        <v>0</v>
      </c>
    </row>
    <row r="20" spans="1:5" ht="15.75">
      <c r="A20" s="52" t="s">
        <v>76</v>
      </c>
      <c r="B20" s="47"/>
      <c r="C20" s="47"/>
      <c r="D20" s="47"/>
      <c r="E20" s="68"/>
    </row>
    <row r="21" spans="1:7" ht="15.75">
      <c r="A21" s="47"/>
      <c r="B21" s="69"/>
      <c r="C21" s="374"/>
      <c r="D21" s="67"/>
      <c r="E21" s="67"/>
      <c r="G21" s="228">
        <f>IF(H16&gt;0,ROUND(E21-(E21*H16),0),0)</f>
        <v>0</v>
      </c>
    </row>
    <row r="22" spans="1:7" ht="15.75">
      <c r="A22" s="47"/>
      <c r="B22" s="69"/>
      <c r="C22" s="374"/>
      <c r="D22" s="67"/>
      <c r="E22" s="67"/>
      <c r="G22" s="228">
        <f>IF(H16&gt;0,ROUND(E22-(E22*H16),0),0)</f>
        <v>0</v>
      </c>
    </row>
    <row r="23" spans="1:7" ht="15.75">
      <c r="A23" s="47"/>
      <c r="B23" s="69"/>
      <c r="C23" s="374"/>
      <c r="D23" s="67"/>
      <c r="E23" s="67"/>
      <c r="G23" s="228">
        <f>IF(H16&gt;0,ROUND(E23-(E23*H16),0),0)</f>
        <v>0</v>
      </c>
    </row>
    <row r="24" spans="1:7" ht="15.75">
      <c r="A24" s="47"/>
      <c r="B24" s="69"/>
      <c r="C24" s="374"/>
      <c r="D24" s="67"/>
      <c r="E24" s="67"/>
      <c r="G24" s="228">
        <f>IF(H16&gt;0,ROUND(E24-(E24*H16),0),0)</f>
        <v>0</v>
      </c>
    </row>
    <row r="25" spans="1:7" ht="15.75">
      <c r="A25" s="47"/>
      <c r="B25" s="69"/>
      <c r="C25" s="374"/>
      <c r="D25" s="67"/>
      <c r="E25" s="67"/>
      <c r="G25" s="228">
        <f>IF(H16&gt;0,ROUND(E25-(E25*H16),0),0)</f>
        <v>0</v>
      </c>
    </row>
    <row r="26" spans="1:7" ht="15.75">
      <c r="A26" s="47"/>
      <c r="B26" s="69"/>
      <c r="C26" s="374"/>
      <c r="D26" s="67"/>
      <c r="E26" s="67"/>
      <c r="G26" s="228">
        <f>IF(H16&gt;0,ROUND(E26-(E26*H16),0),0)</f>
        <v>0</v>
      </c>
    </row>
    <row r="27" spans="1:7" ht="15.75">
      <c r="A27" s="47"/>
      <c r="B27" s="69"/>
      <c r="C27" s="374"/>
      <c r="D27" s="67"/>
      <c r="E27" s="67"/>
      <c r="G27" s="228">
        <f>IF(H16&gt;0,ROUND(E27-(E27*H16),0),0)</f>
        <v>0</v>
      </c>
    </row>
    <row r="28" spans="1:7" ht="15.75">
      <c r="A28" s="47"/>
      <c r="B28" s="69"/>
      <c r="C28" s="374"/>
      <c r="D28" s="67"/>
      <c r="E28" s="67"/>
      <c r="G28" s="228">
        <f>IF(H16&gt;0,ROUND(E28-(E28*H16),0),0)</f>
        <v>0</v>
      </c>
    </row>
    <row r="29" spans="1:7" ht="15.75">
      <c r="A29" s="47"/>
      <c r="B29" s="69"/>
      <c r="C29" s="374"/>
      <c r="D29" s="67"/>
      <c r="E29" s="67"/>
      <c r="G29" s="228">
        <f>IF(H16&gt;0,ROUND(E29-(E29*H16),0),0)</f>
        <v>0</v>
      </c>
    </row>
    <row r="30" spans="1:7" ht="15.75">
      <c r="A30" s="47"/>
      <c r="B30" s="69"/>
      <c r="C30" s="374"/>
      <c r="D30" s="67"/>
      <c r="E30" s="67"/>
      <c r="G30" s="228">
        <f>IF(H16&gt;0,ROUND(E30-(E30*H16),0),0)</f>
        <v>0</v>
      </c>
    </row>
    <row r="31" spans="1:5" ht="15.75">
      <c r="A31" s="70" t="str">
        <f>CONCATENATE("Total Tax Levy Funds for ",C5-1," Budgeted Year")</f>
        <v>Total Tax Levy Funds for 2012 Budgeted Year</v>
      </c>
      <c r="B31" s="71"/>
      <c r="C31" s="72"/>
      <c r="D31" s="73"/>
      <c r="E31" s="74">
        <f>SUM(E17:E30)</f>
        <v>225632</v>
      </c>
    </row>
    <row r="32" spans="1:5" ht="15.75">
      <c r="A32" s="75"/>
      <c r="B32" s="76"/>
      <c r="C32" s="76"/>
      <c r="D32" s="77"/>
      <c r="E32" s="68"/>
    </row>
    <row r="33" spans="1:5" ht="15.75">
      <c r="A33" s="52" t="s">
        <v>271</v>
      </c>
      <c r="B33" s="47"/>
      <c r="C33" s="47"/>
      <c r="D33" s="47"/>
      <c r="E33" s="47"/>
    </row>
    <row r="34" spans="1:5" ht="15.75">
      <c r="A34" s="47"/>
      <c r="B34" s="65" t="s">
        <v>206</v>
      </c>
      <c r="C34" s="47"/>
      <c r="D34" s="67">
        <v>23848</v>
      </c>
      <c r="E34" s="47"/>
    </row>
    <row r="35" spans="1:5" ht="15.75">
      <c r="A35" s="47"/>
      <c r="B35" s="69" t="s">
        <v>996</v>
      </c>
      <c r="C35" s="47"/>
      <c r="D35" s="67">
        <v>850</v>
      </c>
      <c r="E35" s="47"/>
    </row>
    <row r="36" spans="1:5" ht="15.75">
      <c r="A36" s="47"/>
      <c r="B36" s="69" t="s">
        <v>997</v>
      </c>
      <c r="C36" s="47"/>
      <c r="D36" s="67">
        <v>216090</v>
      </c>
      <c r="E36" s="47"/>
    </row>
    <row r="37" spans="1:5" ht="15.75">
      <c r="A37" s="47"/>
      <c r="B37" s="69" t="s">
        <v>998</v>
      </c>
      <c r="C37" s="47"/>
      <c r="D37" s="67">
        <v>165800</v>
      </c>
      <c r="E37" s="47"/>
    </row>
    <row r="38" spans="1:5" ht="15.75">
      <c r="A38" s="47"/>
      <c r="B38" s="69" t="s">
        <v>999</v>
      </c>
      <c r="C38" s="47"/>
      <c r="D38" s="67">
        <v>104700</v>
      </c>
      <c r="E38" s="47"/>
    </row>
    <row r="39" spans="1:5" ht="15.75">
      <c r="A39" s="47"/>
      <c r="B39" s="69"/>
      <c r="C39" s="47"/>
      <c r="D39" s="67"/>
      <c r="E39" s="47"/>
    </row>
    <row r="40" spans="1:5" ht="15.75">
      <c r="A40" s="47"/>
      <c r="B40" s="69"/>
      <c r="C40" s="47"/>
      <c r="D40" s="67"/>
      <c r="E40" s="47"/>
    </row>
    <row r="41" spans="1:5" ht="15.75">
      <c r="A41" s="47"/>
      <c r="B41" s="69"/>
      <c r="C41" s="47"/>
      <c r="D41" s="67"/>
      <c r="E41" s="47"/>
    </row>
    <row r="42" spans="1:5" ht="15.75">
      <c r="A42" s="47"/>
      <c r="B42" s="69"/>
      <c r="C42" s="47"/>
      <c r="D42" s="67"/>
      <c r="E42" s="47"/>
    </row>
    <row r="43" spans="1:5" ht="15.75">
      <c r="A43" s="47"/>
      <c r="B43" s="69"/>
      <c r="C43" s="47"/>
      <c r="D43" s="67"/>
      <c r="E43" s="47"/>
    </row>
    <row r="44" spans="1:5" ht="15.75">
      <c r="A44" s="47"/>
      <c r="B44" s="78"/>
      <c r="C44" s="47"/>
      <c r="D44" s="67"/>
      <c r="E44" s="47"/>
    </row>
    <row r="45" spans="1:5" ht="15.75">
      <c r="A45" s="47"/>
      <c r="B45" s="78"/>
      <c r="C45" s="47"/>
      <c r="D45" s="67"/>
      <c r="E45" s="47"/>
    </row>
    <row r="46" spans="1:5" ht="15.75">
      <c r="A46" s="47"/>
      <c r="B46" s="78"/>
      <c r="C46" s="47"/>
      <c r="D46" s="67"/>
      <c r="E46" s="47"/>
    </row>
    <row r="47" spans="1:5" ht="15.75">
      <c r="A47" s="47"/>
      <c r="B47" s="78"/>
      <c r="C47" s="47"/>
      <c r="D47" s="67"/>
      <c r="E47" s="47"/>
    </row>
    <row r="48" spans="1:5" ht="15.75">
      <c r="A48" s="47"/>
      <c r="B48" s="78"/>
      <c r="C48" s="47"/>
      <c r="D48" s="67"/>
      <c r="E48" s="47"/>
    </row>
    <row r="49" spans="1:5" ht="15.75">
      <c r="A49" s="47"/>
      <c r="B49" s="78"/>
      <c r="C49" s="47"/>
      <c r="D49" s="67"/>
      <c r="E49" s="47"/>
    </row>
    <row r="50" spans="1:5" ht="15.75">
      <c r="A50" s="47" t="s">
        <v>297</v>
      </c>
      <c r="B50" s="79"/>
      <c r="C50" s="47"/>
      <c r="D50" s="47"/>
      <c r="E50" s="47"/>
    </row>
    <row r="51" spans="1:5" ht="15.75">
      <c r="A51" s="47">
        <v>1</v>
      </c>
      <c r="B51" s="78"/>
      <c r="C51" s="47"/>
      <c r="D51" s="67"/>
      <c r="E51" s="47"/>
    </row>
    <row r="52" spans="1:5" ht="15.75">
      <c r="A52" s="47">
        <v>2</v>
      </c>
      <c r="B52" s="78"/>
      <c r="C52" s="47"/>
      <c r="D52" s="67"/>
      <c r="E52" s="47"/>
    </row>
    <row r="53" spans="1:5" ht="15.75">
      <c r="A53" s="47">
        <v>3</v>
      </c>
      <c r="B53" s="78"/>
      <c r="C53" s="47"/>
      <c r="D53" s="67"/>
      <c r="E53" s="47"/>
    </row>
    <row r="54" spans="1:5" ht="15.75">
      <c r="A54" s="47">
        <v>4</v>
      </c>
      <c r="B54" s="78"/>
      <c r="C54" s="47"/>
      <c r="D54" s="67"/>
      <c r="E54" s="47"/>
    </row>
    <row r="55" spans="1:5" ht="15.75">
      <c r="A55" s="70" t="str">
        <f>CONCATENATE("Total Expenditures for ",C5-1," Budgeted Year")</f>
        <v>Total Expenditures for 2012 Budgeted Year</v>
      </c>
      <c r="B55" s="80"/>
      <c r="C55" s="81"/>
      <c r="D55" s="82">
        <f>SUM(D17:D19,D21:D30,D34:D49,D51:D54)</f>
        <v>1614619</v>
      </c>
      <c r="E55" s="47"/>
    </row>
    <row r="56" spans="1:5" ht="15.75">
      <c r="A56" s="47" t="s">
        <v>298</v>
      </c>
      <c r="B56" s="83"/>
      <c r="C56" s="47"/>
      <c r="D56" s="47"/>
      <c r="E56" s="47"/>
    </row>
    <row r="57" spans="1:5" ht="15.75">
      <c r="A57" s="47">
        <v>1</v>
      </c>
      <c r="B57" s="78" t="s">
        <v>1000</v>
      </c>
      <c r="C57" s="47"/>
      <c r="D57" s="47"/>
      <c r="E57" s="47"/>
    </row>
    <row r="58" spans="1:5" ht="15.75">
      <c r="A58" s="47">
        <v>2</v>
      </c>
      <c r="B58" s="78"/>
      <c r="C58" s="47"/>
      <c r="D58" s="47"/>
      <c r="E58" s="47"/>
    </row>
    <row r="59" spans="1:5" ht="15.75">
      <c r="A59" s="47">
        <v>3</v>
      </c>
      <c r="B59" s="78"/>
      <c r="C59" s="47"/>
      <c r="D59" s="47"/>
      <c r="E59" s="47"/>
    </row>
    <row r="60" spans="1:5" ht="15.75">
      <c r="A60" s="47">
        <v>4</v>
      </c>
      <c r="B60" s="78"/>
      <c r="C60" s="47"/>
      <c r="D60" s="47"/>
      <c r="E60" s="47"/>
    </row>
    <row r="61" spans="1:5" ht="15.75">
      <c r="A61" s="47">
        <v>5</v>
      </c>
      <c r="B61" s="78"/>
      <c r="C61" s="47"/>
      <c r="D61" s="47"/>
      <c r="E61" s="47"/>
    </row>
    <row r="62" spans="1:5" ht="15.75">
      <c r="A62" s="47" t="s">
        <v>299</v>
      </c>
      <c r="B62" s="79"/>
      <c r="C62" s="47"/>
      <c r="D62" s="47"/>
      <c r="E62" s="47"/>
    </row>
    <row r="63" spans="1:5" ht="15.75">
      <c r="A63" s="47">
        <v>1</v>
      </c>
      <c r="B63" s="78"/>
      <c r="C63" s="47"/>
      <c r="D63" s="47"/>
      <c r="E63" s="47"/>
    </row>
    <row r="64" spans="1:5" ht="15.75">
      <c r="A64" s="47">
        <v>2</v>
      </c>
      <c r="B64" s="78"/>
      <c r="C64" s="47"/>
      <c r="D64" s="47"/>
      <c r="E64" s="47"/>
    </row>
    <row r="65" spans="1:5" ht="15.75">
      <c r="A65" s="47">
        <v>3</v>
      </c>
      <c r="B65" s="78"/>
      <c r="C65" s="47"/>
      <c r="D65" s="47"/>
      <c r="E65" s="47"/>
    </row>
    <row r="66" spans="1:5" ht="15.75">
      <c r="A66" s="47">
        <v>4</v>
      </c>
      <c r="B66" s="78"/>
      <c r="C66" s="47"/>
      <c r="D66" s="47"/>
      <c r="E66" s="47"/>
    </row>
    <row r="67" spans="1:5" ht="15.75">
      <c r="A67" s="47">
        <v>5</v>
      </c>
      <c r="B67" s="78"/>
      <c r="C67" s="47"/>
      <c r="D67" s="47"/>
      <c r="E67" s="47"/>
    </row>
    <row r="68" spans="1:5" ht="15.75">
      <c r="A68" s="47" t="s">
        <v>300</v>
      </c>
      <c r="B68" s="79"/>
      <c r="C68" s="47"/>
      <c r="D68" s="47"/>
      <c r="E68" s="47"/>
    </row>
    <row r="69" spans="1:5" ht="15.75">
      <c r="A69" s="47">
        <v>1</v>
      </c>
      <c r="B69" s="78"/>
      <c r="C69" s="47"/>
      <c r="D69" s="47"/>
      <c r="E69" s="47"/>
    </row>
    <row r="70" spans="1:5" ht="15.75">
      <c r="A70" s="47">
        <v>2</v>
      </c>
      <c r="B70" s="78"/>
      <c r="C70" s="47"/>
      <c r="D70" s="47"/>
      <c r="E70" s="47"/>
    </row>
    <row r="71" spans="1:5" ht="15.75">
      <c r="A71" s="47">
        <v>3</v>
      </c>
      <c r="B71" s="78"/>
      <c r="C71" s="47"/>
      <c r="D71" s="47"/>
      <c r="E71" s="47"/>
    </row>
    <row r="72" spans="1:5" ht="15.75">
      <c r="A72" s="47">
        <v>4</v>
      </c>
      <c r="B72" s="78"/>
      <c r="C72" s="47"/>
      <c r="D72" s="47"/>
      <c r="E72" s="47"/>
    </row>
    <row r="73" spans="1:5" ht="15.75">
      <c r="A73" s="47">
        <v>5</v>
      </c>
      <c r="B73" s="78"/>
      <c r="C73" s="47"/>
      <c r="D73" s="47"/>
      <c r="E73" s="47"/>
    </row>
    <row r="74" spans="1:5" ht="15.75">
      <c r="A74" s="47" t="s">
        <v>301</v>
      </c>
      <c r="B74" s="79"/>
      <c r="C74" s="47"/>
      <c r="D74" s="47"/>
      <c r="E74" s="47"/>
    </row>
    <row r="75" spans="1:5" ht="15.75">
      <c r="A75" s="47">
        <v>1</v>
      </c>
      <c r="B75" s="78"/>
      <c r="C75" s="47"/>
      <c r="D75" s="47"/>
      <c r="E75" s="47"/>
    </row>
    <row r="76" spans="1:5" ht="15.75">
      <c r="A76" s="47">
        <v>2</v>
      </c>
      <c r="B76" s="78"/>
      <c r="C76" s="47"/>
      <c r="D76" s="47"/>
      <c r="E76" s="47"/>
    </row>
    <row r="77" spans="1:5" ht="15.75">
      <c r="A77" s="47">
        <v>3</v>
      </c>
      <c r="B77" s="78"/>
      <c r="C77" s="47"/>
      <c r="D77" s="47"/>
      <c r="E77" s="47"/>
    </row>
    <row r="78" spans="1:5" ht="15.75">
      <c r="A78" s="47">
        <v>4</v>
      </c>
      <c r="B78" s="78"/>
      <c r="C78" s="47"/>
      <c r="D78" s="47"/>
      <c r="E78" s="47"/>
    </row>
    <row r="79" spans="1:5" ht="15.75">
      <c r="A79" s="47">
        <v>5</v>
      </c>
      <c r="B79" s="78"/>
      <c r="C79" s="47"/>
      <c r="D79" s="47"/>
      <c r="E79" s="47"/>
    </row>
    <row r="80" spans="1:5" ht="15.75">
      <c r="A80" s="75"/>
      <c r="B80" s="76"/>
      <c r="C80" s="76"/>
      <c r="D80" s="76"/>
      <c r="E80" s="84"/>
    </row>
    <row r="81" spans="1:5" ht="15.75">
      <c r="A81" s="47"/>
      <c r="B81" s="47"/>
      <c r="C81" s="47"/>
      <c r="D81" s="47"/>
      <c r="E81" s="47"/>
    </row>
    <row r="82" spans="1:5" ht="15.75">
      <c r="A82" s="47"/>
      <c r="B82" s="47"/>
      <c r="C82" s="47"/>
      <c r="D82" s="85" t="str">
        <f>CONCATENATE("",C5-3," Tax Rate")</f>
        <v>2010 Tax Rate</v>
      </c>
      <c r="E82" s="47"/>
    </row>
    <row r="83" spans="1:5" ht="15.75">
      <c r="A83" s="59" t="str">
        <f>CONCATENATE("From the ",C5-1," Budget, Budget Summary Page")</f>
        <v>From the 2012 Budget, Budget Summary Page</v>
      </c>
      <c r="B83" s="60"/>
      <c r="C83" s="47"/>
      <c r="D83" s="86" t="str">
        <f>CONCATENATE("(",C5-2," Column)")</f>
        <v>(2011 Column)</v>
      </c>
      <c r="E83" s="47"/>
    </row>
    <row r="84" spans="1:5" ht="15.75">
      <c r="A84" s="47"/>
      <c r="B84" s="87" t="str">
        <f>B17</f>
        <v>General</v>
      </c>
      <c r="C84" s="47"/>
      <c r="D84" s="78">
        <v>59.658</v>
      </c>
      <c r="E84" s="47"/>
    </row>
    <row r="85" spans="1:5" ht="15.75">
      <c r="A85" s="47"/>
      <c r="B85" s="87" t="str">
        <f>B18</f>
        <v>Debt Service</v>
      </c>
      <c r="C85" s="47"/>
      <c r="D85" s="78">
        <v>0</v>
      </c>
      <c r="E85" s="47"/>
    </row>
    <row r="86" spans="1:5" ht="15.75">
      <c r="A86" s="47"/>
      <c r="B86" s="87" t="str">
        <f>B19</f>
        <v>Library</v>
      </c>
      <c r="C86" s="47"/>
      <c r="D86" s="78">
        <v>8.742</v>
      </c>
      <c r="E86" s="47"/>
    </row>
    <row r="87" spans="1:5" ht="15.75">
      <c r="A87" s="47"/>
      <c r="B87" s="87">
        <f aca="true" t="shared" si="0" ref="B87:B96">B21</f>
        <v>0</v>
      </c>
      <c r="C87" s="47"/>
      <c r="D87" s="78"/>
      <c r="E87" s="47"/>
    </row>
    <row r="88" spans="1:5" ht="15.75">
      <c r="A88" s="47"/>
      <c r="B88" s="87">
        <f t="shared" si="0"/>
        <v>0</v>
      </c>
      <c r="C88" s="47"/>
      <c r="D88" s="78"/>
      <c r="E88" s="47"/>
    </row>
    <row r="89" spans="1:5" ht="15.75">
      <c r="A89" s="47"/>
      <c r="B89" s="87">
        <f t="shared" si="0"/>
        <v>0</v>
      </c>
      <c r="C89" s="47"/>
      <c r="D89" s="78"/>
      <c r="E89" s="47"/>
    </row>
    <row r="90" spans="1:5" ht="15.75">
      <c r="A90" s="47"/>
      <c r="B90" s="87">
        <f t="shared" si="0"/>
        <v>0</v>
      </c>
      <c r="C90" s="47"/>
      <c r="D90" s="78"/>
      <c r="E90" s="47"/>
    </row>
    <row r="91" spans="1:5" ht="15.75">
      <c r="A91" s="47"/>
      <c r="B91" s="87">
        <f t="shared" si="0"/>
        <v>0</v>
      </c>
      <c r="C91" s="47"/>
      <c r="D91" s="78"/>
      <c r="E91" s="47"/>
    </row>
    <row r="92" spans="1:5" ht="15.75">
      <c r="A92" s="47"/>
      <c r="B92" s="87">
        <f t="shared" si="0"/>
        <v>0</v>
      </c>
      <c r="C92" s="47"/>
      <c r="D92" s="78"/>
      <c r="E92" s="47"/>
    </row>
    <row r="93" spans="1:5" ht="15.75">
      <c r="A93" s="47"/>
      <c r="B93" s="87">
        <f t="shared" si="0"/>
        <v>0</v>
      </c>
      <c r="C93" s="47"/>
      <c r="D93" s="78"/>
      <c r="E93" s="47"/>
    </row>
    <row r="94" spans="1:5" ht="15.75">
      <c r="A94" s="47"/>
      <c r="B94" s="87">
        <f t="shared" si="0"/>
        <v>0</v>
      </c>
      <c r="C94" s="47"/>
      <c r="D94" s="78"/>
      <c r="E94" s="47"/>
    </row>
    <row r="95" spans="1:5" ht="15.75">
      <c r="A95" s="47"/>
      <c r="B95" s="87">
        <f t="shared" si="0"/>
        <v>0</v>
      </c>
      <c r="C95" s="47"/>
      <c r="D95" s="78"/>
      <c r="E95" s="47"/>
    </row>
    <row r="96" spans="1:5" ht="15.75">
      <c r="A96" s="47"/>
      <c r="B96" s="87">
        <f t="shared" si="0"/>
        <v>0</v>
      </c>
      <c r="C96" s="153"/>
      <c r="D96" s="78"/>
      <c r="E96" s="47"/>
    </row>
    <row r="97" spans="1:5" ht="15.75">
      <c r="A97" s="70" t="s">
        <v>77</v>
      </c>
      <c r="B97" s="71"/>
      <c r="C97" s="81"/>
      <c r="D97" s="88">
        <f>SUM(D84:D96)</f>
        <v>68.4</v>
      </c>
      <c r="E97" s="47"/>
    </row>
    <row r="98" spans="1:5" ht="15.75">
      <c r="A98" s="47"/>
      <c r="B98" s="47"/>
      <c r="C98" s="47"/>
      <c r="D98" s="47"/>
      <c r="E98" s="47"/>
    </row>
    <row r="99" spans="1:5" ht="15.75">
      <c r="A99" s="89" t="str">
        <f>CONCATENATE("Total Tax Levied (",C5-2," budget column)")</f>
        <v>Total Tax Levied (2011 budget column)</v>
      </c>
      <c r="B99" s="90"/>
      <c r="C99" s="71"/>
      <c r="D99" s="81"/>
      <c r="E99" s="67">
        <v>211595</v>
      </c>
    </row>
    <row r="100" spans="1:5" ht="15.75">
      <c r="A100" s="91" t="str">
        <f>CONCATENATE("Assessed Valuation  (",C5-2," budget column)")</f>
        <v>Assessed Valuation  (2011 budget column)</v>
      </c>
      <c r="B100" s="92"/>
      <c r="C100" s="72"/>
      <c r="D100" s="93"/>
      <c r="E100" s="67">
        <v>3093481</v>
      </c>
    </row>
    <row r="101" spans="1:5" ht="15.75">
      <c r="A101" s="75"/>
      <c r="B101" s="76"/>
      <c r="C101" s="76"/>
      <c r="D101" s="76"/>
      <c r="E101" s="84"/>
    </row>
    <row r="102" spans="1:5" ht="15.75">
      <c r="A102" s="94" t="str">
        <f>CONCATENATE("From the ",C5-1," Budget, Budget Summary Page")</f>
        <v>From the 2012 Budget, Budget Summary Page</v>
      </c>
      <c r="B102" s="95"/>
      <c r="C102" s="47"/>
      <c r="D102" s="96"/>
      <c r="E102" s="97"/>
    </row>
    <row r="103" spans="1:5" ht="15.75">
      <c r="A103" s="58" t="s">
        <v>3</v>
      </c>
      <c r="B103" s="58"/>
      <c r="C103" s="98"/>
      <c r="D103" s="99">
        <f>C5-3</f>
        <v>2010</v>
      </c>
      <c r="E103" s="100">
        <f>C5-2</f>
        <v>2011</v>
      </c>
    </row>
    <row r="104" spans="1:5" ht="15.75">
      <c r="A104" s="101" t="s">
        <v>267</v>
      </c>
      <c r="B104" s="101"/>
      <c r="C104" s="102"/>
      <c r="D104" s="103">
        <v>25000</v>
      </c>
      <c r="E104" s="103">
        <v>0</v>
      </c>
    </row>
    <row r="105" spans="1:5" ht="15.75">
      <c r="A105" s="104" t="s">
        <v>268</v>
      </c>
      <c r="B105" s="104"/>
      <c r="C105" s="105"/>
      <c r="D105" s="103"/>
      <c r="E105" s="103"/>
    </row>
    <row r="106" spans="1:5" ht="15.75">
      <c r="A106" s="104" t="s">
        <v>269</v>
      </c>
      <c r="B106" s="104"/>
      <c r="C106" s="105"/>
      <c r="D106" s="103"/>
      <c r="E106" s="103"/>
    </row>
    <row r="107" spans="1:5" ht="15.75">
      <c r="A107" s="104" t="s">
        <v>270</v>
      </c>
      <c r="B107" s="104"/>
      <c r="C107" s="105"/>
      <c r="D107" s="103">
        <v>57324</v>
      </c>
      <c r="E107" s="103">
        <v>940519</v>
      </c>
    </row>
    <row r="108" spans="1:5" ht="15.75">
      <c r="A108" s="106"/>
      <c r="B108" s="106"/>
      <c r="C108" s="106"/>
      <c r="D108" s="106"/>
      <c r="E108" s="106"/>
    </row>
    <row r="109" spans="1:5" ht="15.75">
      <c r="A109" s="106"/>
      <c r="B109" s="106"/>
      <c r="C109" s="106"/>
      <c r="D109" s="106"/>
      <c r="E109" s="106"/>
    </row>
    <row r="110" spans="1:5" ht="15.75">
      <c r="A110" s="106"/>
      <c r="B110" s="106"/>
      <c r="C110" s="106"/>
      <c r="D110" s="106"/>
      <c r="E110" s="106"/>
    </row>
    <row r="111" spans="1:5" ht="15.75">
      <c r="A111" s="106"/>
      <c r="B111" s="106"/>
      <c r="C111" s="106"/>
      <c r="D111" s="106"/>
      <c r="E111" s="106"/>
    </row>
    <row r="112" spans="1:5" ht="15.75">
      <c r="A112" s="106"/>
      <c r="B112" s="106"/>
      <c r="C112" s="106"/>
      <c r="D112" s="106"/>
      <c r="E112" s="106"/>
    </row>
    <row r="113" spans="1:5" ht="15.75">
      <c r="A113" s="106"/>
      <c r="B113" s="106"/>
      <c r="C113" s="106"/>
      <c r="D113" s="106"/>
      <c r="E113" s="106"/>
    </row>
    <row r="114" s="106" customFormat="1" ht="15"/>
    <row r="115" spans="1:5" ht="15.75">
      <c r="A115" s="106"/>
      <c r="B115" s="106"/>
      <c r="C115" s="106"/>
      <c r="D115" s="106"/>
      <c r="E115" s="106"/>
    </row>
    <row r="116" spans="1:5" ht="15.75">
      <c r="A116" s="106"/>
      <c r="B116" s="106"/>
      <c r="C116" s="106"/>
      <c r="D116" s="106"/>
      <c r="E116" s="106"/>
    </row>
    <row r="117" spans="1:5" ht="15.75">
      <c r="A117" s="106"/>
      <c r="B117" s="106"/>
      <c r="C117" s="106"/>
      <c r="D117" s="106"/>
      <c r="E117" s="106"/>
    </row>
    <row r="118" spans="1:5" ht="15.75">
      <c r="A118" s="106"/>
      <c r="B118" s="106"/>
      <c r="C118" s="106"/>
      <c r="D118" s="106"/>
      <c r="E118" s="106"/>
    </row>
    <row r="119" spans="1:5" ht="15.75">
      <c r="A119" s="106"/>
      <c r="B119" s="106"/>
      <c r="C119" s="106"/>
      <c r="D119" s="106"/>
      <c r="E119" s="106"/>
    </row>
    <row r="120" spans="1:5" ht="15.75">
      <c r="A120" s="106"/>
      <c r="B120" s="106"/>
      <c r="C120" s="106"/>
      <c r="D120" s="106"/>
      <c r="E120" s="106"/>
    </row>
    <row r="121" spans="1:5" ht="15.75">
      <c r="A121" s="106"/>
      <c r="B121" s="106"/>
      <c r="C121" s="106"/>
      <c r="D121" s="106"/>
      <c r="E121" s="106"/>
    </row>
    <row r="122" spans="1:5" ht="15.75">
      <c r="A122" s="106"/>
      <c r="B122" s="106"/>
      <c r="C122" s="106"/>
      <c r="D122" s="106"/>
      <c r="E122" s="106"/>
    </row>
    <row r="123" spans="1:5" ht="15.75">
      <c r="A123" s="106"/>
      <c r="B123" s="106"/>
      <c r="C123" s="106"/>
      <c r="D123" s="106"/>
      <c r="E123" s="106"/>
    </row>
    <row r="124" spans="1:5" ht="15.75">
      <c r="A124" s="106"/>
      <c r="B124" s="106"/>
      <c r="C124" s="106"/>
      <c r="D124" s="106"/>
      <c r="E124" s="106"/>
    </row>
    <row r="125" spans="1:5" ht="15.75">
      <c r="A125" s="106"/>
      <c r="B125" s="106"/>
      <c r="C125" s="106"/>
      <c r="D125" s="106"/>
      <c r="E125" s="106"/>
    </row>
  </sheetData>
  <sheetProtection sheet="1"/>
  <mergeCells count="3">
    <mergeCell ref="A10:E10"/>
    <mergeCell ref="A1:E1"/>
    <mergeCell ref="G8:H13"/>
  </mergeCells>
  <printOptions/>
  <pageMargins left="0.5" right="0.5" top="1" bottom="0.5" header="0.5" footer="0.25"/>
  <pageSetup blackAndWhite="1" fitToHeight="2" fitToWidth="1" horizontalDpi="120" verticalDpi="120" orientation="portrait" scale="75" r:id="rId1"/>
</worksheet>
</file>

<file path=xl/worksheets/sheet20.xml><?xml version="1.0" encoding="utf-8"?>
<worksheet xmlns="http://schemas.openxmlformats.org/spreadsheetml/2006/main" xmlns:r="http://schemas.openxmlformats.org/officeDocument/2006/relationships">
  <dimension ref="A1:A66"/>
  <sheetViews>
    <sheetView zoomScalePageLayoutView="0" workbookViewId="0" topLeftCell="A40">
      <selection activeCell="A2" sqref="A2"/>
    </sheetView>
  </sheetViews>
  <sheetFormatPr defaultColWidth="8.796875" defaultRowHeight="15"/>
  <cols>
    <col min="1" max="1" width="70.59765625" style="106" customWidth="1"/>
    <col min="2" max="16384" width="8.8984375" style="106" customWidth="1"/>
  </cols>
  <sheetData>
    <row r="1" ht="18.75">
      <c r="A1" s="485" t="s">
        <v>352</v>
      </c>
    </row>
    <row r="2" ht="15.75">
      <c r="A2" s="1"/>
    </row>
    <row r="3" ht="57" customHeight="1">
      <c r="A3" s="486" t="s">
        <v>353</v>
      </c>
    </row>
    <row r="4" ht="15.75">
      <c r="A4" s="484"/>
    </row>
    <row r="5" ht="15.75">
      <c r="A5" s="1"/>
    </row>
    <row r="6" ht="44.25" customHeight="1">
      <c r="A6" s="486" t="s">
        <v>354</v>
      </c>
    </row>
    <row r="7" ht="15.75">
      <c r="A7" s="1"/>
    </row>
    <row r="8" ht="15.75">
      <c r="A8" s="484"/>
    </row>
    <row r="9" ht="46.5" customHeight="1">
      <c r="A9" s="486" t="s">
        <v>355</v>
      </c>
    </row>
    <row r="10" ht="15.75">
      <c r="A10" s="1"/>
    </row>
    <row r="11" ht="15.75">
      <c r="A11" s="484"/>
    </row>
    <row r="12" ht="60" customHeight="1">
      <c r="A12" s="486" t="s">
        <v>356</v>
      </c>
    </row>
    <row r="13" ht="15.75">
      <c r="A13" s="1"/>
    </row>
    <row r="14" ht="15.75">
      <c r="A14" s="1"/>
    </row>
    <row r="15" ht="61.5" customHeight="1">
      <c r="A15" s="486" t="s">
        <v>357</v>
      </c>
    </row>
    <row r="16" ht="15.75">
      <c r="A16" s="1"/>
    </row>
    <row r="17" ht="15.75">
      <c r="A17" s="1"/>
    </row>
    <row r="18" ht="59.25" customHeight="1">
      <c r="A18" s="486" t="s">
        <v>358</v>
      </c>
    </row>
    <row r="19" ht="15.75">
      <c r="A19" s="1"/>
    </row>
    <row r="20" ht="15.75">
      <c r="A20" s="1"/>
    </row>
    <row r="21" ht="61.5" customHeight="1">
      <c r="A21" s="486" t="s">
        <v>359</v>
      </c>
    </row>
    <row r="22" ht="15.75">
      <c r="A22" s="484"/>
    </row>
    <row r="23" ht="15.75">
      <c r="A23" s="484"/>
    </row>
    <row r="24" ht="63" customHeight="1">
      <c r="A24" s="486" t="s">
        <v>360</v>
      </c>
    </row>
    <row r="25" ht="15.75">
      <c r="A25" s="1"/>
    </row>
    <row r="26" ht="15.75">
      <c r="A26" s="1"/>
    </row>
    <row r="27" ht="52.5" customHeight="1">
      <c r="A27" s="497" t="s">
        <v>752</v>
      </c>
    </row>
    <row r="28" ht="15.75">
      <c r="A28" s="1"/>
    </row>
    <row r="29" ht="15.75">
      <c r="A29" s="1"/>
    </row>
    <row r="30" ht="44.25" customHeight="1">
      <c r="A30" s="486" t="s">
        <v>361</v>
      </c>
    </row>
    <row r="31" ht="15.75">
      <c r="A31" s="1"/>
    </row>
    <row r="32" ht="15.75">
      <c r="A32" s="1"/>
    </row>
    <row r="33" ht="42.75" customHeight="1">
      <c r="A33" s="486" t="s">
        <v>362</v>
      </c>
    </row>
    <row r="34" ht="15.75">
      <c r="A34" s="484"/>
    </row>
    <row r="35" ht="15.75">
      <c r="A35" s="484"/>
    </row>
    <row r="36" ht="38.25" customHeight="1">
      <c r="A36" s="486" t="s">
        <v>363</v>
      </c>
    </row>
    <row r="37" ht="15.75">
      <c r="A37" s="484"/>
    </row>
    <row r="38" ht="15.75">
      <c r="A38" s="1"/>
    </row>
    <row r="39" ht="75.75" customHeight="1">
      <c r="A39" s="486" t="s">
        <v>364</v>
      </c>
    </row>
    <row r="40" ht="15.75">
      <c r="A40" s="1"/>
    </row>
    <row r="41" ht="15.75">
      <c r="A41" s="1"/>
    </row>
    <row r="42" ht="57.75" customHeight="1">
      <c r="A42" s="486" t="s">
        <v>365</v>
      </c>
    </row>
    <row r="43" ht="15.75">
      <c r="A43" s="484"/>
    </row>
    <row r="44" ht="15.75">
      <c r="A44" s="1"/>
    </row>
    <row r="45" ht="57.75" customHeight="1">
      <c r="A45" s="486" t="s">
        <v>366</v>
      </c>
    </row>
    <row r="46" ht="15.75">
      <c r="A46" s="1"/>
    </row>
    <row r="47" ht="15.75">
      <c r="A47" s="1"/>
    </row>
    <row r="48" ht="41.25" customHeight="1">
      <c r="A48" s="486" t="s">
        <v>367</v>
      </c>
    </row>
    <row r="49" ht="15.75">
      <c r="A49" s="1"/>
    </row>
    <row r="50" ht="15.75">
      <c r="A50" s="1"/>
    </row>
    <row r="51" ht="75" customHeight="1">
      <c r="A51" s="486" t="s">
        <v>368</v>
      </c>
    </row>
    <row r="52" ht="15.75">
      <c r="A52" s="484"/>
    </row>
    <row r="53" ht="15.75">
      <c r="A53" s="484"/>
    </row>
    <row r="54" ht="57.75" customHeight="1">
      <c r="A54" s="486" t="s">
        <v>369</v>
      </c>
    </row>
    <row r="55" ht="15.75">
      <c r="A55" s="1"/>
    </row>
    <row r="56" ht="15.75">
      <c r="A56" s="1"/>
    </row>
    <row r="57" ht="44.25" customHeight="1">
      <c r="A57" s="486" t="s">
        <v>370</v>
      </c>
    </row>
    <row r="58" ht="15.75">
      <c r="A58" s="1"/>
    </row>
    <row r="59" ht="15.75">
      <c r="A59" s="1"/>
    </row>
    <row r="60" ht="60" customHeight="1">
      <c r="A60" s="486" t="s">
        <v>371</v>
      </c>
    </row>
    <row r="61" ht="15.75">
      <c r="A61" s="484"/>
    </row>
    <row r="62" ht="15.75">
      <c r="A62" s="484"/>
    </row>
    <row r="63" ht="57.75" customHeight="1">
      <c r="A63" s="486" t="s">
        <v>372</v>
      </c>
    </row>
    <row r="64" ht="15.75">
      <c r="A64" s="1"/>
    </row>
    <row r="65" ht="15.75">
      <c r="A65" s="1"/>
    </row>
    <row r="66" ht="60" customHeight="1">
      <c r="A66" s="486" t="s">
        <v>373</v>
      </c>
    </row>
  </sheetData>
  <sheetProtection sheet="1" objects="1" scenarios="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M62"/>
  <sheetViews>
    <sheetView zoomScale="75" zoomScaleNormal="75" zoomScalePageLayoutView="0" workbookViewId="0" topLeftCell="A16">
      <selection activeCell="D46" sqref="D46"/>
    </sheetView>
  </sheetViews>
  <sheetFormatPr defaultColWidth="8.796875" defaultRowHeight="15"/>
  <cols>
    <col min="1" max="1" width="20.796875" style="32" customWidth="1"/>
    <col min="2" max="2" width="15.796875" style="32" customWidth="1"/>
    <col min="3" max="3" width="10.796875" style="32" customWidth="1"/>
    <col min="4" max="4" width="15.796875" style="32" customWidth="1"/>
    <col min="5" max="5" width="10.796875" style="32" customWidth="1"/>
    <col min="6" max="6" width="15.796875" style="32" customWidth="1"/>
    <col min="7" max="7" width="12.796875" style="32" customWidth="1"/>
    <col min="8" max="8" width="10.796875" style="32" customWidth="1"/>
    <col min="9" max="9" width="8.8984375" style="32" customWidth="1"/>
    <col min="10" max="10" width="12.3984375" style="32" customWidth="1"/>
    <col min="11" max="11" width="12.296875" style="32" customWidth="1"/>
    <col min="12" max="12" width="10.59765625" style="32" customWidth="1"/>
    <col min="13" max="13" width="12.09765625" style="32" customWidth="1"/>
    <col min="14" max="16384" width="8.8984375" style="32" customWidth="1"/>
  </cols>
  <sheetData>
    <row r="1" spans="1:9" ht="15.75">
      <c r="A1" s="762" t="s">
        <v>169</v>
      </c>
      <c r="B1" s="762"/>
      <c r="C1" s="762"/>
      <c r="D1" s="762"/>
      <c r="E1" s="762"/>
      <c r="F1" s="762"/>
      <c r="G1" s="762"/>
      <c r="H1" s="762"/>
      <c r="I1" s="317"/>
    </row>
    <row r="2" spans="1:8" ht="18" customHeight="1">
      <c r="A2" s="47"/>
      <c r="B2" s="47"/>
      <c r="C2" s="47"/>
      <c r="D2" s="47"/>
      <c r="E2" s="47"/>
      <c r="F2" s="47"/>
      <c r="G2" s="47"/>
      <c r="H2" s="47">
        <f>inputPrYr!$C$5</f>
        <v>2013</v>
      </c>
    </row>
    <row r="3" spans="1:8" ht="18" customHeight="1">
      <c r="A3" s="754" t="s">
        <v>126</v>
      </c>
      <c r="B3" s="754"/>
      <c r="C3" s="754"/>
      <c r="D3" s="754"/>
      <c r="E3" s="754"/>
      <c r="F3" s="754"/>
      <c r="G3" s="754"/>
      <c r="H3" s="754"/>
    </row>
    <row r="4" spans="1:8" ht="15.75">
      <c r="A4" s="752" t="str">
        <f>inputPrYr!D2</f>
        <v>City of Frankfort</v>
      </c>
      <c r="B4" s="752"/>
      <c r="C4" s="752"/>
      <c r="D4" s="752"/>
      <c r="E4" s="752"/>
      <c r="F4" s="752"/>
      <c r="G4" s="752"/>
      <c r="H4" s="752"/>
    </row>
    <row r="5" spans="1:8" ht="18" customHeight="1">
      <c r="A5" s="802" t="str">
        <f>CONCATENATE("will meet on ",inputBudSum!B7," at ",inputBudSum!B9," at ",inputBudSum!B11," for the purpose of hearing and")</f>
        <v>will meet on August 13, 2012 at 9:00 p.m. at City Hall for the purpose of hearing and</v>
      </c>
      <c r="B5" s="802"/>
      <c r="C5" s="802"/>
      <c r="D5" s="802"/>
      <c r="E5" s="802"/>
      <c r="F5" s="802"/>
      <c r="G5" s="802"/>
      <c r="H5" s="802"/>
    </row>
    <row r="6" spans="1:8" ht="16.5" customHeight="1">
      <c r="A6" s="754" t="s">
        <v>643</v>
      </c>
      <c r="B6" s="754"/>
      <c r="C6" s="754"/>
      <c r="D6" s="754"/>
      <c r="E6" s="754"/>
      <c r="F6" s="754"/>
      <c r="G6" s="754"/>
      <c r="H6" s="754"/>
    </row>
    <row r="7" spans="1:8" ht="16.5" customHeight="1">
      <c r="A7" s="798" t="str">
        <f>CONCATENATE("Detailed budget information is available at ",inputBudSum!B14," and will be available at this hearing.")</f>
        <v>Detailed budget information is available at City Hall and will be available at this hearing.</v>
      </c>
      <c r="B7" s="798"/>
      <c r="C7" s="798"/>
      <c r="D7" s="798"/>
      <c r="E7" s="798"/>
      <c r="F7" s="798"/>
      <c r="G7" s="798"/>
      <c r="H7" s="798"/>
    </row>
    <row r="8" spans="1:8" ht="15.75">
      <c r="A8" s="55" t="s">
        <v>170</v>
      </c>
      <c r="B8" s="56"/>
      <c r="C8" s="56"/>
      <c r="D8" s="56"/>
      <c r="E8" s="56"/>
      <c r="F8" s="56"/>
      <c r="G8" s="56"/>
      <c r="H8" s="56"/>
    </row>
    <row r="9" spans="1:8" ht="15.75">
      <c r="A9" s="138" t="str">
        <f>CONCATENATE("Proposed Budget ",H2," Expenditures and Amount of ",H2-1," Ad Valorem Tax establish the maximum limits of the ",H2," budget.")</f>
        <v>Proposed Budget 2013 Expenditures and Amount of 2012 Ad Valorem Tax establish the maximum limits of the 2013 budget.</v>
      </c>
      <c r="B9" s="56"/>
      <c r="C9" s="56"/>
      <c r="D9" s="56"/>
      <c r="E9" s="56"/>
      <c r="F9" s="56"/>
      <c r="G9" s="56"/>
      <c r="H9" s="56"/>
    </row>
    <row r="10" spans="1:8" ht="15.75">
      <c r="A10" s="138" t="s">
        <v>234</v>
      </c>
      <c r="B10" s="56"/>
      <c r="C10" s="56"/>
      <c r="D10" s="56"/>
      <c r="E10" s="56"/>
      <c r="F10" s="56"/>
      <c r="G10" s="56"/>
      <c r="H10" s="56"/>
    </row>
    <row r="11" spans="1:8" ht="15.75">
      <c r="A11" s="47"/>
      <c r="B11" s="286"/>
      <c r="C11" s="286"/>
      <c r="D11" s="286"/>
      <c r="E11" s="286"/>
      <c r="F11" s="286"/>
      <c r="G11" s="286"/>
      <c r="H11" s="286"/>
    </row>
    <row r="12" spans="1:8" ht="15.75">
      <c r="A12" s="47"/>
      <c r="B12" s="318" t="str">
        <f>CONCATENATE("Prior Year Actual for ",H2-2,"")</f>
        <v>Prior Year Actual for 2011</v>
      </c>
      <c r="C12" s="141"/>
      <c r="D12" s="318" t="str">
        <f>CONCATENATE("Current Year Estimate for ",H2-1,"")</f>
        <v>Current Year Estimate for 2012</v>
      </c>
      <c r="E12" s="141"/>
      <c r="F12" s="139" t="str">
        <f>CONCATENATE("Proposed Budget Year for ",H2,"")</f>
        <v>Proposed Budget Year for 2013</v>
      </c>
      <c r="G12" s="140"/>
      <c r="H12" s="141"/>
    </row>
    <row r="13" spans="1:8" ht="21" customHeight="1">
      <c r="A13" s="47"/>
      <c r="B13" s="278"/>
      <c r="C13" s="144" t="s">
        <v>127</v>
      </c>
      <c r="D13" s="144"/>
      <c r="E13" s="144" t="s">
        <v>127</v>
      </c>
      <c r="F13" s="553" t="s">
        <v>10</v>
      </c>
      <c r="G13" s="144" t="str">
        <f>CONCATENATE("Amount of ",H2-1,"")</f>
        <v>Amount of 2012</v>
      </c>
      <c r="H13" s="144" t="s">
        <v>293</v>
      </c>
    </row>
    <row r="14" spans="1:8" ht="15.75">
      <c r="A14" s="64" t="s">
        <v>128</v>
      </c>
      <c r="B14" s="148" t="s">
        <v>129</v>
      </c>
      <c r="C14" s="148" t="s">
        <v>130</v>
      </c>
      <c r="D14" s="148" t="s">
        <v>129</v>
      </c>
      <c r="E14" s="148" t="s">
        <v>130</v>
      </c>
      <c r="F14" s="554" t="s">
        <v>666</v>
      </c>
      <c r="G14" s="149" t="s">
        <v>106</v>
      </c>
      <c r="H14" s="148" t="s">
        <v>130</v>
      </c>
    </row>
    <row r="15" spans="1:8" ht="15.75">
      <c r="A15" s="87" t="str">
        <f>inputPrYr!B17</f>
        <v>General</v>
      </c>
      <c r="B15" s="87">
        <f>IF(general!$C$111&lt;&gt;0,general!$C$111,"  ")</f>
        <v>582493</v>
      </c>
      <c r="C15" s="319">
        <f>IF(inputPrYr!D84&gt;0,inputPrYr!D84,"  ")</f>
        <v>59.658</v>
      </c>
      <c r="D15" s="87">
        <f>IF(general!$D$111&lt;&gt;0,general!$D$111,"  ")</f>
        <v>614877</v>
      </c>
      <c r="E15" s="319">
        <f>IF(inputOth!D21&gt;0,inputOth!D21,"  ")</f>
        <v>59.648</v>
      </c>
      <c r="F15" s="87">
        <f>IF(general!$E$111&lt;&gt;0,general!$E$111,"  ")</f>
        <v>997847</v>
      </c>
      <c r="G15" s="87">
        <f>IF(general!$E$118&lt;&gt;0,general!$E$118,"  ")</f>
        <v>192827</v>
      </c>
      <c r="H15" s="319">
        <f>IF(general!E118&gt;0,ROUND(G15/$F$32*1000,3),"")</f>
        <v>59.62</v>
      </c>
    </row>
    <row r="16" spans="1:8" ht="15.75">
      <c r="A16" s="87" t="str">
        <f>inputPrYr!B18</f>
        <v>Debt Service</v>
      </c>
      <c r="B16" s="87">
        <f>IF('DebtSvs-library'!C33&lt;&gt;0,'DebtSvs-library'!C33,"  ")</f>
        <v>7849</v>
      </c>
      <c r="C16" s="319" t="str">
        <f>IF(inputPrYr!D85&gt;0,inputPrYr!D85,"  ")</f>
        <v>  </v>
      </c>
      <c r="D16" s="87" t="str">
        <f>IF('DebtSvs-library'!D33&lt;&gt;0,'DebtSvs-library'!D33,"  ")</f>
        <v>  </v>
      </c>
      <c r="E16" s="319" t="str">
        <f>IF(inputOth!D22&gt;0,inputOth!D22,"  ")</f>
        <v>  </v>
      </c>
      <c r="F16" s="87" t="str">
        <f>IF('DebtSvs-library'!E33&lt;&gt;0,'DebtSvs-library'!E33,"  ")</f>
        <v>  </v>
      </c>
      <c r="G16" s="87" t="str">
        <f>IF('DebtSvs-library'!E40&lt;&gt;0,'DebtSvs-library'!E40,"  ")</f>
        <v>  </v>
      </c>
      <c r="H16" s="319" t="str">
        <f>IF('DebtSvs-library'!E40&gt;0,ROUND(G16/$F$32*1000,3),"  ")</f>
        <v>  </v>
      </c>
    </row>
    <row r="17" spans="1:8" ht="15.75">
      <c r="A17" s="87" t="str">
        <f>IF(inputPrYr!$B19&gt;"  ",(inputPrYr!$B19),"  ")</f>
        <v>Library</v>
      </c>
      <c r="B17" s="87">
        <f>IF('DebtSvs-library'!C73&lt;&gt;0,'DebtSvs-library'!C73,"  ")</f>
        <v>32545</v>
      </c>
      <c r="C17" s="319">
        <f>IF(inputPrYr!D86&gt;0,inputPrYr!D86,"  ")</f>
        <v>8.742</v>
      </c>
      <c r="D17" s="87">
        <f>IF('DebtSvs-library'!D73&lt;&gt;0,'DebtSvs-library'!D73,"  ")</f>
        <v>42202</v>
      </c>
      <c r="E17" s="319">
        <f>IF(inputOth!D23&gt;0,inputOth!D23,"  ")</f>
        <v>11.552</v>
      </c>
      <c r="F17" s="87">
        <f>IF('DebtSvs-library'!E73&lt;&gt;0,'DebtSvs-library'!E73,"  ")</f>
        <v>47523</v>
      </c>
      <c r="G17" s="87">
        <f>IF('DebtSvs-library'!E80&lt;&gt;0,'DebtSvs-library'!E80,"  ")</f>
        <v>38612</v>
      </c>
      <c r="H17" s="319">
        <f>IF('DebtSvs-library'!E80&lt;&gt;0,ROUND(G17/$F$32*1000,3),"  ")</f>
        <v>11.938</v>
      </c>
    </row>
    <row r="18" spans="1:8" ht="15.75">
      <c r="A18" s="87" t="str">
        <f>IF(inputPrYr!$B21&gt;"  ",(inputPrYr!$B21),"  ")</f>
        <v>  </v>
      </c>
      <c r="B18" s="87"/>
      <c r="C18" s="319" t="str">
        <f>IF(inputPrYr!D87&gt;0,inputPrYr!D87,"  ")</f>
        <v>  </v>
      </c>
      <c r="D18" s="87"/>
      <c r="E18" s="319" t="str">
        <f>IF(inputOth!D24&gt;0,inputOth!D24,"  ")</f>
        <v>  </v>
      </c>
      <c r="F18" s="87"/>
      <c r="G18" s="87"/>
      <c r="H18" s="319"/>
    </row>
    <row r="19" spans="1:8" ht="15.75">
      <c r="A19" s="87" t="str">
        <f>IF(inputPrYr!$B34&gt;"  ",(inputPrYr!$B34),"  ")</f>
        <v>Special Highway</v>
      </c>
      <c r="B19" s="87">
        <f>IF('Sp Hiway'!$C$30&gt;0,'Sp Hiway'!$C$30,"  ")</f>
        <v>21001</v>
      </c>
      <c r="C19" s="65"/>
      <c r="D19" s="87">
        <f>IF('Sp Hiway'!$D$30&gt;0,'Sp Hiway'!$D$30,"  ")</f>
        <v>19600</v>
      </c>
      <c r="E19" s="65"/>
      <c r="F19" s="87">
        <f>IF('Sp Hiway'!$E$30&gt;0,'Sp Hiway'!$E$30,"  ")</f>
        <v>19999</v>
      </c>
      <c r="G19" s="87"/>
      <c r="H19" s="319"/>
    </row>
    <row r="20" spans="1:8" ht="15.75">
      <c r="A20" s="87" t="str">
        <f>IF(inputPrYr!$B35&gt;"  ",(inputPrYr!$B35),"  ")</f>
        <v>Special Parks &amp; Recreation</v>
      </c>
      <c r="B20" s="87" t="str">
        <f>IF('Sp Hiway'!$C$61&gt;0,'Sp Hiway'!$C$61,"  ")</f>
        <v>  </v>
      </c>
      <c r="C20" s="65"/>
      <c r="D20" s="87">
        <f>IF('Sp Hiway'!$D$61&gt;0,'Sp Hiway'!$D$61,"  ")</f>
        <v>850</v>
      </c>
      <c r="E20" s="65"/>
      <c r="F20" s="87">
        <f>IF('Sp Hiway'!$E$61&gt;0,'Sp Hiway'!$E$61,"  ")</f>
        <v>5145</v>
      </c>
      <c r="G20" s="87"/>
      <c r="H20" s="319"/>
    </row>
    <row r="21" spans="1:8" ht="15.75">
      <c r="A21" s="87" t="str">
        <f>IF(inputPrYr!$B36&gt;"  ",(inputPrYr!$B36),"  ")</f>
        <v>Ambulance</v>
      </c>
      <c r="B21" s="87">
        <f>IF('Amb-WatUtil'!$C$28&gt;0,'Amb-WatUtil'!$C$28,"  ")</f>
        <v>76902</v>
      </c>
      <c r="C21" s="65"/>
      <c r="D21" s="87">
        <f>IF('Amb-WatUtil'!$D$28&gt;0,'Amb-WatUtil'!$D$28,"  ")</f>
        <v>96090</v>
      </c>
      <c r="E21" s="65"/>
      <c r="F21" s="87">
        <f>IF('Amb-WatUtil'!$E$28&gt;0,'Amb-WatUtil'!$E$28,"  ")</f>
        <v>278980</v>
      </c>
      <c r="G21" s="87"/>
      <c r="H21" s="319"/>
    </row>
    <row r="22" spans="1:8" ht="15.75">
      <c r="A22" s="87" t="str">
        <f>IF(inputPrYr!$B37&gt;"  ",(inputPrYr!$B37),"  ")</f>
        <v>Water Utility</v>
      </c>
      <c r="B22" s="87">
        <f>IF('Amb-WatUtil'!$C$59&gt;0,'Amb-WatUtil'!$C$59,"  ")</f>
        <v>77205</v>
      </c>
      <c r="C22" s="65"/>
      <c r="D22" s="87">
        <f>IF('Amb-WatUtil'!$D$59&gt;0,'Amb-WatUtil'!$D$59,"  ")</f>
        <v>105800</v>
      </c>
      <c r="E22" s="65"/>
      <c r="F22" s="87">
        <f>IF('Amb-WatUtil'!$E$59&gt;0,'Amb-WatUtil'!$E$59,"  ")</f>
        <v>185800</v>
      </c>
      <c r="G22" s="87"/>
      <c r="H22" s="319"/>
    </row>
    <row r="23" spans="1:8" ht="15.75">
      <c r="A23" s="87" t="str">
        <f>IF(inputPrYr!$B38&gt;"  ",(inputPrYr!$B38),"  ")</f>
        <v>Sewer Utility</v>
      </c>
      <c r="B23" s="87">
        <f>IF(SewerUtil!$C$28&gt;0,SewerUtil!$C$28,"  ")</f>
        <v>42894</v>
      </c>
      <c r="C23" s="65"/>
      <c r="D23" s="87">
        <f>IF(SewerUtil!$D$28&gt;0,SewerUtil!$D$28,"  ")</f>
        <v>64700</v>
      </c>
      <c r="E23" s="65"/>
      <c r="F23" s="87">
        <f>IF(SewerUtil!$E$28&gt;0,SewerUtil!$E$28,"  ")</f>
        <v>104800</v>
      </c>
      <c r="G23" s="65"/>
      <c r="H23" s="65"/>
    </row>
    <row r="24" spans="1:8" ht="15.75">
      <c r="A24" s="87" t="str">
        <f>IF(inputPrYr!$B39&gt;"  ",(inputPrYr!$B39),"  ")</f>
        <v>  </v>
      </c>
      <c r="B24" s="87" t="str">
        <f>IF(SewerUtil!$C$59&gt;0,SewerUtil!$C$59,"  ")</f>
        <v>  </v>
      </c>
      <c r="C24" s="65"/>
      <c r="D24" s="87" t="str">
        <f>IF(SewerUtil!$D$59&gt;0,SewerUtil!$D$59,"  ")</f>
        <v>  </v>
      </c>
      <c r="E24" s="65"/>
      <c r="F24" s="87" t="str">
        <f>IF(SewerUtil!$E$59&gt;0,SewerUtil!$E$59,"  ")</f>
        <v>  </v>
      </c>
      <c r="G24" s="65"/>
      <c r="H24" s="65"/>
    </row>
    <row r="25" spans="1:13" ht="15.75">
      <c r="A25" s="87" t="str">
        <f>IF(inputPrYr!$B57&gt;"  ",(CapImprov!$A3),"  ")</f>
        <v>Non-Budgeted Funds-A</v>
      </c>
      <c r="B25" s="87">
        <f>IF(CapImprov!$K$28&gt;0,CapImprov!$K$28,"  ")</f>
        <v>49936</v>
      </c>
      <c r="C25" s="65"/>
      <c r="D25" s="87"/>
      <c r="E25" s="65"/>
      <c r="F25" s="87"/>
      <c r="G25" s="65"/>
      <c r="H25" s="65"/>
      <c r="J25" s="510" t="str">
        <f>CONCATENATE("",H2," Tax Levy Fund Expenditures Must Be")</f>
        <v>2013 Tax Levy Fund Expenditures Must Be</v>
      </c>
      <c r="K25" s="511"/>
      <c r="L25" s="511"/>
      <c r="M25" s="508"/>
    </row>
    <row r="26" spans="1:13" ht="16.5" thickBot="1">
      <c r="A26" s="87" t="str">
        <f>IF(inputPrYr!$B75&gt;"  ",(#REF!),"  ")</f>
        <v>  </v>
      </c>
      <c r="B26" s="520"/>
      <c r="C26" s="521"/>
      <c r="D26" s="520"/>
      <c r="E26" s="521"/>
      <c r="F26" s="520"/>
      <c r="G26" s="521"/>
      <c r="H26" s="521"/>
      <c r="J26" s="514"/>
      <c r="K26" s="514"/>
      <c r="L26" s="514"/>
      <c r="M26" s="514"/>
    </row>
    <row r="27" spans="1:13" ht="15.75">
      <c r="A27" s="143" t="s">
        <v>765</v>
      </c>
      <c r="B27" s="549">
        <f>SUM(B15:B26)</f>
        <v>890825</v>
      </c>
      <c r="C27" s="550">
        <f>SUM(C15:C18)</f>
        <v>68.4</v>
      </c>
      <c r="D27" s="549">
        <f>SUM(D15:D26)</f>
        <v>944119</v>
      </c>
      <c r="E27" s="550">
        <f>SUM(E15:E18)</f>
        <v>71.2</v>
      </c>
      <c r="F27" s="549">
        <f>SUM(F15:F26)</f>
        <v>1640094</v>
      </c>
      <c r="G27" s="549">
        <f>SUM(G15:G26)</f>
        <v>231439</v>
      </c>
      <c r="H27" s="550">
        <f>SUM(H15:H18)</f>
        <v>71.55799999999999</v>
      </c>
      <c r="J27" s="799" t="str">
        <f>CONCATENATE("Impact On Keeping The Same Mill Rate As For ",H2-1,"")</f>
        <v>Impact On Keeping The Same Mill Rate As For 2012</v>
      </c>
      <c r="K27" s="806"/>
      <c r="L27" s="806"/>
      <c r="M27" s="807"/>
    </row>
    <row r="28" spans="1:13" ht="15.75">
      <c r="A28" s="52" t="s">
        <v>131</v>
      </c>
      <c r="B28" s="480">
        <f>transfers!D26</f>
        <v>37849</v>
      </c>
      <c r="C28" s="548"/>
      <c r="D28" s="480">
        <f>transfers!E26</f>
        <v>26000</v>
      </c>
      <c r="E28" s="332"/>
      <c r="F28" s="480">
        <f>transfers!F26</f>
        <v>17500</v>
      </c>
      <c r="G28" s="546"/>
      <c r="H28" s="332"/>
      <c r="I28" s="517"/>
      <c r="J28" s="507"/>
      <c r="K28" s="501"/>
      <c r="L28" s="501"/>
      <c r="M28" s="508"/>
    </row>
    <row r="29" spans="1:13" ht="16.5" thickBot="1">
      <c r="A29" s="52" t="s">
        <v>132</v>
      </c>
      <c r="B29" s="329">
        <f>B27-B28</f>
        <v>852976</v>
      </c>
      <c r="C29" s="47"/>
      <c r="D29" s="329">
        <f>D27-D28</f>
        <v>918119</v>
      </c>
      <c r="E29" s="47"/>
      <c r="F29" s="329">
        <f>F27-F28</f>
        <v>1622594</v>
      </c>
      <c r="G29" s="47"/>
      <c r="H29" s="47"/>
      <c r="J29" s="507" t="str">
        <f>CONCATENATE("",H2," Ad Valorem Tax Revenue:")</f>
        <v>2013 Ad Valorem Tax Revenue:</v>
      </c>
      <c r="K29" s="501"/>
      <c r="L29" s="501"/>
      <c r="M29" s="502">
        <f>G27</f>
        <v>231439</v>
      </c>
    </row>
    <row r="30" spans="1:13" ht="16.5" thickTop="1">
      <c r="A30" s="52" t="s">
        <v>133</v>
      </c>
      <c r="B30" s="480">
        <f>inputPrYr!$E$99</f>
        <v>211595</v>
      </c>
      <c r="C30" s="197"/>
      <c r="D30" s="480">
        <f>inputPrYr!$E$31</f>
        <v>225632</v>
      </c>
      <c r="E30" s="197"/>
      <c r="F30" s="320" t="s">
        <v>94</v>
      </c>
      <c r="G30" s="47"/>
      <c r="H30" s="47"/>
      <c r="J30" s="507" t="str">
        <f>CONCATENATE("",H2-1," Ad Valorem Tax Revenue:")</f>
        <v>2012 Ad Valorem Tax Revenue:</v>
      </c>
      <c r="K30" s="501"/>
      <c r="L30" s="501"/>
      <c r="M30" s="515" t="e">
        <f>ROUND(F32*#REF!/1000,0)</f>
        <v>#REF!</v>
      </c>
    </row>
    <row r="31" spans="1:13" ht="15.75">
      <c r="A31" s="52" t="s">
        <v>134</v>
      </c>
      <c r="B31" s="199"/>
      <c r="C31" s="47"/>
      <c r="D31" s="481"/>
      <c r="E31" s="201"/>
      <c r="F31" s="152"/>
      <c r="G31" s="47"/>
      <c r="H31" s="47"/>
      <c r="J31" s="512" t="s">
        <v>755</v>
      </c>
      <c r="K31" s="513"/>
      <c r="L31" s="513"/>
      <c r="M31" s="505" t="e">
        <f>SUM(M29-M30)</f>
        <v>#REF!</v>
      </c>
    </row>
    <row r="32" spans="1:13" ht="15.75">
      <c r="A32" s="52" t="s">
        <v>135</v>
      </c>
      <c r="B32" s="480">
        <f>inputPrYr!$E$100</f>
        <v>3093481</v>
      </c>
      <c r="C32" s="76"/>
      <c r="D32" s="480">
        <f>inputOth!$E$36</f>
        <v>3168997</v>
      </c>
      <c r="E32" s="76"/>
      <c r="F32" s="480">
        <f>inputOth!$E$7</f>
        <v>3234290</v>
      </c>
      <c r="G32" s="47"/>
      <c r="H32" s="47"/>
      <c r="J32" s="506"/>
      <c r="K32" s="506"/>
      <c r="L32" s="506"/>
      <c r="M32" s="514"/>
    </row>
    <row r="33" spans="1:13" ht="15.75">
      <c r="A33" s="52" t="s">
        <v>136</v>
      </c>
      <c r="B33" s="47"/>
      <c r="C33" s="47"/>
      <c r="D33" s="47"/>
      <c r="E33" s="47"/>
      <c r="F33" s="47"/>
      <c r="G33" s="47"/>
      <c r="H33" s="47"/>
      <c r="J33" s="799" t="s">
        <v>756</v>
      </c>
      <c r="K33" s="804"/>
      <c r="L33" s="804"/>
      <c r="M33" s="805"/>
    </row>
    <row r="34" spans="1:13" ht="15.75">
      <c r="A34" s="52" t="s">
        <v>137</v>
      </c>
      <c r="B34" s="321">
        <f>$H$2-3</f>
        <v>2010</v>
      </c>
      <c r="C34" s="47"/>
      <c r="D34" s="321">
        <f>$H$2-2</f>
        <v>2011</v>
      </c>
      <c r="E34" s="47"/>
      <c r="F34" s="321">
        <f>$H$2-1</f>
        <v>2012</v>
      </c>
      <c r="G34" s="47"/>
      <c r="H34" s="47"/>
      <c r="J34" s="507"/>
      <c r="K34" s="501"/>
      <c r="L34" s="501"/>
      <c r="M34" s="508"/>
    </row>
    <row r="35" spans="1:13" ht="13.5" customHeight="1">
      <c r="A35" s="52" t="s">
        <v>138</v>
      </c>
      <c r="B35" s="241">
        <f>inputPrYr!$D$104</f>
        <v>25000</v>
      </c>
      <c r="C35" s="172"/>
      <c r="D35" s="241">
        <f>inputPrYr!$E$104</f>
        <v>0</v>
      </c>
      <c r="E35" s="172"/>
      <c r="F35" s="241">
        <f>debt!$G$20</f>
        <v>0</v>
      </c>
      <c r="G35" s="47"/>
      <c r="H35" s="47"/>
      <c r="J35" s="507" t="str">
        <f>CONCATENATE("Current ",H2," Estimated Mill Rate:")</f>
        <v>Current 2013 Estimated Mill Rate:</v>
      </c>
      <c r="K35" s="501"/>
      <c r="L35" s="501"/>
      <c r="M35" s="509">
        <f>H27</f>
        <v>71.55799999999999</v>
      </c>
    </row>
    <row r="36" spans="1:13" ht="15.75">
      <c r="A36" s="52" t="s">
        <v>139</v>
      </c>
      <c r="B36" s="480">
        <f>inputPrYr!$D$105</f>
        <v>0</v>
      </c>
      <c r="C36" s="172"/>
      <c r="D36" s="480">
        <f>inputPrYr!$E$105</f>
        <v>0</v>
      </c>
      <c r="E36" s="172"/>
      <c r="F36" s="241">
        <f>debt!$G$32</f>
        <v>0</v>
      </c>
      <c r="G36" s="47"/>
      <c r="H36" s="47"/>
      <c r="J36" s="507" t="str">
        <f>CONCATENATE("Desired ",H2," Mill Rate:")</f>
        <v>Desired 2013 Mill Rate:</v>
      </c>
      <c r="K36" s="501"/>
      <c r="L36" s="501"/>
      <c r="M36" s="499">
        <v>0</v>
      </c>
    </row>
    <row r="37" spans="1:13" ht="18.75" customHeight="1">
      <c r="A37" s="47" t="s">
        <v>157</v>
      </c>
      <c r="B37" s="480">
        <f>inputPrYr!$D$106</f>
        <v>0</v>
      </c>
      <c r="C37" s="172"/>
      <c r="D37" s="480">
        <f>inputPrYr!$E$106</f>
        <v>0</v>
      </c>
      <c r="E37" s="172"/>
      <c r="F37" s="241">
        <f>debt!$G$42</f>
        <v>0</v>
      </c>
      <c r="G37" s="47"/>
      <c r="H37" s="47"/>
      <c r="J37" s="507" t="str">
        <f>CONCATENATE("",H2," Ad Valorem Tax:")</f>
        <v>2013 Ad Valorem Tax:</v>
      </c>
      <c r="K37" s="501"/>
      <c r="L37" s="501"/>
      <c r="M37" s="515">
        <f>ROUND(F32*M36/1000,0)</f>
        <v>0</v>
      </c>
    </row>
    <row r="38" spans="1:13" ht="18.75" customHeight="1">
      <c r="A38" s="52" t="s">
        <v>235</v>
      </c>
      <c r="B38" s="480">
        <f>inputPrYr!$D$107</f>
        <v>57324</v>
      </c>
      <c r="C38" s="172"/>
      <c r="D38" s="480">
        <f>inputPrYr!$E$107</f>
        <v>940519</v>
      </c>
      <c r="E38" s="172"/>
      <c r="F38" s="241">
        <f>lpform!$G$28</f>
        <v>877986</v>
      </c>
      <c r="G38" s="47"/>
      <c r="H38" s="47"/>
      <c r="J38" s="512" t="str">
        <f>CONCATENATE("",H2," Tax Levy Fund Exp. Changed By:")</f>
        <v>2013 Tax Levy Fund Exp. Changed By:</v>
      </c>
      <c r="K38" s="513"/>
      <c r="L38" s="513"/>
      <c r="M38" s="505">
        <f>IF(M36=0,0,(M37-G27))</f>
        <v>0</v>
      </c>
    </row>
    <row r="39" spans="1:8" ht="18.75" customHeight="1" thickBot="1">
      <c r="A39" s="52" t="s">
        <v>140</v>
      </c>
      <c r="B39" s="555">
        <f>SUM(B35:B38)</f>
        <v>82324</v>
      </c>
      <c r="C39" s="172"/>
      <c r="D39" s="555">
        <f>SUM(D35:D38)</f>
        <v>940519</v>
      </c>
      <c r="E39" s="172"/>
      <c r="F39" s="555">
        <f>SUM(F35:F38)</f>
        <v>877986</v>
      </c>
      <c r="G39" s="47"/>
      <c r="H39" s="47"/>
    </row>
    <row r="40" spans="1:13" ht="18.75" customHeight="1" thickTop="1">
      <c r="A40" s="52" t="s">
        <v>141</v>
      </c>
      <c r="B40" s="47"/>
      <c r="C40" s="47"/>
      <c r="D40" s="47"/>
      <c r="E40" s="47"/>
      <c r="F40" s="47"/>
      <c r="G40" s="47"/>
      <c r="H40" s="47"/>
      <c r="J40" s="799" t="str">
        <f>CONCATENATE("Estimated Value Of One Mill For ",H2,"")</f>
        <v>Estimated Value Of One Mill For 2013</v>
      </c>
      <c r="K40" s="800"/>
      <c r="L40" s="800"/>
      <c r="M40" s="801"/>
    </row>
    <row r="41" spans="1:13" ht="15.75">
      <c r="A41" s="47"/>
      <c r="B41" s="47"/>
      <c r="C41" s="47"/>
      <c r="D41" s="47"/>
      <c r="E41" s="47"/>
      <c r="F41" s="47"/>
      <c r="G41" s="47"/>
      <c r="H41" s="47"/>
      <c r="J41" s="500"/>
      <c r="K41" s="501"/>
      <c r="L41" s="501"/>
      <c r="M41" s="502"/>
    </row>
    <row r="42" spans="1:13" ht="15.75">
      <c r="A42" s="803" t="str">
        <f>inputBudSum!B3</f>
        <v>Melody Tommer</v>
      </c>
      <c r="B42" s="803"/>
      <c r="C42" s="76"/>
      <c r="D42" s="47"/>
      <c r="E42" s="47"/>
      <c r="F42" s="47"/>
      <c r="G42" s="47"/>
      <c r="H42" s="47"/>
      <c r="J42" s="503" t="s">
        <v>754</v>
      </c>
      <c r="K42" s="504"/>
      <c r="L42" s="504"/>
      <c r="M42" s="505">
        <f>ROUND(F32/1000,0)</f>
        <v>3234</v>
      </c>
    </row>
    <row r="43" spans="1:8" ht="15.75">
      <c r="A43" s="169" t="s">
        <v>272</v>
      </c>
      <c r="B43" s="612" t="str">
        <f>inputBudSum!B5</f>
        <v>City Clerk</v>
      </c>
      <c r="C43" s="47"/>
      <c r="D43" s="47"/>
      <c r="E43" s="47"/>
      <c r="F43" s="47"/>
      <c r="G43" s="47"/>
      <c r="H43" s="47"/>
    </row>
    <row r="44" spans="1:13" ht="15.75">
      <c r="A44" s="47"/>
      <c r="B44" s="47"/>
      <c r="C44" s="47"/>
      <c r="D44" s="47"/>
      <c r="E44" s="47"/>
      <c r="F44" s="47"/>
      <c r="G44" s="47"/>
      <c r="H44" s="47"/>
      <c r="J44" s="799" t="str">
        <f>CONCATENATE("Want The Mill Rate The Same As For ",H2-1,"?")</f>
        <v>Want The Mill Rate The Same As For 2012?</v>
      </c>
      <c r="K44" s="800"/>
      <c r="L44" s="800"/>
      <c r="M44" s="801"/>
    </row>
    <row r="45" spans="1:13" ht="15.75">
      <c r="A45" s="47"/>
      <c r="B45" s="47"/>
      <c r="C45" s="136" t="s">
        <v>116</v>
      </c>
      <c r="D45" s="281">
        <v>14</v>
      </c>
      <c r="E45" s="47"/>
      <c r="F45" s="47"/>
      <c r="G45" s="47"/>
      <c r="H45" s="47"/>
      <c r="J45" s="507"/>
      <c r="K45" s="501"/>
      <c r="L45" s="501"/>
      <c r="M45" s="508"/>
    </row>
    <row r="46" spans="10:13" ht="15.75">
      <c r="J46" s="507" t="str">
        <f>CONCATENATE("",H2-1," Mill Rate Was:")</f>
        <v>2012 Mill Rate Was:</v>
      </c>
      <c r="K46" s="501"/>
      <c r="L46" s="501"/>
      <c r="M46" s="509">
        <f>E27</f>
        <v>71.2</v>
      </c>
    </row>
    <row r="47" spans="10:13" ht="15.75">
      <c r="J47" s="510" t="str">
        <f>CONCATENATE("",H2," Tax Levy Fund Expenditures Must Be")</f>
        <v>2013 Tax Levy Fund Expenditures Must Be</v>
      </c>
      <c r="K47" s="511"/>
      <c r="L47" s="511"/>
      <c r="M47" s="508"/>
    </row>
    <row r="48" spans="10:13" ht="15.75">
      <c r="J48" s="510" t="e">
        <f>IF(M48&gt;0,"Increased By:","")</f>
        <v>#REF!</v>
      </c>
      <c r="K48" s="511"/>
      <c r="L48" s="511"/>
      <c r="M48" s="581" t="e">
        <f>IF(M31&lt;0,M31*-1,0)</f>
        <v>#REF!</v>
      </c>
    </row>
    <row r="49" spans="10:13" ht="15.75">
      <c r="J49" s="582" t="e">
        <f>IF(M49&lt;0,"Reduced By:","")</f>
        <v>#REF!</v>
      </c>
      <c r="K49" s="583"/>
      <c r="L49" s="583"/>
      <c r="M49" s="584" t="e">
        <f>IF(M31&gt;0,M31*-1,0)</f>
        <v>#REF!</v>
      </c>
    </row>
    <row r="50" spans="10:13" ht="15.75">
      <c r="J50" s="514"/>
      <c r="K50" s="514"/>
      <c r="L50" s="514"/>
      <c r="M50" s="514"/>
    </row>
    <row r="51" spans="10:13" ht="15.75">
      <c r="J51" s="799" t="str">
        <f>CONCATENATE("Impact On Keeping The Same Mill Rate As For ",H2-1,"")</f>
        <v>Impact On Keeping The Same Mill Rate As For 2012</v>
      </c>
      <c r="K51" s="806"/>
      <c r="L51" s="806"/>
      <c r="M51" s="807"/>
    </row>
    <row r="52" spans="10:13" ht="15.75">
      <c r="J52" s="507"/>
      <c r="K52" s="501"/>
      <c r="L52" s="501"/>
      <c r="M52" s="508"/>
    </row>
    <row r="53" spans="10:13" ht="15.75">
      <c r="J53" s="507" t="str">
        <f>CONCATENATE("",H2," Ad Valorem Tax Revenue:")</f>
        <v>2013 Ad Valorem Tax Revenue:</v>
      </c>
      <c r="K53" s="501"/>
      <c r="L53" s="501"/>
      <c r="M53" s="502">
        <f>G27</f>
        <v>231439</v>
      </c>
    </row>
    <row r="54" spans="10:13" ht="15.75">
      <c r="J54" s="507" t="str">
        <f>CONCATENATE("",H2-1," Ad Valorem Tax Revenue:")</f>
        <v>2012 Ad Valorem Tax Revenue:</v>
      </c>
      <c r="K54" s="501"/>
      <c r="L54" s="501"/>
      <c r="M54" s="515" t="e">
        <f>ROUND(F32*#REF!/1000,0)</f>
        <v>#REF!</v>
      </c>
    </row>
    <row r="55" spans="10:13" ht="15.75">
      <c r="J55" s="512" t="s">
        <v>755</v>
      </c>
      <c r="K55" s="513"/>
      <c r="L55" s="513"/>
      <c r="M55" s="505" t="e">
        <f>SUM(M53-M54)</f>
        <v>#REF!</v>
      </c>
    </row>
    <row r="56" spans="10:13" ht="15.75">
      <c r="J56" s="506"/>
      <c r="K56" s="506"/>
      <c r="L56" s="506"/>
      <c r="M56" s="514"/>
    </row>
    <row r="57" spans="10:13" ht="15.75">
      <c r="J57" s="799" t="s">
        <v>756</v>
      </c>
      <c r="K57" s="804"/>
      <c r="L57" s="804"/>
      <c r="M57" s="805"/>
    </row>
    <row r="58" spans="10:13" ht="15.75">
      <c r="J58" s="507"/>
      <c r="K58" s="501"/>
      <c r="L58" s="501"/>
      <c r="M58" s="508"/>
    </row>
    <row r="59" spans="10:13" ht="15.75">
      <c r="J59" s="507" t="str">
        <f>CONCATENATE("Current ",H2," Estimated Mill Rate:")</f>
        <v>Current 2013 Estimated Mill Rate:</v>
      </c>
      <c r="K59" s="501"/>
      <c r="L59" s="501"/>
      <c r="M59" s="509">
        <f>H27</f>
        <v>71.55799999999999</v>
      </c>
    </row>
    <row r="60" spans="10:13" ht="15.75">
      <c r="J60" s="507" t="str">
        <f>CONCATENATE("Desired ",H2," Mill Rate:")</f>
        <v>Desired 2013 Mill Rate:</v>
      </c>
      <c r="K60" s="501"/>
      <c r="L60" s="501"/>
      <c r="M60" s="499">
        <v>0</v>
      </c>
    </row>
    <row r="61" spans="10:13" ht="15.75">
      <c r="J61" s="507" t="str">
        <f>CONCATENATE("",H2," Ad Valorem Tax:")</f>
        <v>2013 Ad Valorem Tax:</v>
      </c>
      <c r="K61" s="501"/>
      <c r="L61" s="501"/>
      <c r="M61" s="515">
        <f>ROUND(F32*M36/1000,0)</f>
        <v>0</v>
      </c>
    </row>
    <row r="62" spans="10:13" ht="15.75">
      <c r="J62" s="512" t="str">
        <f>CONCATENATE("",H2," Tax Levy Fund Exp. Changed By:")</f>
        <v>2013 Tax Levy Fund Exp. Changed By:</v>
      </c>
      <c r="K62" s="513"/>
      <c r="L62" s="513"/>
      <c r="M62" s="505">
        <f>IF(M36=0,0,(M37-G27))</f>
        <v>0</v>
      </c>
    </row>
  </sheetData>
  <sheetProtection/>
  <mergeCells count="13">
    <mergeCell ref="A42:B42"/>
    <mergeCell ref="J33:M33"/>
    <mergeCell ref="J27:M27"/>
    <mergeCell ref="J44:M44"/>
    <mergeCell ref="J51:M51"/>
    <mergeCell ref="J57:M57"/>
    <mergeCell ref="A1:H1"/>
    <mergeCell ref="A4:H4"/>
    <mergeCell ref="A6:H6"/>
    <mergeCell ref="A7:H7"/>
    <mergeCell ref="A3:H3"/>
    <mergeCell ref="J40:M40"/>
    <mergeCell ref="A5:H5"/>
  </mergeCells>
  <printOptions/>
  <pageMargins left="1" right="0.5" top="1" bottom="0.5" header="0.5" footer="0.5"/>
  <pageSetup blackAndWhite="1" fitToHeight="1" fitToWidth="1" horizontalDpi="120" verticalDpi="120" orientation="portrait" scale="61"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N40"/>
  <sheetViews>
    <sheetView zoomScalePageLayoutView="0" workbookViewId="0" topLeftCell="A13">
      <selection activeCell="H10" sqref="H10"/>
    </sheetView>
  </sheetViews>
  <sheetFormatPr defaultColWidth="8.796875" defaultRowHeight="15"/>
  <cols>
    <col min="1" max="16384" width="8.8984375" style="1" customWidth="1"/>
  </cols>
  <sheetData>
    <row r="1" spans="1:7" ht="16.5" customHeight="1">
      <c r="A1" s="808" t="s">
        <v>237</v>
      </c>
      <c r="B1" s="808"/>
      <c r="C1" s="808"/>
      <c r="D1" s="808"/>
      <c r="E1" s="808"/>
      <c r="F1" s="808"/>
      <c r="G1" s="808"/>
    </row>
    <row r="2" spans="1:7" ht="16.5" customHeight="1">
      <c r="A2" s="808"/>
      <c r="B2" s="808"/>
      <c r="C2" s="808"/>
      <c r="D2" s="808"/>
      <c r="E2" s="808"/>
      <c r="F2" s="808"/>
      <c r="G2" s="808"/>
    </row>
    <row r="3" spans="1:7" ht="16.5" customHeight="1">
      <c r="A3" s="809"/>
      <c r="B3" s="809"/>
      <c r="C3" s="809"/>
      <c r="D3" s="809"/>
      <c r="E3" s="809"/>
      <c r="F3" s="809"/>
      <c r="G3" s="809"/>
    </row>
    <row r="4" spans="1:7" ht="16.5" customHeight="1">
      <c r="A4" s="810" t="str">
        <f>CONCATENATE("AN ORDINANCE ATTESTING TO AN INCREASE IN TAX REVENUES FOR BUDGET YEAR ",inputPrYr!C5," FOR THE ",(inputPrYr!$D$2))</f>
        <v>AN ORDINANCE ATTESTING TO AN INCREASE IN TAX REVENUES FOR BUDGET YEAR 2013 FOR THE City of Frankfort</v>
      </c>
      <c r="B4" s="810"/>
      <c r="C4" s="810"/>
      <c r="D4" s="810"/>
      <c r="E4" s="810"/>
      <c r="F4" s="810"/>
      <c r="G4" s="810"/>
    </row>
    <row r="5" spans="1:7" ht="16.5" customHeight="1">
      <c r="A5" s="810"/>
      <c r="B5" s="810"/>
      <c r="C5" s="810"/>
      <c r="D5" s="810"/>
      <c r="E5" s="810"/>
      <c r="F5" s="810"/>
      <c r="G5" s="810"/>
    </row>
    <row r="6" spans="1:7" ht="16.5" customHeight="1">
      <c r="A6" s="808"/>
      <c r="B6" s="808"/>
      <c r="C6" s="808"/>
      <c r="D6" s="808"/>
      <c r="E6" s="808"/>
      <c r="F6" s="808"/>
      <c r="G6" s="808"/>
    </row>
    <row r="7" spans="1:14" ht="16.5" customHeight="1">
      <c r="A7" s="810" t="str">
        <f>CONCATENATE("WHEREAS, the ",(inputPrYr!$D$2)," must continue to provide services to protect the health, safety, and welfare of the citizens of this community; and")</f>
        <v>WHEREAS, the City of Frankfort must continue to provide services to protect the health, safety, and welfare of the citizens of this community; and</v>
      </c>
      <c r="B7" s="810"/>
      <c r="C7" s="810"/>
      <c r="D7" s="810"/>
      <c r="E7" s="810"/>
      <c r="F7" s="810"/>
      <c r="G7" s="810"/>
      <c r="H7" s="24"/>
      <c r="I7" s="24"/>
      <c r="J7" s="24"/>
      <c r="K7" s="24"/>
      <c r="L7" s="24"/>
      <c r="M7" s="24"/>
      <c r="N7" s="24"/>
    </row>
    <row r="8" spans="1:14" ht="16.5" customHeight="1">
      <c r="A8" s="810"/>
      <c r="B8" s="810"/>
      <c r="C8" s="810"/>
      <c r="D8" s="810"/>
      <c r="E8" s="810"/>
      <c r="F8" s="810"/>
      <c r="G8" s="810"/>
      <c r="H8" s="24"/>
      <c r="I8" s="24"/>
      <c r="J8" s="24"/>
      <c r="K8" s="24"/>
      <c r="L8" s="24"/>
      <c r="M8" s="24"/>
      <c r="N8" s="24"/>
    </row>
    <row r="9" spans="1:7" ht="16.5" customHeight="1">
      <c r="A9" s="25"/>
      <c r="B9" s="25"/>
      <c r="C9" s="25"/>
      <c r="D9" s="25"/>
      <c r="E9" s="25"/>
      <c r="F9" s="25"/>
      <c r="G9" s="25"/>
    </row>
    <row r="10" spans="1:7" ht="16.5" customHeight="1">
      <c r="A10" s="810" t="s">
        <v>238</v>
      </c>
      <c r="B10" s="810"/>
      <c r="C10" s="810"/>
      <c r="D10" s="810"/>
      <c r="E10" s="810"/>
      <c r="F10" s="810"/>
      <c r="G10" s="810"/>
    </row>
    <row r="11" spans="1:7" ht="16.5" customHeight="1">
      <c r="A11" s="810"/>
      <c r="B11" s="810"/>
      <c r="C11" s="810"/>
      <c r="D11" s="810"/>
      <c r="E11" s="810"/>
      <c r="F11" s="810"/>
      <c r="G11" s="810"/>
    </row>
    <row r="12" spans="1:7" ht="16.5" customHeight="1">
      <c r="A12" s="25"/>
      <c r="B12" s="25"/>
      <c r="C12" s="25"/>
      <c r="D12" s="25"/>
      <c r="E12" s="25"/>
      <c r="F12" s="25"/>
      <c r="G12" s="25"/>
    </row>
    <row r="13" spans="1:14" ht="16.5" customHeight="1">
      <c r="A13" s="810" t="str">
        <f>CONCATENATE("NOW THEREFORE, be it ordained by the Governing Body of the ",(inputPrYr!$D$2),":")</f>
        <v>NOW THEREFORE, be it ordained by the Governing Body of the City of Frankfort:</v>
      </c>
      <c r="B13" s="810"/>
      <c r="C13" s="810"/>
      <c r="D13" s="810"/>
      <c r="E13" s="810"/>
      <c r="F13" s="810"/>
      <c r="G13" s="810"/>
      <c r="H13" s="24"/>
      <c r="I13" s="24"/>
      <c r="J13" s="24"/>
      <c r="K13" s="24"/>
      <c r="L13" s="24"/>
      <c r="M13" s="24"/>
      <c r="N13" s="24"/>
    </row>
    <row r="14" spans="1:14" ht="16.5" customHeight="1">
      <c r="A14" s="810"/>
      <c r="B14" s="810"/>
      <c r="C14" s="810"/>
      <c r="D14" s="810"/>
      <c r="E14" s="810"/>
      <c r="F14" s="810"/>
      <c r="G14" s="810"/>
      <c r="H14" s="24"/>
      <c r="I14" s="24"/>
      <c r="J14" s="24"/>
      <c r="K14" s="24"/>
      <c r="L14" s="24"/>
      <c r="M14" s="24"/>
      <c r="N14" s="24"/>
    </row>
    <row r="15" spans="1:14" ht="16.5" customHeight="1">
      <c r="A15" s="810"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Frankfort  has scheduled a public hearing and has prepared the proposed budget necessary to fund city services from January 1, 2013 until December 31, 2013.</v>
      </c>
      <c r="B15" s="810"/>
      <c r="C15" s="810"/>
      <c r="D15" s="810"/>
      <c r="E15" s="810"/>
      <c r="F15" s="810"/>
      <c r="G15" s="810"/>
      <c r="H15" s="24"/>
      <c r="I15" s="24"/>
      <c r="J15" s="24"/>
      <c r="K15" s="24"/>
      <c r="L15" s="24"/>
      <c r="M15" s="24"/>
      <c r="N15" s="24"/>
    </row>
    <row r="16" spans="1:14" ht="16.5" customHeight="1">
      <c r="A16" s="810"/>
      <c r="B16" s="810"/>
      <c r="C16" s="810"/>
      <c r="D16" s="810"/>
      <c r="E16" s="810"/>
      <c r="F16" s="810"/>
      <c r="G16" s="810"/>
      <c r="H16" s="24"/>
      <c r="I16" s="24"/>
      <c r="J16" s="24"/>
      <c r="K16" s="24"/>
      <c r="L16" s="24"/>
      <c r="M16" s="24"/>
      <c r="N16" s="24"/>
    </row>
    <row r="17" spans="1:14" ht="16.5" customHeight="1">
      <c r="A17" s="810"/>
      <c r="B17" s="810"/>
      <c r="C17" s="810"/>
      <c r="D17" s="810"/>
      <c r="E17" s="810"/>
      <c r="F17" s="810"/>
      <c r="G17" s="810"/>
      <c r="H17" s="24"/>
      <c r="I17" s="24"/>
      <c r="J17" s="24"/>
      <c r="K17" s="24"/>
      <c r="L17" s="24"/>
      <c r="M17" s="24"/>
      <c r="N17" s="24"/>
    </row>
    <row r="18" spans="1:7" ht="16.5" customHeight="1">
      <c r="A18" s="24"/>
      <c r="B18" s="24"/>
      <c r="C18" s="24"/>
      <c r="D18" s="24"/>
      <c r="E18" s="24"/>
      <c r="F18" s="24"/>
      <c r="G18" s="24"/>
    </row>
    <row r="19" spans="1:7" ht="16.5" customHeight="1">
      <c r="A19" s="812" t="s">
        <v>294</v>
      </c>
      <c r="B19" s="812"/>
      <c r="C19" s="812"/>
      <c r="D19" s="812"/>
      <c r="E19" s="812"/>
      <c r="F19" s="812"/>
      <c r="G19" s="812"/>
    </row>
    <row r="20" spans="1:7" ht="16.5" customHeight="1">
      <c r="A20" s="812" t="s">
        <v>295</v>
      </c>
      <c r="B20" s="812"/>
      <c r="C20" s="812"/>
      <c r="D20" s="812"/>
      <c r="E20" s="812"/>
      <c r="F20" s="812"/>
      <c r="G20" s="812"/>
    </row>
    <row r="21" spans="1:7" ht="16.5" customHeight="1">
      <c r="A21" s="812" t="str">
        <f>CONCATENATE("necessary to budget property tax revenues in an amount exceeding the levy in the ",inputPrYr!C5-1,"")</f>
        <v>necessary to budget property tax revenues in an amount exceeding the levy in the 2012</v>
      </c>
      <c r="B21" s="812"/>
      <c r="C21" s="812"/>
      <c r="D21" s="812"/>
      <c r="E21" s="812"/>
      <c r="F21" s="812"/>
      <c r="G21" s="812"/>
    </row>
    <row r="22" spans="1:7" ht="16.5" customHeight="1">
      <c r="A22" s="26" t="s">
        <v>296</v>
      </c>
      <c r="B22" s="26"/>
      <c r="C22" s="26"/>
      <c r="D22" s="26"/>
      <c r="E22" s="26"/>
      <c r="F22" s="26"/>
      <c r="G22" s="26"/>
    </row>
    <row r="23" spans="1:7" ht="16.5" customHeight="1">
      <c r="A23" s="24"/>
      <c r="B23" s="24"/>
      <c r="C23" s="24"/>
      <c r="D23" s="24"/>
      <c r="E23" s="24"/>
      <c r="F23" s="24"/>
      <c r="G23" s="24"/>
    </row>
    <row r="24" spans="1:7" ht="16.5" customHeight="1">
      <c r="A24" s="810" t="s">
        <v>239</v>
      </c>
      <c r="B24" s="810"/>
      <c r="C24" s="810"/>
      <c r="D24" s="810"/>
      <c r="E24" s="810"/>
      <c r="F24" s="810"/>
      <c r="G24" s="810"/>
    </row>
    <row r="25" spans="1:7" ht="16.5" customHeight="1">
      <c r="A25" s="810"/>
      <c r="B25" s="810"/>
      <c r="C25" s="810"/>
      <c r="D25" s="810"/>
      <c r="E25" s="810"/>
      <c r="F25" s="810"/>
      <c r="G25" s="810"/>
    </row>
    <row r="26" spans="1:7" ht="16.5" customHeight="1">
      <c r="A26" s="24"/>
      <c r="B26" s="24"/>
      <c r="C26" s="24"/>
      <c r="D26" s="24"/>
      <c r="E26" s="24"/>
      <c r="F26" s="24"/>
      <c r="G26" s="24"/>
    </row>
    <row r="27" spans="1:7" ht="16.5" customHeight="1">
      <c r="A27" s="810" t="str">
        <f>CONCATENATE("Passed and approved by the Governing Body on this ______ day of __________, ",inputPrYr!C5-1,".")</f>
        <v>Passed and approved by the Governing Body on this ______ day of __________, 2012.</v>
      </c>
      <c r="B27" s="810"/>
      <c r="C27" s="810"/>
      <c r="D27" s="810"/>
      <c r="E27" s="810"/>
      <c r="F27" s="810"/>
      <c r="G27" s="810"/>
    </row>
    <row r="28" spans="1:7" ht="16.5" customHeight="1">
      <c r="A28" s="810"/>
      <c r="B28" s="810"/>
      <c r="C28" s="810"/>
      <c r="D28" s="810"/>
      <c r="E28" s="810"/>
      <c r="F28" s="810"/>
      <c r="G28" s="810"/>
    </row>
    <row r="29" ht="16.5" customHeight="1"/>
    <row r="30" spans="1:7" ht="16.5" customHeight="1">
      <c r="A30" s="811" t="s">
        <v>240</v>
      </c>
      <c r="B30" s="811"/>
      <c r="C30" s="811"/>
      <c r="D30" s="811"/>
      <c r="E30" s="811"/>
      <c r="F30" s="811"/>
      <c r="G30" s="811"/>
    </row>
    <row r="31" spans="1:7" ht="16.5" customHeight="1">
      <c r="A31" s="811" t="s">
        <v>245</v>
      </c>
      <c r="B31" s="811"/>
      <c r="C31" s="811"/>
      <c r="D31" s="811"/>
      <c r="E31" s="811"/>
      <c r="F31" s="811"/>
      <c r="G31" s="811"/>
    </row>
    <row r="32" ht="16.5" customHeight="1">
      <c r="A32" s="1" t="s">
        <v>241</v>
      </c>
    </row>
    <row r="33" ht="16.5" customHeight="1">
      <c r="B33" s="1" t="s">
        <v>242</v>
      </c>
    </row>
    <row r="34" ht="16.5" customHeight="1"/>
    <row r="35" ht="16.5" customHeight="1"/>
    <row r="36" ht="16.5" customHeight="1">
      <c r="A36" s="1" t="s">
        <v>243</v>
      </c>
    </row>
    <row r="37" ht="16.5" customHeight="1"/>
    <row r="38" ht="16.5" customHeight="1"/>
    <row r="39" ht="16.5" customHeight="1"/>
    <row r="40" ht="16.5" customHeight="1">
      <c r="A40" s="1" t="s">
        <v>244</v>
      </c>
    </row>
  </sheetData>
  <sheetProtection sheet="1" objects="1" scenarios="1"/>
  <mergeCells count="16">
    <mergeCell ref="A30:G30"/>
    <mergeCell ref="A31:G31"/>
    <mergeCell ref="A27:G28"/>
    <mergeCell ref="A10:G11"/>
    <mergeCell ref="A13:G14"/>
    <mergeCell ref="A24:G25"/>
    <mergeCell ref="A15:G17"/>
    <mergeCell ref="A19:G19"/>
    <mergeCell ref="A20:G20"/>
    <mergeCell ref="A21:G21"/>
    <mergeCell ref="A1:G1"/>
    <mergeCell ref="A2:G2"/>
    <mergeCell ref="A3:G3"/>
    <mergeCell ref="A7:G8"/>
    <mergeCell ref="A4:G5"/>
    <mergeCell ref="A6:G6"/>
  </mergeCells>
  <printOptions/>
  <pageMargins left="1" right="1" top="1" bottom="1" header="0.5" footer="0.5"/>
  <pageSetup blackAndWhite="1" horizontalDpi="600" verticalDpi="600" orientation="portrait" r:id="rId1"/>
  <headerFooter alignWithMargins="0">
    <oddFooter>&amp;Lrevised 8/06/07</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3">
      <selection activeCell="C40" sqref="C40"/>
    </sheetView>
  </sheetViews>
  <sheetFormatPr defaultColWidth="8.796875" defaultRowHeight="15"/>
  <cols>
    <col min="1" max="1" width="10.09765625" style="106" customWidth="1"/>
    <col min="2" max="2" width="16.296875" style="106" customWidth="1"/>
    <col min="3" max="3" width="11.796875" style="106" customWidth="1"/>
    <col min="4" max="4" width="12.796875" style="106" customWidth="1"/>
    <col min="5" max="5" width="11.796875" style="106" customWidth="1"/>
    <col min="6" max="16384" width="8.8984375" style="106" customWidth="1"/>
  </cols>
  <sheetData>
    <row r="1" spans="1:6" ht="15.75">
      <c r="A1" s="197" t="str">
        <f>inputPrYr!D2</f>
        <v>City of Frankfort</v>
      </c>
      <c r="B1" s="47"/>
      <c r="C1" s="47"/>
      <c r="D1" s="47"/>
      <c r="E1" s="47"/>
      <c r="F1" s="47">
        <f>inputPrYr!C5</f>
        <v>2013</v>
      </c>
    </row>
    <row r="2" spans="1:6" ht="15.75">
      <c r="A2" s="47"/>
      <c r="B2" s="47"/>
      <c r="C2" s="47"/>
      <c r="D2" s="47"/>
      <c r="E2" s="47"/>
      <c r="F2" s="47"/>
    </row>
    <row r="3" spans="1:6" ht="15.75">
      <c r="A3" s="47"/>
      <c r="B3" s="766" t="str">
        <f>CONCATENATE("",F1," Neighborhood Revitalization Rebate")</f>
        <v>2013 Neighborhood Revitalization Rebate</v>
      </c>
      <c r="C3" s="814"/>
      <c r="D3" s="814"/>
      <c r="E3" s="814"/>
      <c r="F3" s="47"/>
    </row>
    <row r="4" spans="1:6" ht="15.75">
      <c r="A4" s="47"/>
      <c r="B4" s="47"/>
      <c r="C4" s="47"/>
      <c r="D4" s="47"/>
      <c r="E4" s="47"/>
      <c r="F4" s="47"/>
    </row>
    <row r="5" spans="1:6" ht="51.75" customHeight="1">
      <c r="A5" s="47"/>
      <c r="B5" s="323" t="str">
        <f>CONCATENATE("Budgeted Funds         for ",F1,"")</f>
        <v>Budgeted Funds         for 2013</v>
      </c>
      <c r="C5" s="323" t="str">
        <f>CONCATENATE("",F1-1," Ad Valorem before Rebate**")</f>
        <v>2012 Ad Valorem before Rebate**</v>
      </c>
      <c r="D5" s="324" t="str">
        <f>CONCATENATE("",F1-1," Mil Rate before Rebate")</f>
        <v>2012 Mil Rate before Rebate</v>
      </c>
      <c r="E5" s="325" t="str">
        <f>CONCATENATE("Estimate ",F1," NR Rebate")</f>
        <v>Estimate 2013 NR Rebate</v>
      </c>
      <c r="F5" s="98"/>
    </row>
    <row r="6" spans="1:6" ht="15.75">
      <c r="A6" s="47"/>
      <c r="B6" s="64" t="str">
        <f>inputPrYr!B17</f>
        <v>General</v>
      </c>
      <c r="C6" s="326">
        <v>187492</v>
      </c>
      <c r="D6" s="327">
        <f>IF(C6&gt;0,C6/$D$24,"")</f>
        <v>57.970064527299655</v>
      </c>
      <c r="E6" s="241">
        <f aca="true" t="shared" si="0" ref="E6:E17">IF(C6&gt;0,ROUND(D6*$D$28,0),"")</f>
        <v>5335</v>
      </c>
      <c r="F6" s="98"/>
    </row>
    <row r="7" spans="1:6" ht="15.75">
      <c r="A7" s="47"/>
      <c r="B7" s="64" t="str">
        <f>inputPrYr!B18</f>
        <v>Debt Service</v>
      </c>
      <c r="C7" s="326">
        <v>0</v>
      </c>
      <c r="D7" s="327">
        <f aca="true" t="shared" si="1" ref="D7:D17">IF(C7&gt;0,C7/$D$24,"")</f>
      </c>
      <c r="E7" s="241">
        <f t="shared" si="0"/>
      </c>
      <c r="F7" s="98"/>
    </row>
    <row r="8" spans="1:6" ht="15.75">
      <c r="A8" s="47"/>
      <c r="B8" s="87" t="str">
        <f>inputPrYr!B19</f>
        <v>Library</v>
      </c>
      <c r="C8" s="326">
        <v>37544</v>
      </c>
      <c r="D8" s="327">
        <f t="shared" si="1"/>
        <v>11.608111826706944</v>
      </c>
      <c r="E8" s="241">
        <f t="shared" si="0"/>
        <v>1068</v>
      </c>
      <c r="F8" s="98"/>
    </row>
    <row r="9" spans="1:6" ht="15.75">
      <c r="A9" s="47"/>
      <c r="B9" s="87">
        <f>inputPrYr!B21</f>
        <v>0</v>
      </c>
      <c r="C9" s="326"/>
      <c r="D9" s="327">
        <f t="shared" si="1"/>
      </c>
      <c r="E9" s="241">
        <f t="shared" si="0"/>
      </c>
      <c r="F9" s="98"/>
    </row>
    <row r="10" spans="1:6" ht="15.75">
      <c r="A10" s="47"/>
      <c r="B10" s="87">
        <f>inputPrYr!B22</f>
        <v>0</v>
      </c>
      <c r="C10" s="326"/>
      <c r="D10" s="327">
        <f t="shared" si="1"/>
      </c>
      <c r="E10" s="241">
        <f t="shared" si="0"/>
      </c>
      <c r="F10" s="98"/>
    </row>
    <row r="11" spans="1:6" ht="15.75">
      <c r="A11" s="47"/>
      <c r="B11" s="87">
        <f>inputPrYr!B23</f>
        <v>0</v>
      </c>
      <c r="C11" s="326"/>
      <c r="D11" s="327">
        <f t="shared" si="1"/>
      </c>
      <c r="E11" s="241">
        <f t="shared" si="0"/>
      </c>
      <c r="F11" s="98"/>
    </row>
    <row r="12" spans="1:6" ht="15.75">
      <c r="A12" s="47"/>
      <c r="B12" s="87">
        <f>inputPrYr!B24</f>
        <v>0</v>
      </c>
      <c r="C12" s="328"/>
      <c r="D12" s="327">
        <f t="shared" si="1"/>
      </c>
      <c r="E12" s="241">
        <f t="shared" si="0"/>
      </c>
      <c r="F12" s="98"/>
    </row>
    <row r="13" spans="1:6" ht="15.75">
      <c r="A13" s="47"/>
      <c r="B13" s="87">
        <f>inputPrYr!B25</f>
        <v>0</v>
      </c>
      <c r="C13" s="328"/>
      <c r="D13" s="327">
        <f t="shared" si="1"/>
      </c>
      <c r="E13" s="241">
        <f t="shared" si="0"/>
      </c>
      <c r="F13" s="98"/>
    </row>
    <row r="14" spans="1:6" ht="15.75">
      <c r="A14" s="47"/>
      <c r="B14" s="87">
        <f>inputPrYr!B26</f>
        <v>0</v>
      </c>
      <c r="C14" s="328"/>
      <c r="D14" s="327">
        <f t="shared" si="1"/>
      </c>
      <c r="E14" s="241">
        <f t="shared" si="0"/>
      </c>
      <c r="F14" s="98"/>
    </row>
    <row r="15" spans="1:6" ht="15.75">
      <c r="A15" s="47"/>
      <c r="B15" s="87">
        <f>inputPrYr!B27</f>
        <v>0</v>
      </c>
      <c r="C15" s="328"/>
      <c r="D15" s="327">
        <f t="shared" si="1"/>
      </c>
      <c r="E15" s="241">
        <f t="shared" si="0"/>
      </c>
      <c r="F15" s="98"/>
    </row>
    <row r="16" spans="1:6" ht="15.75">
      <c r="A16" s="47"/>
      <c r="B16" s="87">
        <f>inputPrYr!B28</f>
        <v>0</v>
      </c>
      <c r="C16" s="328"/>
      <c r="D16" s="327">
        <f t="shared" si="1"/>
      </c>
      <c r="E16" s="241">
        <f t="shared" si="0"/>
      </c>
      <c r="F16" s="98"/>
    </row>
    <row r="17" spans="1:6" ht="15.75">
      <c r="A17" s="47"/>
      <c r="B17" s="87">
        <f>inputPrYr!B29</f>
        <v>0</v>
      </c>
      <c r="C17" s="328"/>
      <c r="D17" s="327">
        <f t="shared" si="1"/>
      </c>
      <c r="E17" s="241">
        <f t="shared" si="0"/>
      </c>
      <c r="F17" s="98"/>
    </row>
    <row r="18" spans="1:6" ht="15.75">
      <c r="A18" s="47"/>
      <c r="B18" s="87">
        <f>inputPrYr!B30</f>
        <v>0</v>
      </c>
      <c r="C18" s="328"/>
      <c r="D18" s="327">
        <f>IF(C18&gt;0,C18/$D$24,"")</f>
      </c>
      <c r="E18" s="241">
        <f>IF(C18&gt;0,ROUND(D18*$D$28,0),"")</f>
      </c>
      <c r="F18" s="98"/>
    </row>
    <row r="19" spans="1:6" ht="16.5" thickBot="1">
      <c r="A19" s="47"/>
      <c r="B19" s="65" t="s">
        <v>100</v>
      </c>
      <c r="C19" s="329">
        <f>SUM(C6:C18)</f>
        <v>225036</v>
      </c>
      <c r="D19" s="330">
        <f>SUM(D6:D17)</f>
        <v>69.5781763540066</v>
      </c>
      <c r="E19" s="329">
        <f>SUM(E6:E17)</f>
        <v>6403</v>
      </c>
      <c r="F19" s="98"/>
    </row>
    <row r="20" spans="1:6" ht="16.5" thickTop="1">
      <c r="A20" s="47"/>
      <c r="B20" s="47"/>
      <c r="C20" s="47"/>
      <c r="D20" s="47"/>
      <c r="E20" s="47"/>
      <c r="F20" s="98"/>
    </row>
    <row r="21" spans="1:6" ht="15.75">
      <c r="A21" s="47"/>
      <c r="B21" s="47"/>
      <c r="C21" s="47"/>
      <c r="D21" s="47"/>
      <c r="E21" s="47"/>
      <c r="F21" s="98"/>
    </row>
    <row r="22" spans="1:6" ht="15.75">
      <c r="A22" s="815" t="str">
        <f>CONCATENATE("",F1-1," July 1 Valuation:")</f>
        <v>2012 July 1 Valuation:</v>
      </c>
      <c r="B22" s="787"/>
      <c r="C22" s="815"/>
      <c r="D22" s="322">
        <f>inputOth!E7</f>
        <v>3234290</v>
      </c>
      <c r="E22" s="47"/>
      <c r="F22" s="98"/>
    </row>
    <row r="23" spans="1:6" ht="15.75">
      <c r="A23" s="47"/>
      <c r="B23" s="47"/>
      <c r="C23" s="47"/>
      <c r="D23" s="47"/>
      <c r="E23" s="47"/>
      <c r="F23" s="98"/>
    </row>
    <row r="24" spans="1:6" ht="15.75">
      <c r="A24" s="47"/>
      <c r="B24" s="815" t="s">
        <v>348</v>
      </c>
      <c r="C24" s="815"/>
      <c r="D24" s="331">
        <f>IF(D22&gt;0,(D22*0.001),"")</f>
        <v>3234.29</v>
      </c>
      <c r="E24" s="47"/>
      <c r="F24" s="98"/>
    </row>
    <row r="25" spans="1:6" ht="15.75">
      <c r="A25" s="47"/>
      <c r="B25" s="136"/>
      <c r="C25" s="136"/>
      <c r="D25" s="332"/>
      <c r="E25" s="47"/>
      <c r="F25" s="98"/>
    </row>
    <row r="26" spans="1:6" ht="15.75">
      <c r="A26" s="813" t="s">
        <v>349</v>
      </c>
      <c r="B26" s="756"/>
      <c r="C26" s="756"/>
      <c r="D26" s="333">
        <f>inputOth!E17</f>
        <v>92022</v>
      </c>
      <c r="E26" s="68"/>
      <c r="F26" s="68"/>
    </row>
    <row r="27" spans="1:6" ht="15">
      <c r="A27" s="68"/>
      <c r="B27" s="68"/>
      <c r="C27" s="68"/>
      <c r="D27" s="334"/>
      <c r="E27" s="68"/>
      <c r="F27" s="68"/>
    </row>
    <row r="28" spans="1:6" ht="15.75">
      <c r="A28" s="68"/>
      <c r="B28" s="813" t="s">
        <v>350</v>
      </c>
      <c r="C28" s="787"/>
      <c r="D28" s="335">
        <f>IF(D26&gt;0,(D26*0.001),"")</f>
        <v>92.022</v>
      </c>
      <c r="E28" s="68"/>
      <c r="F28" s="68"/>
    </row>
    <row r="29" spans="1:6" ht="15">
      <c r="A29" s="68"/>
      <c r="B29" s="68"/>
      <c r="C29" s="68"/>
      <c r="D29" s="68"/>
      <c r="E29" s="68"/>
      <c r="F29" s="68"/>
    </row>
    <row r="30" spans="1:6" ht="15">
      <c r="A30" s="68"/>
      <c r="B30" s="68"/>
      <c r="C30" s="68"/>
      <c r="D30" s="68"/>
      <c r="E30" s="68"/>
      <c r="F30" s="68"/>
    </row>
    <row r="31" spans="1:6" ht="15">
      <c r="A31" s="68"/>
      <c r="B31" s="68"/>
      <c r="C31" s="68"/>
      <c r="D31" s="68"/>
      <c r="E31" s="68"/>
      <c r="F31" s="68"/>
    </row>
    <row r="32" spans="1:6" ht="15.75">
      <c r="A32" s="366" t="str">
        <f>CONCATENATE("**This information comes from the ",F1," Budget Summary page.  See instructions tab #13 for completing")</f>
        <v>**This information comes from the 2013 Budget Summary page.  See instructions tab #13 for completing</v>
      </c>
      <c r="B32" s="68"/>
      <c r="C32" s="68"/>
      <c r="D32" s="68"/>
      <c r="E32" s="68"/>
      <c r="F32" s="68"/>
    </row>
    <row r="33" spans="1:6" ht="15.75">
      <c r="A33" s="366" t="s">
        <v>645</v>
      </c>
      <c r="B33" s="68"/>
      <c r="C33" s="68"/>
      <c r="D33" s="68"/>
      <c r="E33" s="68"/>
      <c r="F33" s="68"/>
    </row>
    <row r="34" spans="1:6" ht="15.75">
      <c r="A34" s="366"/>
      <c r="B34" s="68"/>
      <c r="C34" s="68"/>
      <c r="D34" s="68"/>
      <c r="E34" s="68"/>
      <c r="F34" s="68"/>
    </row>
    <row r="35" spans="1:6" ht="15.75">
      <c r="A35" s="366"/>
      <c r="B35" s="68"/>
      <c r="C35" s="68"/>
      <c r="D35" s="68"/>
      <c r="E35" s="68"/>
      <c r="F35" s="68"/>
    </row>
    <row r="36" spans="1:6" ht="15.75">
      <c r="A36" s="366"/>
      <c r="B36" s="68"/>
      <c r="C36" s="68"/>
      <c r="D36" s="68"/>
      <c r="E36" s="68"/>
      <c r="F36" s="68"/>
    </row>
    <row r="37" spans="1:6" ht="15.75">
      <c r="A37" s="366"/>
      <c r="B37" s="68"/>
      <c r="C37" s="68"/>
      <c r="D37" s="68"/>
      <c r="E37" s="68"/>
      <c r="F37" s="68"/>
    </row>
    <row r="38" spans="1:6" ht="15">
      <c r="A38" s="68"/>
      <c r="B38" s="68"/>
      <c r="C38" s="68"/>
      <c r="D38" s="68"/>
      <c r="E38" s="68"/>
      <c r="F38" s="68"/>
    </row>
    <row r="39" spans="1:6" ht="15.75">
      <c r="A39" s="68"/>
      <c r="B39" s="187" t="s">
        <v>124</v>
      </c>
      <c r="C39" s="281">
        <v>15</v>
      </c>
      <c r="D39" s="68"/>
      <c r="E39" s="68"/>
      <c r="F39" s="68"/>
    </row>
    <row r="40" spans="1:6" ht="15.75">
      <c r="A40" s="98"/>
      <c r="B40" s="47"/>
      <c r="C40" s="47"/>
      <c r="D40" s="336"/>
      <c r="E40" s="98"/>
      <c r="F40" s="98"/>
    </row>
  </sheetData>
  <sheetProtection sheet="1"/>
  <mergeCells count="5">
    <mergeCell ref="B28:C28"/>
    <mergeCell ref="B3:E3"/>
    <mergeCell ref="A22:C22"/>
    <mergeCell ref="B24:C24"/>
    <mergeCell ref="A26:C26"/>
  </mergeCells>
  <printOptions/>
  <pageMargins left="0.75" right="0.75" top="1" bottom="1" header="0.5" footer="0.5"/>
  <pageSetup blackAndWhite="1" fitToHeight="1" fitToWidth="1" horizontalDpi="600" verticalDpi="600" orientation="portrait" scale="97"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53" t="s">
        <v>425</v>
      </c>
      <c r="B3" s="353"/>
      <c r="C3" s="353"/>
      <c r="D3" s="353"/>
      <c r="E3" s="353"/>
      <c r="F3" s="353"/>
      <c r="G3" s="353"/>
      <c r="H3" s="353"/>
      <c r="I3" s="353"/>
      <c r="J3" s="353"/>
      <c r="K3" s="353"/>
      <c r="L3" s="353"/>
    </row>
    <row r="5" ht="15">
      <c r="A5" s="354" t="s">
        <v>426</v>
      </c>
    </row>
    <row r="6" ht="15">
      <c r="A6" s="354" t="str">
        <f>CONCATENATE(inputPrYr!C5-2," 'total expenditures' exceed your ",inputPrYr!C5-2," 'budget authority.'")</f>
        <v>2011 'total expenditures' exceed your 2011 'budget authority.'</v>
      </c>
    </row>
    <row r="7" ht="15">
      <c r="A7" s="354"/>
    </row>
    <row r="8" ht="15">
      <c r="A8" s="354" t="s">
        <v>427</v>
      </c>
    </row>
    <row r="9" ht="15">
      <c r="A9" s="354" t="s">
        <v>428</v>
      </c>
    </row>
    <row r="10" ht="15">
      <c r="A10" s="354" t="s">
        <v>429</v>
      </c>
    </row>
    <row r="11" ht="15">
      <c r="A11" s="354"/>
    </row>
    <row r="12" ht="15">
      <c r="A12" s="354"/>
    </row>
    <row r="13" ht="15">
      <c r="A13" s="355" t="s">
        <v>430</v>
      </c>
    </row>
    <row r="15" ht="15">
      <c r="A15" s="354" t="s">
        <v>431</v>
      </c>
    </row>
    <row r="16" ht="15">
      <c r="A16" s="354" t="str">
        <f>CONCATENATE("(i.e. an audit has not been completed, or the ",inputPrYr!C5," adopted")</f>
        <v>(i.e. an audit has not been completed, or the 2013 adopted</v>
      </c>
    </row>
    <row r="17" ht="15">
      <c r="A17" s="354" t="s">
        <v>432</v>
      </c>
    </row>
    <row r="18" ht="15">
      <c r="A18" s="354" t="s">
        <v>433</v>
      </c>
    </row>
    <row r="19" ht="15">
      <c r="A19" s="354" t="s">
        <v>434</v>
      </c>
    </row>
    <row r="21" ht="15">
      <c r="A21" s="355" t="s">
        <v>435</v>
      </c>
    </row>
    <row r="22" ht="15">
      <c r="A22" s="355"/>
    </row>
    <row r="23" ht="15">
      <c r="A23" s="354" t="s">
        <v>436</v>
      </c>
    </row>
    <row r="24" ht="15">
      <c r="A24" s="354" t="s">
        <v>437</v>
      </c>
    </row>
    <row r="25" ht="15">
      <c r="A25" s="354" t="str">
        <f>CONCATENATE("particular fund.  If your ",inputPrYr!C5-2," budget was amended, did you")</f>
        <v>particular fund.  If your 2011 budget was amended, did you</v>
      </c>
    </row>
    <row r="26" ht="15">
      <c r="A26" s="354" t="s">
        <v>438</v>
      </c>
    </row>
    <row r="27" ht="15">
      <c r="A27" s="354"/>
    </row>
    <row r="28" ht="15">
      <c r="A28" s="354" t="str">
        <f>CONCATENATE("Next, look to see if any of your ",inputPrYr!C5-2," expenditures can be")</f>
        <v>Next, look to see if any of your 2011 expenditures can be</v>
      </c>
    </row>
    <row r="29" ht="15">
      <c r="A29" s="354" t="s">
        <v>439</v>
      </c>
    </row>
    <row r="30" ht="15">
      <c r="A30" s="354" t="s">
        <v>440</v>
      </c>
    </row>
    <row r="31" ht="15">
      <c r="A31" s="354" t="s">
        <v>441</v>
      </c>
    </row>
    <row r="32" ht="15">
      <c r="A32" s="354"/>
    </row>
    <row r="33" ht="15">
      <c r="A33" s="354" t="str">
        <f>CONCATENATE("Additionally, do your ",inputPrYr!C5-2," receipts contain a reimbursement")</f>
        <v>Additionally, do your 2011 receipts contain a reimbursement</v>
      </c>
    </row>
    <row r="34" ht="15">
      <c r="A34" s="354" t="s">
        <v>442</v>
      </c>
    </row>
    <row r="35" ht="15">
      <c r="A35" s="354" t="s">
        <v>443</v>
      </c>
    </row>
    <row r="36" ht="15">
      <c r="A36" s="354"/>
    </row>
    <row r="37" ht="15">
      <c r="A37" s="354" t="s">
        <v>444</v>
      </c>
    </row>
    <row r="38" ht="15">
      <c r="A38" s="354" t="s">
        <v>445</v>
      </c>
    </row>
    <row r="39" ht="15">
      <c r="A39" s="354" t="s">
        <v>446</v>
      </c>
    </row>
    <row r="40" ht="15">
      <c r="A40" s="354" t="s">
        <v>447</v>
      </c>
    </row>
    <row r="41" ht="15">
      <c r="A41" s="354" t="s">
        <v>448</v>
      </c>
    </row>
    <row r="42" ht="15">
      <c r="A42" s="354" t="s">
        <v>449</v>
      </c>
    </row>
    <row r="43" ht="15">
      <c r="A43" s="354" t="s">
        <v>450</v>
      </c>
    </row>
    <row r="44" ht="15">
      <c r="A44" s="354" t="s">
        <v>451</v>
      </c>
    </row>
    <row r="45" ht="15">
      <c r="A45" s="354"/>
    </row>
    <row r="46" ht="15">
      <c r="A46" s="354" t="s">
        <v>452</v>
      </c>
    </row>
    <row r="47" ht="15">
      <c r="A47" s="354" t="s">
        <v>453</v>
      </c>
    </row>
    <row r="48" ht="15">
      <c r="A48" s="354" t="s">
        <v>454</v>
      </c>
    </row>
    <row r="49" ht="15">
      <c r="A49" s="354"/>
    </row>
    <row r="50" ht="15">
      <c r="A50" s="354" t="s">
        <v>455</v>
      </c>
    </row>
    <row r="51" ht="15">
      <c r="A51" s="354" t="s">
        <v>456</v>
      </c>
    </row>
    <row r="52" ht="15">
      <c r="A52" s="354" t="s">
        <v>457</v>
      </c>
    </row>
    <row r="53" ht="15">
      <c r="A53" s="354"/>
    </row>
    <row r="54" ht="15">
      <c r="A54" s="355" t="s">
        <v>458</v>
      </c>
    </row>
    <row r="55" ht="15">
      <c r="A55" s="354"/>
    </row>
    <row r="56" ht="15">
      <c r="A56" s="354" t="s">
        <v>459</v>
      </c>
    </row>
    <row r="57" ht="15">
      <c r="A57" s="354" t="s">
        <v>460</v>
      </c>
    </row>
    <row r="58" ht="15">
      <c r="A58" s="354" t="s">
        <v>461</v>
      </c>
    </row>
    <row r="59" ht="15">
      <c r="A59" s="354" t="s">
        <v>462</v>
      </c>
    </row>
    <row r="60" ht="15">
      <c r="A60" s="354" t="s">
        <v>463</v>
      </c>
    </row>
    <row r="61" ht="15">
      <c r="A61" s="354" t="s">
        <v>464</v>
      </c>
    </row>
    <row r="62" ht="15">
      <c r="A62" s="354" t="s">
        <v>465</v>
      </c>
    </row>
    <row r="63" ht="15">
      <c r="A63" s="354" t="s">
        <v>466</v>
      </c>
    </row>
    <row r="64" ht="15">
      <c r="A64" s="354" t="s">
        <v>467</v>
      </c>
    </row>
    <row r="65" ht="15">
      <c r="A65" s="354" t="s">
        <v>468</v>
      </c>
    </row>
    <row r="66" ht="15">
      <c r="A66" s="354" t="s">
        <v>469</v>
      </c>
    </row>
    <row r="67" ht="15">
      <c r="A67" s="354" t="s">
        <v>470</v>
      </c>
    </row>
    <row r="68" ht="15">
      <c r="A68" s="354" t="s">
        <v>471</v>
      </c>
    </row>
    <row r="69" ht="15">
      <c r="A69" s="354"/>
    </row>
    <row r="70" ht="15">
      <c r="A70" s="354" t="s">
        <v>472</v>
      </c>
    </row>
    <row r="71" ht="15">
      <c r="A71" s="354" t="s">
        <v>473</v>
      </c>
    </row>
    <row r="72" ht="15">
      <c r="A72" s="354" t="s">
        <v>474</v>
      </c>
    </row>
    <row r="73" ht="15">
      <c r="A73" s="354"/>
    </row>
    <row r="74" ht="15">
      <c r="A74" s="355" t="str">
        <f>CONCATENATE("What if the ",inputPrYr!C5-2," financial records have been closed?")</f>
        <v>What if the 2011 financial records have been closed?</v>
      </c>
    </row>
    <row r="76" ht="15">
      <c r="A76" s="354" t="s">
        <v>475</v>
      </c>
    </row>
    <row r="77" ht="15">
      <c r="A77" s="354" t="str">
        <f>CONCATENATE("(i.e. an audit for ",inputPrYr!C5-2," has been completed, or the ",inputPrYr!C5)</f>
        <v>(i.e. an audit for 2011 has been completed, or the 2013</v>
      </c>
    </row>
    <row r="78" ht="15">
      <c r="A78" s="354" t="s">
        <v>476</v>
      </c>
    </row>
    <row r="79" ht="15">
      <c r="A79" s="354" t="s">
        <v>477</v>
      </c>
    </row>
    <row r="80" ht="15">
      <c r="A80" s="354"/>
    </row>
    <row r="81" ht="15">
      <c r="A81" s="354" t="s">
        <v>478</v>
      </c>
    </row>
    <row r="82" ht="15">
      <c r="A82" s="354" t="s">
        <v>479</v>
      </c>
    </row>
    <row r="83" ht="15">
      <c r="A83" s="354" t="s">
        <v>480</v>
      </c>
    </row>
    <row r="84" ht="15">
      <c r="A84" s="354"/>
    </row>
    <row r="85" ht="15">
      <c r="A85" s="354" t="s">
        <v>481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22">
      <selection activeCell="A34" sqref="A34"/>
    </sheetView>
  </sheetViews>
  <sheetFormatPr defaultColWidth="8.796875" defaultRowHeight="15"/>
  <cols>
    <col min="1" max="1" width="71.296875" style="0" customWidth="1"/>
  </cols>
  <sheetData>
    <row r="3" spans="1:10" ht="15">
      <c r="A3" s="353" t="s">
        <v>482</v>
      </c>
      <c r="B3" s="353"/>
      <c r="C3" s="353"/>
      <c r="D3" s="353"/>
      <c r="E3" s="353"/>
      <c r="F3" s="353"/>
      <c r="G3" s="353"/>
      <c r="H3" s="356"/>
      <c r="I3" s="356"/>
      <c r="J3" s="356"/>
    </row>
    <row r="5" ht="15">
      <c r="A5" s="354" t="s">
        <v>483</v>
      </c>
    </row>
    <row r="6" ht="15">
      <c r="A6" t="str">
        <f>CONCATENATE(inputPrYr!C5-2," expenditures show that you finished the year with a ")</f>
        <v>2011 expenditures show that you finished the year with a </v>
      </c>
    </row>
    <row r="7" ht="15">
      <c r="A7" t="s">
        <v>484</v>
      </c>
    </row>
    <row r="9" ht="15">
      <c r="A9" t="s">
        <v>485</v>
      </c>
    </row>
    <row r="10" ht="15">
      <c r="A10" t="s">
        <v>486</v>
      </c>
    </row>
    <row r="11" ht="15">
      <c r="A11" t="s">
        <v>487</v>
      </c>
    </row>
    <row r="13" ht="15">
      <c r="A13" s="355" t="s">
        <v>488</v>
      </c>
    </row>
    <row r="14" ht="15">
      <c r="A14" s="355"/>
    </row>
    <row r="15" ht="15">
      <c r="A15" s="354" t="s">
        <v>489</v>
      </c>
    </row>
    <row r="16" ht="15">
      <c r="A16" s="354" t="s">
        <v>490</v>
      </c>
    </row>
    <row r="17" ht="15">
      <c r="A17" s="354" t="s">
        <v>491</v>
      </c>
    </row>
    <row r="18" ht="15">
      <c r="A18" s="354"/>
    </row>
    <row r="19" ht="15">
      <c r="A19" s="355" t="s">
        <v>492</v>
      </c>
    </row>
    <row r="20" ht="15">
      <c r="A20" s="355"/>
    </row>
    <row r="21" ht="15">
      <c r="A21" s="354" t="s">
        <v>493</v>
      </c>
    </row>
    <row r="22" ht="15">
      <c r="A22" s="354" t="s">
        <v>494</v>
      </c>
    </row>
    <row r="23" ht="15">
      <c r="A23" s="354" t="s">
        <v>495</v>
      </c>
    </row>
    <row r="24" ht="15">
      <c r="A24" s="354"/>
    </row>
    <row r="25" ht="15">
      <c r="A25" s="355" t="s">
        <v>496</v>
      </c>
    </row>
    <row r="26" ht="15">
      <c r="A26" s="355"/>
    </row>
    <row r="27" ht="15">
      <c r="A27" s="354" t="s">
        <v>497</v>
      </c>
    </row>
    <row r="28" ht="15">
      <c r="A28" s="354" t="s">
        <v>498</v>
      </c>
    </row>
    <row r="29" ht="15">
      <c r="A29" s="354" t="s">
        <v>499</v>
      </c>
    </row>
    <row r="30" ht="15">
      <c r="A30" s="354"/>
    </row>
    <row r="31" ht="15">
      <c r="A31" s="355" t="s">
        <v>500</v>
      </c>
    </row>
    <row r="32" ht="15">
      <c r="A32" s="355"/>
    </row>
    <row r="33" spans="1:8" ht="15">
      <c r="A33" s="354" t="str">
        <f>CONCATENATE("If your financial records for ",inputPrYr!C5-2," are not closed")</f>
        <v>If your financial records for 2011 are not closed</v>
      </c>
      <c r="B33" s="354"/>
      <c r="C33" s="354"/>
      <c r="D33" s="354"/>
      <c r="E33" s="354"/>
      <c r="F33" s="354"/>
      <c r="G33" s="354"/>
      <c r="H33" s="354"/>
    </row>
    <row r="34" spans="1:8" ht="15">
      <c r="A34" s="354" t="str">
        <f>CONCATENATE("(i.e. an audit has not been completed, or the ",inputPrYr!C5," adopted ")</f>
        <v>(i.e. an audit has not been completed, or the 2013 adopted </v>
      </c>
      <c r="B34" s="354"/>
      <c r="C34" s="354"/>
      <c r="D34" s="354"/>
      <c r="E34" s="354"/>
      <c r="F34" s="354"/>
      <c r="G34" s="354"/>
      <c r="H34" s="354"/>
    </row>
    <row r="35" spans="1:8" ht="15">
      <c r="A35" s="354" t="s">
        <v>501</v>
      </c>
      <c r="B35" s="354"/>
      <c r="C35" s="354"/>
      <c r="D35" s="354"/>
      <c r="E35" s="354"/>
      <c r="F35" s="354"/>
      <c r="G35" s="354"/>
      <c r="H35" s="354"/>
    </row>
    <row r="36" spans="1:8" ht="15">
      <c r="A36" s="354" t="s">
        <v>502</v>
      </c>
      <c r="B36" s="354"/>
      <c r="C36" s="354"/>
      <c r="D36" s="354"/>
      <c r="E36" s="354"/>
      <c r="F36" s="354"/>
      <c r="G36" s="354"/>
      <c r="H36" s="354"/>
    </row>
    <row r="37" spans="1:8" ht="15">
      <c r="A37" s="354" t="s">
        <v>503</v>
      </c>
      <c r="B37" s="354"/>
      <c r="C37" s="354"/>
      <c r="D37" s="354"/>
      <c r="E37" s="354"/>
      <c r="F37" s="354"/>
      <c r="G37" s="354"/>
      <c r="H37" s="354"/>
    </row>
    <row r="38" spans="1:8" ht="15">
      <c r="A38" s="354" t="s">
        <v>504</v>
      </c>
      <c r="B38" s="354"/>
      <c r="C38" s="354"/>
      <c r="D38" s="354"/>
      <c r="E38" s="354"/>
      <c r="F38" s="354"/>
      <c r="G38" s="354"/>
      <c r="H38" s="354"/>
    </row>
    <row r="39" spans="1:8" ht="15">
      <c r="A39" s="354" t="s">
        <v>505</v>
      </c>
      <c r="B39" s="354"/>
      <c r="C39" s="354"/>
      <c r="D39" s="354"/>
      <c r="E39" s="354"/>
      <c r="F39" s="354"/>
      <c r="G39" s="354"/>
      <c r="H39" s="354"/>
    </row>
    <row r="40" spans="1:8" ht="15">
      <c r="A40" s="354"/>
      <c r="B40" s="354"/>
      <c r="C40" s="354"/>
      <c r="D40" s="354"/>
      <c r="E40" s="354"/>
      <c r="F40" s="354"/>
      <c r="G40" s="354"/>
      <c r="H40" s="354"/>
    </row>
    <row r="41" spans="1:8" ht="15">
      <c r="A41" s="354" t="s">
        <v>506</v>
      </c>
      <c r="B41" s="354"/>
      <c r="C41" s="354"/>
      <c r="D41" s="354"/>
      <c r="E41" s="354"/>
      <c r="F41" s="354"/>
      <c r="G41" s="354"/>
      <c r="H41" s="354"/>
    </row>
    <row r="42" spans="1:8" ht="15">
      <c r="A42" s="354" t="s">
        <v>507</v>
      </c>
      <c r="B42" s="354"/>
      <c r="C42" s="354"/>
      <c r="D42" s="354"/>
      <c r="E42" s="354"/>
      <c r="F42" s="354"/>
      <c r="G42" s="354"/>
      <c r="H42" s="354"/>
    </row>
    <row r="43" spans="1:8" ht="15">
      <c r="A43" s="354" t="s">
        <v>508</v>
      </c>
      <c r="B43" s="354"/>
      <c r="C43" s="354"/>
      <c r="D43" s="354"/>
      <c r="E43" s="354"/>
      <c r="F43" s="354"/>
      <c r="G43" s="354"/>
      <c r="H43" s="354"/>
    </row>
    <row r="44" spans="1:8" ht="15">
      <c r="A44" s="354" t="s">
        <v>509</v>
      </c>
      <c r="B44" s="354"/>
      <c r="C44" s="354"/>
      <c r="D44" s="354"/>
      <c r="E44" s="354"/>
      <c r="F44" s="354"/>
      <c r="G44" s="354"/>
      <c r="H44" s="354"/>
    </row>
    <row r="45" spans="1:8" ht="15">
      <c r="A45" s="354"/>
      <c r="B45" s="354"/>
      <c r="C45" s="354"/>
      <c r="D45" s="354"/>
      <c r="E45" s="354"/>
      <c r="F45" s="354"/>
      <c r="G45" s="354"/>
      <c r="H45" s="354"/>
    </row>
    <row r="46" spans="1:8" ht="15">
      <c r="A46" s="354" t="s">
        <v>510</v>
      </c>
      <c r="B46" s="354"/>
      <c r="C46" s="354"/>
      <c r="D46" s="354"/>
      <c r="E46" s="354"/>
      <c r="F46" s="354"/>
      <c r="G46" s="354"/>
      <c r="H46" s="354"/>
    </row>
    <row r="47" spans="1:8" ht="15">
      <c r="A47" s="354" t="s">
        <v>511</v>
      </c>
      <c r="B47" s="354"/>
      <c r="C47" s="354"/>
      <c r="D47" s="354"/>
      <c r="E47" s="354"/>
      <c r="F47" s="354"/>
      <c r="G47" s="354"/>
      <c r="H47" s="354"/>
    </row>
    <row r="48" spans="1:8" ht="15">
      <c r="A48" s="354" t="s">
        <v>512</v>
      </c>
      <c r="B48" s="354"/>
      <c r="C48" s="354"/>
      <c r="D48" s="354"/>
      <c r="E48" s="354"/>
      <c r="F48" s="354"/>
      <c r="G48" s="354"/>
      <c r="H48" s="354"/>
    </row>
    <row r="49" spans="1:8" ht="15">
      <c r="A49" s="354" t="s">
        <v>513</v>
      </c>
      <c r="B49" s="354"/>
      <c r="C49" s="354"/>
      <c r="D49" s="354"/>
      <c r="E49" s="354"/>
      <c r="F49" s="354"/>
      <c r="G49" s="354"/>
      <c r="H49" s="354"/>
    </row>
    <row r="50" spans="1:8" ht="15">
      <c r="A50" s="354" t="s">
        <v>514</v>
      </c>
      <c r="B50" s="354"/>
      <c r="C50" s="354"/>
      <c r="D50" s="354"/>
      <c r="E50" s="354"/>
      <c r="F50" s="354"/>
      <c r="G50" s="354"/>
      <c r="H50" s="354"/>
    </row>
    <row r="51" spans="1:8" ht="15">
      <c r="A51" s="354"/>
      <c r="B51" s="354"/>
      <c r="C51" s="354"/>
      <c r="D51" s="354"/>
      <c r="E51" s="354"/>
      <c r="F51" s="354"/>
      <c r="G51" s="354"/>
      <c r="H51" s="354"/>
    </row>
    <row r="52" spans="1:8" ht="15">
      <c r="A52" s="355" t="s">
        <v>515</v>
      </c>
      <c r="B52" s="355"/>
      <c r="C52" s="355"/>
      <c r="D52" s="355"/>
      <c r="E52" s="355"/>
      <c r="F52" s="355"/>
      <c r="G52" s="355"/>
      <c r="H52" s="354"/>
    </row>
    <row r="53" spans="1:8" ht="15">
      <c r="A53" s="355" t="s">
        <v>516</v>
      </c>
      <c r="B53" s="355"/>
      <c r="C53" s="355"/>
      <c r="D53" s="355"/>
      <c r="E53" s="355"/>
      <c r="F53" s="355"/>
      <c r="G53" s="355"/>
      <c r="H53" s="354"/>
    </row>
    <row r="54" spans="1:8" ht="15">
      <c r="A54" s="354"/>
      <c r="B54" s="354"/>
      <c r="C54" s="354"/>
      <c r="D54" s="354"/>
      <c r="E54" s="354"/>
      <c r="F54" s="354"/>
      <c r="G54" s="354"/>
      <c r="H54" s="354"/>
    </row>
    <row r="55" spans="1:8" ht="15">
      <c r="A55" s="354" t="s">
        <v>517</v>
      </c>
      <c r="B55" s="354"/>
      <c r="C55" s="354"/>
      <c r="D55" s="354"/>
      <c r="E55" s="354"/>
      <c r="F55" s="354"/>
      <c r="G55" s="354"/>
      <c r="H55" s="354"/>
    </row>
    <row r="56" spans="1:8" ht="15">
      <c r="A56" s="354" t="s">
        <v>518</v>
      </c>
      <c r="B56" s="354"/>
      <c r="C56" s="354"/>
      <c r="D56" s="354"/>
      <c r="E56" s="354"/>
      <c r="F56" s="354"/>
      <c r="G56" s="354"/>
      <c r="H56" s="354"/>
    </row>
    <row r="57" spans="1:8" ht="15">
      <c r="A57" s="354" t="s">
        <v>519</v>
      </c>
      <c r="B57" s="354"/>
      <c r="C57" s="354"/>
      <c r="D57" s="354"/>
      <c r="E57" s="354"/>
      <c r="F57" s="354"/>
      <c r="G57" s="354"/>
      <c r="H57" s="354"/>
    </row>
    <row r="58" spans="1:8" ht="15">
      <c r="A58" s="354" t="s">
        <v>520</v>
      </c>
      <c r="B58" s="354"/>
      <c r="C58" s="354"/>
      <c r="D58" s="354"/>
      <c r="E58" s="354"/>
      <c r="F58" s="354"/>
      <c r="G58" s="354"/>
      <c r="H58" s="354"/>
    </row>
    <row r="59" spans="1:8" ht="15">
      <c r="A59" s="354"/>
      <c r="B59" s="354"/>
      <c r="C59" s="354"/>
      <c r="D59" s="354"/>
      <c r="E59" s="354"/>
      <c r="F59" s="354"/>
      <c r="G59" s="354"/>
      <c r="H59" s="354"/>
    </row>
    <row r="60" spans="1:8" ht="15">
      <c r="A60" s="354" t="s">
        <v>521</v>
      </c>
      <c r="B60" s="354"/>
      <c r="C60" s="354"/>
      <c r="D60" s="354"/>
      <c r="E60" s="354"/>
      <c r="F60" s="354"/>
      <c r="G60" s="354"/>
      <c r="H60" s="354"/>
    </row>
    <row r="61" spans="1:8" ht="15">
      <c r="A61" s="354" t="s">
        <v>522</v>
      </c>
      <c r="B61" s="354"/>
      <c r="C61" s="354"/>
      <c r="D61" s="354"/>
      <c r="E61" s="354"/>
      <c r="F61" s="354"/>
      <c r="G61" s="354"/>
      <c r="H61" s="354"/>
    </row>
    <row r="62" spans="1:8" ht="15">
      <c r="A62" s="354" t="s">
        <v>523</v>
      </c>
      <c r="B62" s="354"/>
      <c r="C62" s="354"/>
      <c r="D62" s="354"/>
      <c r="E62" s="354"/>
      <c r="F62" s="354"/>
      <c r="G62" s="354"/>
      <c r="H62" s="354"/>
    </row>
    <row r="63" spans="1:8" ht="15">
      <c r="A63" s="354" t="s">
        <v>524</v>
      </c>
      <c r="B63" s="354"/>
      <c r="C63" s="354"/>
      <c r="D63" s="354"/>
      <c r="E63" s="354"/>
      <c r="F63" s="354"/>
      <c r="G63" s="354"/>
      <c r="H63" s="354"/>
    </row>
    <row r="64" spans="1:8" ht="15">
      <c r="A64" s="354" t="s">
        <v>525</v>
      </c>
      <c r="B64" s="354"/>
      <c r="C64" s="354"/>
      <c r="D64" s="354"/>
      <c r="E64" s="354"/>
      <c r="F64" s="354"/>
      <c r="G64" s="354"/>
      <c r="H64" s="354"/>
    </row>
    <row r="65" spans="1:8" ht="15">
      <c r="A65" s="354" t="s">
        <v>526</v>
      </c>
      <c r="B65" s="354"/>
      <c r="C65" s="354"/>
      <c r="D65" s="354"/>
      <c r="E65" s="354"/>
      <c r="F65" s="354"/>
      <c r="G65" s="354"/>
      <c r="H65" s="354"/>
    </row>
    <row r="66" spans="1:8" ht="15">
      <c r="A66" s="354"/>
      <c r="B66" s="354"/>
      <c r="C66" s="354"/>
      <c r="D66" s="354"/>
      <c r="E66" s="354"/>
      <c r="F66" s="354"/>
      <c r="G66" s="354"/>
      <c r="H66" s="354"/>
    </row>
    <row r="67" spans="1:8" ht="15">
      <c r="A67" s="354" t="s">
        <v>527</v>
      </c>
      <c r="B67" s="354"/>
      <c r="C67" s="354"/>
      <c r="D67" s="354"/>
      <c r="E67" s="354"/>
      <c r="F67" s="354"/>
      <c r="G67" s="354"/>
      <c r="H67" s="354"/>
    </row>
    <row r="68" spans="1:8" ht="15">
      <c r="A68" s="354" t="s">
        <v>528</v>
      </c>
      <c r="B68" s="354"/>
      <c r="C68" s="354"/>
      <c r="D68" s="354"/>
      <c r="E68" s="354"/>
      <c r="F68" s="354"/>
      <c r="G68" s="354"/>
      <c r="H68" s="354"/>
    </row>
    <row r="69" spans="1:8" ht="15">
      <c r="A69" s="354" t="s">
        <v>529</v>
      </c>
      <c r="B69" s="354"/>
      <c r="C69" s="354"/>
      <c r="D69" s="354"/>
      <c r="E69" s="354"/>
      <c r="F69" s="354"/>
      <c r="G69" s="354"/>
      <c r="H69" s="354"/>
    </row>
    <row r="70" spans="1:8" ht="15">
      <c r="A70" s="354" t="s">
        <v>530</v>
      </c>
      <c r="B70" s="354"/>
      <c r="C70" s="354"/>
      <c r="D70" s="354"/>
      <c r="E70" s="354"/>
      <c r="F70" s="354"/>
      <c r="G70" s="354"/>
      <c r="H70" s="354"/>
    </row>
    <row r="71" spans="1:8" ht="15">
      <c r="A71" s="354" t="s">
        <v>531</v>
      </c>
      <c r="B71" s="354"/>
      <c r="C71" s="354"/>
      <c r="D71" s="354"/>
      <c r="E71" s="354"/>
      <c r="F71" s="354"/>
      <c r="G71" s="354"/>
      <c r="H71" s="354"/>
    </row>
    <row r="72" spans="1:8" ht="15">
      <c r="A72" s="354" t="s">
        <v>532</v>
      </c>
      <c r="B72" s="354"/>
      <c r="C72" s="354"/>
      <c r="D72" s="354"/>
      <c r="E72" s="354"/>
      <c r="F72" s="354"/>
      <c r="G72" s="354"/>
      <c r="H72" s="354"/>
    </row>
    <row r="73" spans="1:8" ht="15">
      <c r="A73" s="354" t="s">
        <v>533</v>
      </c>
      <c r="B73" s="354"/>
      <c r="C73" s="354"/>
      <c r="D73" s="354"/>
      <c r="E73" s="354"/>
      <c r="F73" s="354"/>
      <c r="G73" s="354"/>
      <c r="H73" s="354"/>
    </row>
    <row r="74" spans="1:8" ht="15">
      <c r="A74" s="354"/>
      <c r="B74" s="354"/>
      <c r="C74" s="354"/>
      <c r="D74" s="354"/>
      <c r="E74" s="354"/>
      <c r="F74" s="354"/>
      <c r="G74" s="354"/>
      <c r="H74" s="354"/>
    </row>
    <row r="75" spans="1:8" ht="15">
      <c r="A75" s="354" t="s">
        <v>534</v>
      </c>
      <c r="B75" s="354"/>
      <c r="C75" s="354"/>
      <c r="D75" s="354"/>
      <c r="E75" s="354"/>
      <c r="F75" s="354"/>
      <c r="G75" s="354"/>
      <c r="H75" s="354"/>
    </row>
    <row r="76" spans="1:8" ht="15">
      <c r="A76" s="354" t="s">
        <v>535</v>
      </c>
      <c r="B76" s="354"/>
      <c r="C76" s="354"/>
      <c r="D76" s="354"/>
      <c r="E76" s="354"/>
      <c r="F76" s="354"/>
      <c r="G76" s="354"/>
      <c r="H76" s="354"/>
    </row>
    <row r="77" spans="1:8" ht="15">
      <c r="A77" s="354" t="s">
        <v>536</v>
      </c>
      <c r="B77" s="354"/>
      <c r="C77" s="354"/>
      <c r="D77" s="354"/>
      <c r="E77" s="354"/>
      <c r="F77" s="354"/>
      <c r="G77" s="354"/>
      <c r="H77" s="354"/>
    </row>
    <row r="78" spans="1:8" ht="15">
      <c r="A78" s="354"/>
      <c r="B78" s="354"/>
      <c r="C78" s="354"/>
      <c r="D78" s="354"/>
      <c r="E78" s="354"/>
      <c r="F78" s="354"/>
      <c r="G78" s="354"/>
      <c r="H78" s="354"/>
    </row>
    <row r="79" ht="15">
      <c r="A79" s="354" t="s">
        <v>481</v>
      </c>
    </row>
    <row r="80" ht="15">
      <c r="A80" s="355"/>
    </row>
    <row r="81" ht="15">
      <c r="A81" s="354"/>
    </row>
    <row r="82" ht="15">
      <c r="A82" s="354"/>
    </row>
    <row r="83" ht="15">
      <c r="A83" s="354"/>
    </row>
    <row r="84" ht="15">
      <c r="A84" s="354"/>
    </row>
    <row r="85" ht="15">
      <c r="A85" s="354"/>
    </row>
    <row r="86" ht="15">
      <c r="A86" s="354"/>
    </row>
    <row r="87" ht="15">
      <c r="A87" s="354"/>
    </row>
    <row r="88" ht="15">
      <c r="A88" s="354"/>
    </row>
    <row r="89" ht="15">
      <c r="A89" s="354"/>
    </row>
    <row r="90" ht="15">
      <c r="A90" s="354"/>
    </row>
    <row r="91" ht="15">
      <c r="A91" s="354"/>
    </row>
    <row r="92" ht="15">
      <c r="A92" s="354"/>
    </row>
    <row r="93" ht="15">
      <c r="A93" s="354"/>
    </row>
    <row r="94" ht="15">
      <c r="A94" s="354"/>
    </row>
    <row r="95" ht="15">
      <c r="A95" s="354"/>
    </row>
    <row r="96" ht="15">
      <c r="A96" s="354"/>
    </row>
    <row r="97" ht="15">
      <c r="A97" s="354"/>
    </row>
    <row r="98" ht="15">
      <c r="A98" s="354"/>
    </row>
    <row r="99" ht="15">
      <c r="A99" s="354"/>
    </row>
    <row r="100" ht="15">
      <c r="A100" s="354"/>
    </row>
    <row r="101" ht="15">
      <c r="A101" s="354"/>
    </row>
    <row r="103" ht="15">
      <c r="A103" s="354"/>
    </row>
    <row r="104" ht="15">
      <c r="A104" s="354"/>
    </row>
    <row r="105" ht="15">
      <c r="A105" s="354"/>
    </row>
    <row r="107" ht="15">
      <c r="A107" s="355"/>
    </row>
    <row r="108" ht="15">
      <c r="A108" s="355"/>
    </row>
    <row r="109" ht="15">
      <c r="A109" s="355"/>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53" t="s">
        <v>537</v>
      </c>
      <c r="B3" s="353"/>
      <c r="C3" s="353"/>
      <c r="D3" s="353"/>
      <c r="E3" s="353"/>
      <c r="F3" s="353"/>
      <c r="G3" s="353"/>
      <c r="H3" s="353"/>
      <c r="I3" s="353"/>
      <c r="J3" s="353"/>
      <c r="K3" s="353"/>
      <c r="L3" s="353"/>
    </row>
    <row r="4" spans="1:12" ht="15">
      <c r="A4" s="353"/>
      <c r="B4" s="353"/>
      <c r="C4" s="353"/>
      <c r="D4" s="353"/>
      <c r="E4" s="353"/>
      <c r="F4" s="353"/>
      <c r="G4" s="353"/>
      <c r="H4" s="353"/>
      <c r="I4" s="353"/>
      <c r="J4" s="353"/>
      <c r="K4" s="353"/>
      <c r="L4" s="353"/>
    </row>
    <row r="5" spans="1:12" ht="15">
      <c r="A5" s="354" t="s">
        <v>426</v>
      </c>
      <c r="I5" s="353"/>
      <c r="J5" s="353"/>
      <c r="K5" s="353"/>
      <c r="L5" s="353"/>
    </row>
    <row r="6" spans="1:12" ht="15">
      <c r="A6" s="354" t="str">
        <f>CONCATENATE("estimated ",inputPrYr!C5-1," 'total expenditures' exceed your ",inputPrYr!C5-1,"")</f>
        <v>estimated 2012 'total expenditures' exceed your 2012</v>
      </c>
      <c r="I6" s="353"/>
      <c r="J6" s="353"/>
      <c r="K6" s="353"/>
      <c r="L6" s="353"/>
    </row>
    <row r="7" spans="1:12" ht="15">
      <c r="A7" s="357" t="s">
        <v>538</v>
      </c>
      <c r="I7" s="353"/>
      <c r="J7" s="353"/>
      <c r="K7" s="353"/>
      <c r="L7" s="353"/>
    </row>
    <row r="8" spans="1:12" ht="15">
      <c r="A8" s="354"/>
      <c r="I8" s="353"/>
      <c r="J8" s="353"/>
      <c r="K8" s="353"/>
      <c r="L8" s="353"/>
    </row>
    <row r="9" spans="1:12" ht="15">
      <c r="A9" s="354" t="s">
        <v>539</v>
      </c>
      <c r="I9" s="353"/>
      <c r="J9" s="353"/>
      <c r="K9" s="353"/>
      <c r="L9" s="353"/>
    </row>
    <row r="10" spans="1:12" ht="15">
      <c r="A10" s="354" t="s">
        <v>540</v>
      </c>
      <c r="I10" s="353"/>
      <c r="J10" s="353"/>
      <c r="K10" s="353"/>
      <c r="L10" s="353"/>
    </row>
    <row r="11" spans="1:12" ht="15">
      <c r="A11" s="354" t="s">
        <v>541</v>
      </c>
      <c r="I11" s="353"/>
      <c r="J11" s="353"/>
      <c r="K11" s="353"/>
      <c r="L11" s="353"/>
    </row>
    <row r="12" spans="1:12" ht="15">
      <c r="A12" s="354" t="s">
        <v>542</v>
      </c>
      <c r="I12" s="353"/>
      <c r="J12" s="353"/>
      <c r="K12" s="353"/>
      <c r="L12" s="353"/>
    </row>
    <row r="13" spans="1:12" ht="15">
      <c r="A13" s="354" t="s">
        <v>543</v>
      </c>
      <c r="I13" s="353"/>
      <c r="J13" s="353"/>
      <c r="K13" s="353"/>
      <c r="L13" s="353"/>
    </row>
    <row r="14" spans="1:12" ht="15">
      <c r="A14" s="353"/>
      <c r="B14" s="353"/>
      <c r="C14" s="353"/>
      <c r="D14" s="353"/>
      <c r="E14" s="353"/>
      <c r="F14" s="353"/>
      <c r="G14" s="353"/>
      <c r="H14" s="353"/>
      <c r="I14" s="353"/>
      <c r="J14" s="353"/>
      <c r="K14" s="353"/>
      <c r="L14" s="353"/>
    </row>
    <row r="15" ht="15">
      <c r="A15" s="355" t="s">
        <v>544</v>
      </c>
    </row>
    <row r="16" ht="15">
      <c r="A16" s="355" t="s">
        <v>545</v>
      </c>
    </row>
    <row r="17" ht="15">
      <c r="A17" s="355"/>
    </row>
    <row r="18" spans="1:7" ht="15">
      <c r="A18" s="354" t="s">
        <v>546</v>
      </c>
      <c r="B18" s="354"/>
      <c r="C18" s="354"/>
      <c r="D18" s="354"/>
      <c r="E18" s="354"/>
      <c r="F18" s="354"/>
      <c r="G18" s="354"/>
    </row>
    <row r="19" spans="1:7" ht="15">
      <c r="A19" s="354" t="str">
        <f>CONCATENATE("your ",inputPrYr!C5-1," numbers to see what steps might be necessary to")</f>
        <v>your 2012 numbers to see what steps might be necessary to</v>
      </c>
      <c r="B19" s="354"/>
      <c r="C19" s="354"/>
      <c r="D19" s="354"/>
      <c r="E19" s="354"/>
      <c r="F19" s="354"/>
      <c r="G19" s="354"/>
    </row>
    <row r="20" spans="1:7" ht="15">
      <c r="A20" s="354" t="s">
        <v>547</v>
      </c>
      <c r="B20" s="354"/>
      <c r="C20" s="354"/>
      <c r="D20" s="354"/>
      <c r="E20" s="354"/>
      <c r="F20" s="354"/>
      <c r="G20" s="354"/>
    </row>
    <row r="21" spans="1:7" ht="15">
      <c r="A21" s="354" t="s">
        <v>548</v>
      </c>
      <c r="B21" s="354"/>
      <c r="C21" s="354"/>
      <c r="D21" s="354"/>
      <c r="E21" s="354"/>
      <c r="F21" s="354"/>
      <c r="G21" s="354"/>
    </row>
    <row r="22" ht="15">
      <c r="A22" s="354"/>
    </row>
    <row r="23" ht="15">
      <c r="A23" s="355" t="s">
        <v>549</v>
      </c>
    </row>
    <row r="24" ht="15">
      <c r="A24" s="355"/>
    </row>
    <row r="25" ht="15">
      <c r="A25" s="354" t="s">
        <v>550</v>
      </c>
    </row>
    <row r="26" spans="1:6" ht="15">
      <c r="A26" s="354" t="s">
        <v>551</v>
      </c>
      <c r="B26" s="354"/>
      <c r="C26" s="354"/>
      <c r="D26" s="354"/>
      <c r="E26" s="354"/>
      <c r="F26" s="354"/>
    </row>
    <row r="27" spans="1:6" ht="15">
      <c r="A27" s="354" t="s">
        <v>552</v>
      </c>
      <c r="B27" s="354"/>
      <c r="C27" s="354"/>
      <c r="D27" s="354"/>
      <c r="E27" s="354"/>
      <c r="F27" s="354"/>
    </row>
    <row r="28" spans="1:6" ht="15">
      <c r="A28" s="354" t="s">
        <v>553</v>
      </c>
      <c r="B28" s="354"/>
      <c r="C28" s="354"/>
      <c r="D28" s="354"/>
      <c r="E28" s="354"/>
      <c r="F28" s="354"/>
    </row>
    <row r="29" spans="1:6" ht="15">
      <c r="A29" s="354"/>
      <c r="B29" s="354"/>
      <c r="C29" s="354"/>
      <c r="D29" s="354"/>
      <c r="E29" s="354"/>
      <c r="F29" s="354"/>
    </row>
    <row r="30" spans="1:7" ht="15">
      <c r="A30" s="355" t="s">
        <v>554</v>
      </c>
      <c r="B30" s="355"/>
      <c r="C30" s="355"/>
      <c r="D30" s="355"/>
      <c r="E30" s="355"/>
      <c r="F30" s="355"/>
      <c r="G30" s="355"/>
    </row>
    <row r="31" spans="1:7" ht="15">
      <c r="A31" s="355" t="s">
        <v>555</v>
      </c>
      <c r="B31" s="355"/>
      <c r="C31" s="355"/>
      <c r="D31" s="355"/>
      <c r="E31" s="355"/>
      <c r="F31" s="355"/>
      <c r="G31" s="355"/>
    </row>
    <row r="32" spans="1:6" ht="15">
      <c r="A32" s="354"/>
      <c r="B32" s="354"/>
      <c r="C32" s="354"/>
      <c r="D32" s="354"/>
      <c r="E32" s="354"/>
      <c r="F32" s="354"/>
    </row>
    <row r="33" spans="1:6" ht="15">
      <c r="A33" s="352" t="str">
        <f>CONCATENATE("Well, let's look to see if any of your ",inputPrYr!C5-1," expenditures can")</f>
        <v>Well, let's look to see if any of your 2012 expenditures can</v>
      </c>
      <c r="B33" s="354"/>
      <c r="C33" s="354"/>
      <c r="D33" s="354"/>
      <c r="E33" s="354"/>
      <c r="F33" s="354"/>
    </row>
    <row r="34" spans="1:6" ht="15">
      <c r="A34" s="352" t="s">
        <v>556</v>
      </c>
      <c r="B34" s="354"/>
      <c r="C34" s="354"/>
      <c r="D34" s="354"/>
      <c r="E34" s="354"/>
      <c r="F34" s="354"/>
    </row>
    <row r="35" spans="1:6" ht="15">
      <c r="A35" s="352" t="s">
        <v>440</v>
      </c>
      <c r="B35" s="354"/>
      <c r="C35" s="354"/>
      <c r="D35" s="354"/>
      <c r="E35" s="354"/>
      <c r="F35" s="354"/>
    </row>
    <row r="36" spans="1:6" ht="15">
      <c r="A36" s="352" t="s">
        <v>441</v>
      </c>
      <c r="B36" s="354"/>
      <c r="C36" s="354"/>
      <c r="D36" s="354"/>
      <c r="E36" s="354"/>
      <c r="F36" s="354"/>
    </row>
    <row r="37" spans="1:6" ht="15">
      <c r="A37" s="352"/>
      <c r="B37" s="354"/>
      <c r="C37" s="354"/>
      <c r="D37" s="354"/>
      <c r="E37" s="354"/>
      <c r="F37" s="354"/>
    </row>
    <row r="38" spans="1:6" ht="15">
      <c r="A38" s="352" t="str">
        <f>CONCATENATE("Additionally, do your ",inputPrYr!C5-1," receipts contain a reimbursement")</f>
        <v>Additionally, do your 2012 receipts contain a reimbursement</v>
      </c>
      <c r="B38" s="354"/>
      <c r="C38" s="354"/>
      <c r="D38" s="354"/>
      <c r="E38" s="354"/>
      <c r="F38" s="354"/>
    </row>
    <row r="39" spans="1:6" ht="15">
      <c r="A39" s="352" t="s">
        <v>442</v>
      </c>
      <c r="B39" s="354"/>
      <c r="C39" s="354"/>
      <c r="D39" s="354"/>
      <c r="E39" s="354"/>
      <c r="F39" s="354"/>
    </row>
    <row r="40" spans="1:6" ht="15">
      <c r="A40" s="352" t="s">
        <v>443</v>
      </c>
      <c r="B40" s="354"/>
      <c r="C40" s="354"/>
      <c r="D40" s="354"/>
      <c r="E40" s="354"/>
      <c r="F40" s="354"/>
    </row>
    <row r="41" spans="1:6" ht="15">
      <c r="A41" s="352"/>
      <c r="B41" s="354"/>
      <c r="C41" s="354"/>
      <c r="D41" s="354"/>
      <c r="E41" s="354"/>
      <c r="F41" s="354"/>
    </row>
    <row r="42" spans="1:6" ht="15">
      <c r="A42" s="352" t="s">
        <v>444</v>
      </c>
      <c r="B42" s="354"/>
      <c r="C42" s="354"/>
      <c r="D42" s="354"/>
      <c r="E42" s="354"/>
      <c r="F42" s="354"/>
    </row>
    <row r="43" spans="1:6" ht="15">
      <c r="A43" s="352" t="s">
        <v>445</v>
      </c>
      <c r="B43" s="354"/>
      <c r="C43" s="354"/>
      <c r="D43" s="354"/>
      <c r="E43" s="354"/>
      <c r="F43" s="354"/>
    </row>
    <row r="44" spans="1:6" ht="15">
      <c r="A44" s="352" t="s">
        <v>446</v>
      </c>
      <c r="B44" s="354"/>
      <c r="C44" s="354"/>
      <c r="D44" s="354"/>
      <c r="E44" s="354"/>
      <c r="F44" s="354"/>
    </row>
    <row r="45" spans="1:6" ht="15">
      <c r="A45" s="352" t="s">
        <v>557</v>
      </c>
      <c r="B45" s="354"/>
      <c r="C45" s="354"/>
      <c r="D45" s="354"/>
      <c r="E45" s="354"/>
      <c r="F45" s="354"/>
    </row>
    <row r="46" spans="1:6" ht="15">
      <c r="A46" s="352" t="s">
        <v>448</v>
      </c>
      <c r="B46" s="354"/>
      <c r="C46" s="354"/>
      <c r="D46" s="354"/>
      <c r="E46" s="354"/>
      <c r="F46" s="354"/>
    </row>
    <row r="47" spans="1:6" ht="15">
      <c r="A47" s="352" t="s">
        <v>558</v>
      </c>
      <c r="B47" s="354"/>
      <c r="C47" s="354"/>
      <c r="D47" s="354"/>
      <c r="E47" s="354"/>
      <c r="F47" s="354"/>
    </row>
    <row r="48" spans="1:6" ht="15">
      <c r="A48" s="352" t="s">
        <v>559</v>
      </c>
      <c r="B48" s="354"/>
      <c r="C48" s="354"/>
      <c r="D48" s="354"/>
      <c r="E48" s="354"/>
      <c r="F48" s="354"/>
    </row>
    <row r="49" spans="1:6" ht="15">
      <c r="A49" s="352" t="s">
        <v>451</v>
      </c>
      <c r="B49" s="354"/>
      <c r="C49" s="354"/>
      <c r="D49" s="354"/>
      <c r="E49" s="354"/>
      <c r="F49" s="354"/>
    </row>
    <row r="50" spans="1:6" ht="15">
      <c r="A50" s="352"/>
      <c r="B50" s="354"/>
      <c r="C50" s="354"/>
      <c r="D50" s="354"/>
      <c r="E50" s="354"/>
      <c r="F50" s="354"/>
    </row>
    <row r="51" spans="1:6" ht="15">
      <c r="A51" s="352" t="s">
        <v>452</v>
      </c>
      <c r="B51" s="354"/>
      <c r="C51" s="354"/>
      <c r="D51" s="354"/>
      <c r="E51" s="354"/>
      <c r="F51" s="354"/>
    </row>
    <row r="52" spans="1:6" ht="15">
      <c r="A52" s="352" t="s">
        <v>453</v>
      </c>
      <c r="B52" s="354"/>
      <c r="C52" s="354"/>
      <c r="D52" s="354"/>
      <c r="E52" s="354"/>
      <c r="F52" s="354"/>
    </row>
    <row r="53" spans="1:6" ht="15">
      <c r="A53" s="352" t="s">
        <v>454</v>
      </c>
      <c r="B53" s="354"/>
      <c r="C53" s="354"/>
      <c r="D53" s="354"/>
      <c r="E53" s="354"/>
      <c r="F53" s="354"/>
    </row>
    <row r="54" spans="1:6" ht="15">
      <c r="A54" s="352"/>
      <c r="B54" s="354"/>
      <c r="C54" s="354"/>
      <c r="D54" s="354"/>
      <c r="E54" s="354"/>
      <c r="F54" s="354"/>
    </row>
    <row r="55" spans="1:6" ht="15">
      <c r="A55" s="352" t="s">
        <v>560</v>
      </c>
      <c r="B55" s="354"/>
      <c r="C55" s="354"/>
      <c r="D55" s="354"/>
      <c r="E55" s="354"/>
      <c r="F55" s="354"/>
    </row>
    <row r="56" spans="1:6" ht="15">
      <c r="A56" s="352" t="s">
        <v>561</v>
      </c>
      <c r="B56" s="354"/>
      <c r="C56" s="354"/>
      <c r="D56" s="354"/>
      <c r="E56" s="354"/>
      <c r="F56" s="354"/>
    </row>
    <row r="57" spans="1:6" ht="15">
      <c r="A57" s="352" t="s">
        <v>562</v>
      </c>
      <c r="B57" s="354"/>
      <c r="C57" s="354"/>
      <c r="D57" s="354"/>
      <c r="E57" s="354"/>
      <c r="F57" s="354"/>
    </row>
    <row r="58" spans="1:6" ht="15">
      <c r="A58" s="352" t="s">
        <v>563</v>
      </c>
      <c r="B58" s="354"/>
      <c r="C58" s="354"/>
      <c r="D58" s="354"/>
      <c r="E58" s="354"/>
      <c r="F58" s="354"/>
    </row>
    <row r="59" spans="1:6" ht="15">
      <c r="A59" s="352" t="s">
        <v>564</v>
      </c>
      <c r="B59" s="354"/>
      <c r="C59" s="354"/>
      <c r="D59" s="354"/>
      <c r="E59" s="354"/>
      <c r="F59" s="354"/>
    </row>
    <row r="60" spans="1:6" ht="15">
      <c r="A60" s="352"/>
      <c r="B60" s="354"/>
      <c r="C60" s="354"/>
      <c r="D60" s="354"/>
      <c r="E60" s="354"/>
      <c r="F60" s="354"/>
    </row>
    <row r="61" spans="1:6" ht="15">
      <c r="A61" s="351" t="s">
        <v>565</v>
      </c>
      <c r="B61" s="354"/>
      <c r="C61" s="354"/>
      <c r="D61" s="354"/>
      <c r="E61" s="354"/>
      <c r="F61" s="354"/>
    </row>
    <row r="62" spans="1:6" ht="15">
      <c r="A62" s="351" t="s">
        <v>566</v>
      </c>
      <c r="B62" s="354"/>
      <c r="C62" s="354"/>
      <c r="D62" s="354"/>
      <c r="E62" s="354"/>
      <c r="F62" s="354"/>
    </row>
    <row r="63" spans="1:6" ht="15">
      <c r="A63" s="351" t="s">
        <v>567</v>
      </c>
      <c r="B63" s="354"/>
      <c r="C63" s="354"/>
      <c r="D63" s="354"/>
      <c r="E63" s="354"/>
      <c r="F63" s="354"/>
    </row>
    <row r="64" ht="15">
      <c r="A64" s="351" t="s">
        <v>568</v>
      </c>
    </row>
    <row r="65" ht="15">
      <c r="A65" s="351" t="s">
        <v>569</v>
      </c>
    </row>
    <row r="66" ht="15">
      <c r="A66" s="351" t="s">
        <v>570</v>
      </c>
    </row>
    <row r="68" ht="15">
      <c r="A68" s="354" t="s">
        <v>571</v>
      </c>
    </row>
    <row r="69" ht="15">
      <c r="A69" s="354" t="s">
        <v>572</v>
      </c>
    </row>
    <row r="70" ht="15">
      <c r="A70" s="354" t="s">
        <v>573</v>
      </c>
    </row>
    <row r="71" ht="15">
      <c r="A71" s="354" t="s">
        <v>574</v>
      </c>
    </row>
    <row r="72" ht="15">
      <c r="A72" s="354" t="s">
        <v>575</v>
      </c>
    </row>
    <row r="73" ht="15">
      <c r="A73" s="354" t="s">
        <v>576</v>
      </c>
    </row>
    <row r="75" ht="15">
      <c r="A75" s="354" t="s">
        <v>481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53" t="s">
        <v>577</v>
      </c>
      <c r="B3" s="353"/>
      <c r="C3" s="353"/>
      <c r="D3" s="353"/>
      <c r="E3" s="353"/>
      <c r="F3" s="353"/>
      <c r="G3" s="353"/>
    </row>
    <row r="4" spans="1:7" ht="15">
      <c r="A4" s="353"/>
      <c r="B4" s="353"/>
      <c r="C4" s="353"/>
      <c r="D4" s="353"/>
      <c r="E4" s="353"/>
      <c r="F4" s="353"/>
      <c r="G4" s="353"/>
    </row>
    <row r="5" ht="15">
      <c r="A5" s="354" t="s">
        <v>483</v>
      </c>
    </row>
    <row r="6" ht="15">
      <c r="A6" s="354" t="str">
        <f>CONCATENATE(inputPrYr!C5," estimated expenditures show that at the end of this year")</f>
        <v>2013 estimated expenditures show that at the end of this year</v>
      </c>
    </row>
    <row r="7" ht="15">
      <c r="A7" s="354" t="s">
        <v>578</v>
      </c>
    </row>
    <row r="8" ht="15">
      <c r="A8" s="354" t="s">
        <v>579</v>
      </c>
    </row>
    <row r="10" ht="15">
      <c r="A10" t="s">
        <v>485</v>
      </c>
    </row>
    <row r="11" ht="15">
      <c r="A11" t="s">
        <v>486</v>
      </c>
    </row>
    <row r="12" ht="15">
      <c r="A12" t="s">
        <v>487</v>
      </c>
    </row>
    <row r="13" spans="1:7" ht="15">
      <c r="A13" s="353"/>
      <c r="B13" s="353"/>
      <c r="C13" s="353"/>
      <c r="D13" s="353"/>
      <c r="E13" s="353"/>
      <c r="F13" s="353"/>
      <c r="G13" s="353"/>
    </row>
    <row r="14" ht="15">
      <c r="A14" s="355" t="s">
        <v>580</v>
      </c>
    </row>
    <row r="15" ht="15">
      <c r="A15" s="354"/>
    </row>
    <row r="16" ht="15">
      <c r="A16" s="354" t="s">
        <v>581</v>
      </c>
    </row>
    <row r="17" ht="15">
      <c r="A17" s="354" t="s">
        <v>582</v>
      </c>
    </row>
    <row r="18" ht="15">
      <c r="A18" s="354" t="s">
        <v>583</v>
      </c>
    </row>
    <row r="19" ht="15">
      <c r="A19" s="354"/>
    </row>
    <row r="20" ht="15">
      <c r="A20" s="354" t="s">
        <v>584</v>
      </c>
    </row>
    <row r="21" ht="15">
      <c r="A21" s="354" t="s">
        <v>585</v>
      </c>
    </row>
    <row r="22" ht="15">
      <c r="A22" s="354" t="s">
        <v>586</v>
      </c>
    </row>
    <row r="23" ht="15">
      <c r="A23" s="354" t="s">
        <v>587</v>
      </c>
    </row>
    <row r="24" ht="15">
      <c r="A24" s="354"/>
    </row>
    <row r="25" ht="15">
      <c r="A25" s="355" t="s">
        <v>549</v>
      </c>
    </row>
    <row r="26" ht="15">
      <c r="A26" s="355"/>
    </row>
    <row r="27" ht="15">
      <c r="A27" s="354" t="s">
        <v>550</v>
      </c>
    </row>
    <row r="28" spans="1:6" ht="15">
      <c r="A28" s="354" t="s">
        <v>551</v>
      </c>
      <c r="B28" s="354"/>
      <c r="C28" s="354"/>
      <c r="D28" s="354"/>
      <c r="E28" s="354"/>
      <c r="F28" s="354"/>
    </row>
    <row r="29" spans="1:6" ht="15">
      <c r="A29" s="354" t="s">
        <v>552</v>
      </c>
      <c r="B29" s="354"/>
      <c r="C29" s="354"/>
      <c r="D29" s="354"/>
      <c r="E29" s="354"/>
      <c r="F29" s="354"/>
    </row>
    <row r="30" spans="1:6" ht="15">
      <c r="A30" s="354" t="s">
        <v>553</v>
      </c>
      <c r="B30" s="354"/>
      <c r="C30" s="354"/>
      <c r="D30" s="354"/>
      <c r="E30" s="354"/>
      <c r="F30" s="354"/>
    </row>
    <row r="31" ht="15">
      <c r="A31" s="354"/>
    </row>
    <row r="32" spans="1:7" ht="15">
      <c r="A32" s="355" t="s">
        <v>554</v>
      </c>
      <c r="B32" s="355"/>
      <c r="C32" s="355"/>
      <c r="D32" s="355"/>
      <c r="E32" s="355"/>
      <c r="F32" s="355"/>
      <c r="G32" s="355"/>
    </row>
    <row r="33" spans="1:7" ht="15">
      <c r="A33" s="355" t="s">
        <v>555</v>
      </c>
      <c r="B33" s="355"/>
      <c r="C33" s="355"/>
      <c r="D33" s="355"/>
      <c r="E33" s="355"/>
      <c r="F33" s="355"/>
      <c r="G33" s="355"/>
    </row>
    <row r="34" spans="1:7" ht="15">
      <c r="A34" s="355"/>
      <c r="B34" s="355"/>
      <c r="C34" s="355"/>
      <c r="D34" s="355"/>
      <c r="E34" s="355"/>
      <c r="F34" s="355"/>
      <c r="G34" s="355"/>
    </row>
    <row r="35" spans="1:7" ht="15">
      <c r="A35" s="354" t="s">
        <v>588</v>
      </c>
      <c r="B35" s="354"/>
      <c r="C35" s="354"/>
      <c r="D35" s="354"/>
      <c r="E35" s="354"/>
      <c r="F35" s="354"/>
      <c r="G35" s="354"/>
    </row>
    <row r="36" spans="1:7" ht="15">
      <c r="A36" s="354" t="s">
        <v>589</v>
      </c>
      <c r="B36" s="354"/>
      <c r="C36" s="354"/>
      <c r="D36" s="354"/>
      <c r="E36" s="354"/>
      <c r="F36" s="354"/>
      <c r="G36" s="354"/>
    </row>
    <row r="37" spans="1:7" ht="15">
      <c r="A37" s="354" t="s">
        <v>590</v>
      </c>
      <c r="B37" s="354"/>
      <c r="C37" s="354"/>
      <c r="D37" s="354"/>
      <c r="E37" s="354"/>
      <c r="F37" s="354"/>
      <c r="G37" s="354"/>
    </row>
    <row r="38" spans="1:7" ht="15">
      <c r="A38" s="354" t="s">
        <v>591</v>
      </c>
      <c r="B38" s="354"/>
      <c r="C38" s="354"/>
      <c r="D38" s="354"/>
      <c r="E38" s="354"/>
      <c r="F38" s="354"/>
      <c r="G38" s="354"/>
    </row>
    <row r="39" spans="1:7" ht="15">
      <c r="A39" s="354" t="s">
        <v>592</v>
      </c>
      <c r="B39" s="354"/>
      <c r="C39" s="354"/>
      <c r="D39" s="354"/>
      <c r="E39" s="354"/>
      <c r="F39" s="354"/>
      <c r="G39" s="354"/>
    </row>
    <row r="40" spans="1:7" ht="15">
      <c r="A40" s="355"/>
      <c r="B40" s="355"/>
      <c r="C40" s="355"/>
      <c r="D40" s="355"/>
      <c r="E40" s="355"/>
      <c r="F40" s="355"/>
      <c r="G40" s="355"/>
    </row>
    <row r="41" spans="1:6" ht="15">
      <c r="A41" s="352" t="str">
        <f>CONCATENATE("So, let's look to see if any of your ",inputPrYr!C5-1," expenditures can")</f>
        <v>So, let's look to see if any of your 2012 expenditures can</v>
      </c>
      <c r="B41" s="354"/>
      <c r="C41" s="354"/>
      <c r="D41" s="354"/>
      <c r="E41" s="354"/>
      <c r="F41" s="354"/>
    </row>
    <row r="42" spans="1:6" ht="15">
      <c r="A42" s="352" t="s">
        <v>556</v>
      </c>
      <c r="B42" s="354"/>
      <c r="C42" s="354"/>
      <c r="D42" s="354"/>
      <c r="E42" s="354"/>
      <c r="F42" s="354"/>
    </row>
    <row r="43" spans="1:6" ht="15">
      <c r="A43" s="352" t="s">
        <v>440</v>
      </c>
      <c r="B43" s="354"/>
      <c r="C43" s="354"/>
      <c r="D43" s="354"/>
      <c r="E43" s="354"/>
      <c r="F43" s="354"/>
    </row>
    <row r="44" spans="1:6" ht="15">
      <c r="A44" s="352" t="s">
        <v>441</v>
      </c>
      <c r="B44" s="354"/>
      <c r="C44" s="354"/>
      <c r="D44" s="354"/>
      <c r="E44" s="354"/>
      <c r="F44" s="354"/>
    </row>
    <row r="45" ht="15">
      <c r="A45" s="354"/>
    </row>
    <row r="46" spans="1:6" ht="15">
      <c r="A46" s="352" t="str">
        <f>CONCATENATE("Additionally, do your ",inputPrYr!C5-1," receipts contain a reimbursement")</f>
        <v>Additionally, do your 2012 receipts contain a reimbursement</v>
      </c>
      <c r="B46" s="354"/>
      <c r="C46" s="354"/>
      <c r="D46" s="354"/>
      <c r="E46" s="354"/>
      <c r="F46" s="354"/>
    </row>
    <row r="47" spans="1:6" ht="15">
      <c r="A47" s="352" t="s">
        <v>442</v>
      </c>
      <c r="B47" s="354"/>
      <c r="C47" s="354"/>
      <c r="D47" s="354"/>
      <c r="E47" s="354"/>
      <c r="F47" s="354"/>
    </row>
    <row r="48" spans="1:6" ht="15">
      <c r="A48" s="352" t="s">
        <v>443</v>
      </c>
      <c r="B48" s="354"/>
      <c r="C48" s="354"/>
      <c r="D48" s="354"/>
      <c r="E48" s="354"/>
      <c r="F48" s="354"/>
    </row>
    <row r="49" spans="1:7" ht="15">
      <c r="A49" s="354"/>
      <c r="B49" s="354"/>
      <c r="C49" s="354"/>
      <c r="D49" s="354"/>
      <c r="E49" s="354"/>
      <c r="F49" s="354"/>
      <c r="G49" s="354"/>
    </row>
    <row r="50" spans="1:7" ht="15">
      <c r="A50" s="354" t="s">
        <v>510</v>
      </c>
      <c r="B50" s="354"/>
      <c r="C50" s="354"/>
      <c r="D50" s="354"/>
      <c r="E50" s="354"/>
      <c r="F50" s="354"/>
      <c r="G50" s="354"/>
    </row>
    <row r="51" spans="1:7" ht="15">
      <c r="A51" s="354" t="s">
        <v>511</v>
      </c>
      <c r="B51" s="354"/>
      <c r="C51" s="354"/>
      <c r="D51" s="354"/>
      <c r="E51" s="354"/>
      <c r="F51" s="354"/>
      <c r="G51" s="354"/>
    </row>
    <row r="52" spans="1:7" ht="15">
      <c r="A52" s="354" t="s">
        <v>512</v>
      </c>
      <c r="B52" s="354"/>
      <c r="C52" s="354"/>
      <c r="D52" s="354"/>
      <c r="E52" s="354"/>
      <c r="F52" s="354"/>
      <c r="G52" s="354"/>
    </row>
    <row r="53" spans="1:7" ht="15">
      <c r="A53" s="354" t="s">
        <v>513</v>
      </c>
      <c r="B53" s="354"/>
      <c r="C53" s="354"/>
      <c r="D53" s="354"/>
      <c r="E53" s="354"/>
      <c r="F53" s="354"/>
      <c r="G53" s="354"/>
    </row>
    <row r="54" spans="1:7" ht="15">
      <c r="A54" s="354" t="s">
        <v>514</v>
      </c>
      <c r="B54" s="354"/>
      <c r="C54" s="354"/>
      <c r="D54" s="354"/>
      <c r="E54" s="354"/>
      <c r="F54" s="354"/>
      <c r="G54" s="354"/>
    </row>
    <row r="55" spans="1:7" ht="15">
      <c r="A55" s="354"/>
      <c r="B55" s="354"/>
      <c r="C55" s="354"/>
      <c r="D55" s="354"/>
      <c r="E55" s="354"/>
      <c r="F55" s="354"/>
      <c r="G55" s="354"/>
    </row>
    <row r="56" spans="1:6" ht="15">
      <c r="A56" s="352" t="s">
        <v>452</v>
      </c>
      <c r="B56" s="354"/>
      <c r="C56" s="354"/>
      <c r="D56" s="354"/>
      <c r="E56" s="354"/>
      <c r="F56" s="354"/>
    </row>
    <row r="57" spans="1:6" ht="15">
      <c r="A57" s="352" t="s">
        <v>453</v>
      </c>
      <c r="B57" s="354"/>
      <c r="C57" s="354"/>
      <c r="D57" s="354"/>
      <c r="E57" s="354"/>
      <c r="F57" s="354"/>
    </row>
    <row r="58" spans="1:6" ht="15">
      <c r="A58" s="352" t="s">
        <v>454</v>
      </c>
      <c r="B58" s="354"/>
      <c r="C58" s="354"/>
      <c r="D58" s="354"/>
      <c r="E58" s="354"/>
      <c r="F58" s="354"/>
    </row>
    <row r="59" spans="1:6" ht="15">
      <c r="A59" s="352"/>
      <c r="B59" s="354"/>
      <c r="C59" s="354"/>
      <c r="D59" s="354"/>
      <c r="E59" s="354"/>
      <c r="F59" s="354"/>
    </row>
    <row r="60" spans="1:7" ht="15">
      <c r="A60" s="354" t="s">
        <v>593</v>
      </c>
      <c r="B60" s="354"/>
      <c r="C60" s="354"/>
      <c r="D60" s="354"/>
      <c r="E60" s="354"/>
      <c r="F60" s="354"/>
      <c r="G60" s="354"/>
    </row>
    <row r="61" spans="1:7" ht="15">
      <c r="A61" s="354" t="s">
        <v>594</v>
      </c>
      <c r="B61" s="354"/>
      <c r="C61" s="354"/>
      <c r="D61" s="354"/>
      <c r="E61" s="354"/>
      <c r="F61" s="354"/>
      <c r="G61" s="354"/>
    </row>
    <row r="62" spans="1:7" ht="15">
      <c r="A62" s="354" t="s">
        <v>595</v>
      </c>
      <c r="B62" s="354"/>
      <c r="C62" s="354"/>
      <c r="D62" s="354"/>
      <c r="E62" s="354"/>
      <c r="F62" s="354"/>
      <c r="G62" s="354"/>
    </row>
    <row r="63" spans="1:7" ht="15">
      <c r="A63" s="354" t="s">
        <v>596</v>
      </c>
      <c r="B63" s="354"/>
      <c r="C63" s="354"/>
      <c r="D63" s="354"/>
      <c r="E63" s="354"/>
      <c r="F63" s="354"/>
      <c r="G63" s="354"/>
    </row>
    <row r="64" spans="1:7" ht="15">
      <c r="A64" s="354" t="s">
        <v>597</v>
      </c>
      <c r="B64" s="354"/>
      <c r="C64" s="354"/>
      <c r="D64" s="354"/>
      <c r="E64" s="354"/>
      <c r="F64" s="354"/>
      <c r="G64" s="354"/>
    </row>
    <row r="66" spans="1:6" ht="15">
      <c r="A66" s="352" t="s">
        <v>560</v>
      </c>
      <c r="B66" s="354"/>
      <c r="C66" s="354"/>
      <c r="D66" s="354"/>
      <c r="E66" s="354"/>
      <c r="F66" s="354"/>
    </row>
    <row r="67" spans="1:6" ht="15">
      <c r="A67" s="352" t="s">
        <v>561</v>
      </c>
      <c r="B67" s="354"/>
      <c r="C67" s="354"/>
      <c r="D67" s="354"/>
      <c r="E67" s="354"/>
      <c r="F67" s="354"/>
    </row>
    <row r="68" spans="1:6" ht="15">
      <c r="A68" s="352" t="s">
        <v>562</v>
      </c>
      <c r="B68" s="354"/>
      <c r="C68" s="354"/>
      <c r="D68" s="354"/>
      <c r="E68" s="354"/>
      <c r="F68" s="354"/>
    </row>
    <row r="69" spans="1:6" ht="15">
      <c r="A69" s="352" t="s">
        <v>563</v>
      </c>
      <c r="B69" s="354"/>
      <c r="C69" s="354"/>
      <c r="D69" s="354"/>
      <c r="E69" s="354"/>
      <c r="F69" s="354"/>
    </row>
    <row r="70" spans="1:6" ht="15">
      <c r="A70" s="352" t="s">
        <v>564</v>
      </c>
      <c r="B70" s="354"/>
      <c r="C70" s="354"/>
      <c r="D70" s="354"/>
      <c r="E70" s="354"/>
      <c r="F70" s="354"/>
    </row>
    <row r="71" ht="15">
      <c r="A71" s="354"/>
    </row>
    <row r="72" ht="15">
      <c r="A72" s="354" t="s">
        <v>481</v>
      </c>
    </row>
    <row r="73" ht="15">
      <c r="A73" s="354"/>
    </row>
    <row r="74" ht="15">
      <c r="A74" s="354"/>
    </row>
    <row r="75" ht="15">
      <c r="A75" s="354"/>
    </row>
    <row r="78" ht="15">
      <c r="A78" s="355"/>
    </row>
    <row r="80" ht="15">
      <c r="A80" s="354"/>
    </row>
    <row r="81" ht="15">
      <c r="A81" s="354"/>
    </row>
    <row r="82" ht="15">
      <c r="A82" s="354"/>
    </row>
    <row r="83" ht="15">
      <c r="A83" s="354"/>
    </row>
    <row r="84" ht="15">
      <c r="A84" s="354"/>
    </row>
    <row r="85" ht="15">
      <c r="A85" s="354"/>
    </row>
    <row r="86" ht="15">
      <c r="A86" s="354"/>
    </row>
    <row r="87" ht="15">
      <c r="A87" s="354"/>
    </row>
    <row r="88" ht="15">
      <c r="A88" s="354"/>
    </row>
    <row r="89" ht="15">
      <c r="A89" s="354"/>
    </row>
    <row r="90" ht="15">
      <c r="A90" s="354"/>
    </row>
    <row r="92" ht="15">
      <c r="A92" s="354"/>
    </row>
    <row r="93" ht="15">
      <c r="A93" s="354"/>
    </row>
    <row r="94" ht="15">
      <c r="A94" s="354"/>
    </row>
    <row r="95" ht="15">
      <c r="A95" s="354"/>
    </row>
    <row r="96" ht="15">
      <c r="A96" s="354"/>
    </row>
    <row r="97" ht="15">
      <c r="A97" s="354"/>
    </row>
    <row r="98" ht="15">
      <c r="A98" s="354"/>
    </row>
    <row r="99" ht="15">
      <c r="A99" s="354"/>
    </row>
    <row r="100" ht="15">
      <c r="A100" s="354"/>
    </row>
    <row r="101" ht="15">
      <c r="A101" s="354"/>
    </row>
    <row r="102" ht="15">
      <c r="A102" s="354"/>
    </row>
    <row r="103" ht="15">
      <c r="A103" s="354"/>
    </row>
    <row r="104" ht="15">
      <c r="A104" s="354"/>
    </row>
    <row r="105" ht="15">
      <c r="A105" s="354"/>
    </row>
    <row r="106" ht="15">
      <c r="A106" s="354"/>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53" t="s">
        <v>598</v>
      </c>
      <c r="B3" s="353"/>
      <c r="C3" s="353"/>
      <c r="D3" s="353"/>
      <c r="E3" s="353"/>
      <c r="F3" s="353"/>
      <c r="G3" s="353"/>
    </row>
    <row r="4" spans="1:7" ht="15">
      <c r="A4" s="353" t="s">
        <v>599</v>
      </c>
      <c r="B4" s="353"/>
      <c r="C4" s="353"/>
      <c r="D4" s="353"/>
      <c r="E4" s="353"/>
      <c r="F4" s="353"/>
      <c r="G4" s="353"/>
    </row>
    <row r="5" spans="1:7" ht="15">
      <c r="A5" s="353"/>
      <c r="B5" s="353"/>
      <c r="C5" s="353"/>
      <c r="D5" s="353"/>
      <c r="E5" s="353"/>
      <c r="F5" s="353"/>
      <c r="G5" s="353"/>
    </row>
    <row r="6" spans="1:7" ht="15">
      <c r="A6" s="353"/>
      <c r="B6" s="353"/>
      <c r="C6" s="353"/>
      <c r="D6" s="353"/>
      <c r="E6" s="353"/>
      <c r="F6" s="353"/>
      <c r="G6" s="353"/>
    </row>
    <row r="7" ht="15">
      <c r="A7" s="354" t="s">
        <v>426</v>
      </c>
    </row>
    <row r="8" ht="15">
      <c r="A8" s="354" t="str">
        <f>CONCATENATE("estimated ",inputPrYr!C5," 'total expenditures' exceed your ",inputPrYr!C5,"")</f>
        <v>estimated 2013 'total expenditures' exceed your 2013</v>
      </c>
    </row>
    <row r="9" ht="15">
      <c r="A9" s="357" t="s">
        <v>600</v>
      </c>
    </row>
    <row r="10" ht="15">
      <c r="A10" s="354"/>
    </row>
    <row r="11" ht="15">
      <c r="A11" s="354" t="s">
        <v>601</v>
      </c>
    </row>
    <row r="12" ht="15">
      <c r="A12" s="354" t="s">
        <v>602</v>
      </c>
    </row>
    <row r="13" ht="15">
      <c r="A13" s="354" t="s">
        <v>603</v>
      </c>
    </row>
    <row r="14" ht="15">
      <c r="A14" s="354"/>
    </row>
    <row r="15" ht="15">
      <c r="A15" s="355" t="s">
        <v>604</v>
      </c>
    </row>
    <row r="16" spans="1:7" ht="15">
      <c r="A16" s="353"/>
      <c r="B16" s="353"/>
      <c r="C16" s="353"/>
      <c r="D16" s="353"/>
      <c r="E16" s="353"/>
      <c r="F16" s="353"/>
      <c r="G16" s="353"/>
    </row>
    <row r="17" spans="1:8" ht="15">
      <c r="A17" s="358" t="s">
        <v>605</v>
      </c>
      <c r="B17" s="359"/>
      <c r="C17" s="359"/>
      <c r="D17" s="359"/>
      <c r="E17" s="359"/>
      <c r="F17" s="359"/>
      <c r="G17" s="359"/>
      <c r="H17" s="359"/>
    </row>
    <row r="18" spans="1:7" ht="15">
      <c r="A18" s="354" t="s">
        <v>606</v>
      </c>
      <c r="B18" s="360"/>
      <c r="C18" s="360"/>
      <c r="D18" s="360"/>
      <c r="E18" s="360"/>
      <c r="F18" s="360"/>
      <c r="G18" s="360"/>
    </row>
    <row r="19" ht="15">
      <c r="A19" s="354" t="s">
        <v>607</v>
      </c>
    </row>
    <row r="20" ht="15">
      <c r="A20" s="354" t="s">
        <v>608</v>
      </c>
    </row>
    <row r="22" ht="15">
      <c r="A22" s="355" t="s">
        <v>609</v>
      </c>
    </row>
    <row r="24" ht="15">
      <c r="A24" s="354" t="s">
        <v>610</v>
      </c>
    </row>
    <row r="25" ht="15">
      <c r="A25" s="354" t="s">
        <v>611</v>
      </c>
    </row>
    <row r="26" ht="15">
      <c r="A26" s="354" t="s">
        <v>612</v>
      </c>
    </row>
    <row r="28" ht="15">
      <c r="A28" s="355" t="s">
        <v>613</v>
      </c>
    </row>
    <row r="30" ht="15">
      <c r="A30" t="s">
        <v>614</v>
      </c>
    </row>
    <row r="31" ht="15">
      <c r="A31" t="s">
        <v>615</v>
      </c>
    </row>
    <row r="32" ht="15">
      <c r="A32" t="s">
        <v>616</v>
      </c>
    </row>
    <row r="33" ht="15">
      <c r="A33" s="354" t="s">
        <v>617</v>
      </c>
    </row>
    <row r="35" ht="15">
      <c r="A35" t="s">
        <v>618</v>
      </c>
    </row>
    <row r="36" ht="15">
      <c r="A36" t="s">
        <v>619</v>
      </c>
    </row>
    <row r="37" ht="15">
      <c r="A37" t="s">
        <v>620</v>
      </c>
    </row>
    <row r="38" ht="15">
      <c r="A38" t="s">
        <v>621</v>
      </c>
    </row>
    <row r="40" ht="15">
      <c r="A40" t="s">
        <v>622</v>
      </c>
    </row>
    <row r="41" ht="15">
      <c r="A41" t="s">
        <v>623</v>
      </c>
    </row>
    <row r="42" ht="15">
      <c r="A42" t="s">
        <v>624</v>
      </c>
    </row>
    <row r="43" ht="15">
      <c r="A43" t="s">
        <v>625</v>
      </c>
    </row>
    <row r="44" ht="15">
      <c r="A44" t="s">
        <v>626</v>
      </c>
    </row>
    <row r="45" ht="15">
      <c r="A45" t="s">
        <v>627</v>
      </c>
    </row>
    <row r="47" ht="15">
      <c r="A47" t="s">
        <v>628</v>
      </c>
    </row>
    <row r="48" ht="15">
      <c r="A48" t="s">
        <v>629</v>
      </c>
    </row>
    <row r="49" ht="15">
      <c r="A49" s="354" t="s">
        <v>630</v>
      </c>
    </row>
    <row r="50" ht="15">
      <c r="A50" s="354" t="s">
        <v>631</v>
      </c>
    </row>
    <row r="52" ht="15">
      <c r="A52" t="s">
        <v>481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dimension ref="A1:X354"/>
  <sheetViews>
    <sheetView zoomScaleSheetLayoutView="100" zoomScalePageLayoutView="0" workbookViewId="0" topLeftCell="A1">
      <selection activeCell="B50" sqref="B50"/>
    </sheetView>
  </sheetViews>
  <sheetFormatPr defaultColWidth="8.796875" defaultRowHeight="15"/>
  <cols>
    <col min="1" max="1" width="7.59765625" style="428" customWidth="1"/>
    <col min="2" max="2" width="11.19921875" style="430" customWidth="1"/>
    <col min="3" max="3" width="7.3984375" style="430" customWidth="1"/>
    <col min="4" max="4" width="8.8984375" style="430" customWidth="1"/>
    <col min="5" max="5" width="1.59765625" style="430" customWidth="1"/>
    <col min="6" max="6" width="14.296875" style="430" customWidth="1"/>
    <col min="7" max="7" width="2.59765625" style="430" customWidth="1"/>
    <col min="8" max="8" width="9.796875" style="430" customWidth="1"/>
    <col min="9" max="9" width="2" style="430" customWidth="1"/>
    <col min="10" max="10" width="8.59765625" style="430" customWidth="1"/>
    <col min="11" max="11" width="11.69921875" style="430" customWidth="1"/>
    <col min="12" max="12" width="7.59765625" style="428" customWidth="1"/>
    <col min="13" max="14" width="8.8984375" style="428" customWidth="1"/>
    <col min="15" max="15" width="9.8984375" style="428" bestFit="1" customWidth="1"/>
    <col min="16" max="16384" width="8.8984375" style="428" customWidth="1"/>
  </cols>
  <sheetData>
    <row r="1" spans="1:12" ht="14.25">
      <c r="A1" s="429"/>
      <c r="B1" s="429"/>
      <c r="C1" s="429"/>
      <c r="D1" s="429"/>
      <c r="E1" s="429"/>
      <c r="F1" s="429"/>
      <c r="G1" s="429"/>
      <c r="H1" s="429"/>
      <c r="I1" s="429"/>
      <c r="J1" s="429"/>
      <c r="K1" s="429"/>
      <c r="L1" s="429"/>
    </row>
    <row r="2" spans="1:12" ht="14.25">
      <c r="A2" s="429"/>
      <c r="B2" s="429"/>
      <c r="C2" s="429"/>
      <c r="D2" s="429"/>
      <c r="E2" s="429"/>
      <c r="F2" s="429"/>
      <c r="G2" s="429"/>
      <c r="H2" s="429"/>
      <c r="I2" s="429"/>
      <c r="J2" s="429"/>
      <c r="K2" s="429"/>
      <c r="L2" s="429"/>
    </row>
    <row r="3" spans="1:12" ht="14.25">
      <c r="A3" s="429"/>
      <c r="B3" s="429"/>
      <c r="C3" s="429"/>
      <c r="D3" s="429"/>
      <c r="E3" s="429"/>
      <c r="F3" s="429"/>
      <c r="G3" s="429"/>
      <c r="H3" s="429"/>
      <c r="I3" s="429"/>
      <c r="J3" s="429"/>
      <c r="K3" s="429"/>
      <c r="L3" s="429"/>
    </row>
    <row r="4" spans="1:12" ht="14.25">
      <c r="A4" s="429"/>
      <c r="L4" s="429"/>
    </row>
    <row r="5" spans="1:12" ht="15" customHeight="1">
      <c r="A5" s="429"/>
      <c r="L5" s="429"/>
    </row>
    <row r="6" spans="1:12" ht="33" customHeight="1">
      <c r="A6" s="429"/>
      <c r="B6" s="824" t="s">
        <v>667</v>
      </c>
      <c r="C6" s="825"/>
      <c r="D6" s="825"/>
      <c r="E6" s="825"/>
      <c r="F6" s="825"/>
      <c r="G6" s="825"/>
      <c r="H6" s="825"/>
      <c r="I6" s="825"/>
      <c r="J6" s="825"/>
      <c r="K6" s="825"/>
      <c r="L6" s="431"/>
    </row>
    <row r="7" spans="1:12" ht="40.5" customHeight="1">
      <c r="A7" s="429"/>
      <c r="B7" s="826" t="s">
        <v>668</v>
      </c>
      <c r="C7" s="827"/>
      <c r="D7" s="827"/>
      <c r="E7" s="827"/>
      <c r="F7" s="827"/>
      <c r="G7" s="827"/>
      <c r="H7" s="827"/>
      <c r="I7" s="827"/>
      <c r="J7" s="827"/>
      <c r="K7" s="827"/>
      <c r="L7" s="429"/>
    </row>
    <row r="8" spans="1:12" ht="14.25">
      <c r="A8" s="429"/>
      <c r="B8" s="823" t="s">
        <v>669</v>
      </c>
      <c r="C8" s="823"/>
      <c r="D8" s="823"/>
      <c r="E8" s="823"/>
      <c r="F8" s="823"/>
      <c r="G8" s="823"/>
      <c r="H8" s="823"/>
      <c r="I8" s="823"/>
      <c r="J8" s="823"/>
      <c r="K8" s="823"/>
      <c r="L8" s="429"/>
    </row>
    <row r="9" spans="1:12" ht="14.25">
      <c r="A9" s="429"/>
      <c r="L9" s="429"/>
    </row>
    <row r="10" spans="1:12" ht="14.25">
      <c r="A10" s="429"/>
      <c r="B10" s="823" t="s">
        <v>670</v>
      </c>
      <c r="C10" s="823"/>
      <c r="D10" s="823"/>
      <c r="E10" s="823"/>
      <c r="F10" s="823"/>
      <c r="G10" s="823"/>
      <c r="H10" s="823"/>
      <c r="I10" s="823"/>
      <c r="J10" s="823"/>
      <c r="K10" s="823"/>
      <c r="L10" s="429"/>
    </row>
    <row r="11" spans="1:12" ht="14.25">
      <c r="A11" s="429"/>
      <c r="B11" s="590"/>
      <c r="C11" s="590"/>
      <c r="D11" s="590"/>
      <c r="E11" s="590"/>
      <c r="F11" s="590"/>
      <c r="G11" s="590"/>
      <c r="H11" s="590"/>
      <c r="I11" s="590"/>
      <c r="J11" s="590"/>
      <c r="K11" s="590"/>
      <c r="L11" s="429"/>
    </row>
    <row r="12" spans="1:12" ht="32.25" customHeight="1">
      <c r="A12" s="429"/>
      <c r="B12" s="816" t="s">
        <v>671</v>
      </c>
      <c r="C12" s="816"/>
      <c r="D12" s="816"/>
      <c r="E12" s="816"/>
      <c r="F12" s="816"/>
      <c r="G12" s="816"/>
      <c r="H12" s="816"/>
      <c r="I12" s="816"/>
      <c r="J12" s="816"/>
      <c r="K12" s="816"/>
      <c r="L12" s="429"/>
    </row>
    <row r="13" spans="1:12" ht="14.25">
      <c r="A13" s="429"/>
      <c r="L13" s="429"/>
    </row>
    <row r="14" spans="1:12" ht="14.25">
      <c r="A14" s="429"/>
      <c r="B14" s="432" t="s">
        <v>672</v>
      </c>
      <c r="L14" s="429"/>
    </row>
    <row r="15" spans="1:12" ht="14.25">
      <c r="A15" s="429"/>
      <c r="L15" s="429"/>
    </row>
    <row r="16" spans="1:12" ht="14.25">
      <c r="A16" s="429"/>
      <c r="B16" s="430" t="s">
        <v>673</v>
      </c>
      <c r="L16" s="429"/>
    </row>
    <row r="17" spans="1:12" ht="14.25">
      <c r="A17" s="429"/>
      <c r="B17" s="430" t="s">
        <v>674</v>
      </c>
      <c r="L17" s="429"/>
    </row>
    <row r="18" spans="1:12" ht="14.25">
      <c r="A18" s="429"/>
      <c r="L18" s="429"/>
    </row>
    <row r="19" spans="1:12" ht="14.25">
      <c r="A19" s="429"/>
      <c r="B19" s="432" t="s">
        <v>851</v>
      </c>
      <c r="L19" s="429"/>
    </row>
    <row r="20" spans="1:12" ht="14.25">
      <c r="A20" s="429"/>
      <c r="B20" s="432"/>
      <c r="L20" s="429"/>
    </row>
    <row r="21" spans="1:12" ht="14.25">
      <c r="A21" s="429"/>
      <c r="B21" s="430" t="s">
        <v>852</v>
      </c>
      <c r="L21" s="429"/>
    </row>
    <row r="22" spans="1:12" ht="14.25">
      <c r="A22" s="429"/>
      <c r="L22" s="429"/>
    </row>
    <row r="23" spans="1:12" ht="14.25">
      <c r="A23" s="429"/>
      <c r="B23" s="430" t="s">
        <v>675</v>
      </c>
      <c r="E23" s="430" t="s">
        <v>676</v>
      </c>
      <c r="F23" s="817">
        <v>312000000</v>
      </c>
      <c r="G23" s="817"/>
      <c r="L23" s="429"/>
    </row>
    <row r="24" spans="1:12" ht="14.25">
      <c r="A24" s="429"/>
      <c r="L24" s="429"/>
    </row>
    <row r="25" spans="1:12" ht="14.25">
      <c r="A25" s="429"/>
      <c r="C25" s="828">
        <f>F23</f>
        <v>312000000</v>
      </c>
      <c r="D25" s="828"/>
      <c r="E25" s="430" t="s">
        <v>677</v>
      </c>
      <c r="F25" s="433">
        <v>1000</v>
      </c>
      <c r="G25" s="433" t="s">
        <v>676</v>
      </c>
      <c r="H25" s="591">
        <f>F23/F25</f>
        <v>312000</v>
      </c>
      <c r="L25" s="429"/>
    </row>
    <row r="26" spans="1:12" ht="15" thickBot="1">
      <c r="A26" s="429"/>
      <c r="L26" s="429"/>
    </row>
    <row r="27" spans="1:12" ht="14.25">
      <c r="A27" s="429"/>
      <c r="B27" s="434" t="s">
        <v>672</v>
      </c>
      <c r="C27" s="435"/>
      <c r="D27" s="435"/>
      <c r="E27" s="435"/>
      <c r="F27" s="435"/>
      <c r="G27" s="435"/>
      <c r="H27" s="435"/>
      <c r="I27" s="435"/>
      <c r="J27" s="435"/>
      <c r="K27" s="436"/>
      <c r="L27" s="429"/>
    </row>
    <row r="28" spans="1:12" ht="14.25">
      <c r="A28" s="429"/>
      <c r="B28" s="437">
        <f>F23</f>
        <v>312000000</v>
      </c>
      <c r="C28" s="438" t="s">
        <v>678</v>
      </c>
      <c r="D28" s="438"/>
      <c r="E28" s="438" t="s">
        <v>677</v>
      </c>
      <c r="F28" s="588">
        <v>1000</v>
      </c>
      <c r="G28" s="588" t="s">
        <v>676</v>
      </c>
      <c r="H28" s="439">
        <f>B28/F28</f>
        <v>312000</v>
      </c>
      <c r="I28" s="438" t="s">
        <v>679</v>
      </c>
      <c r="J28" s="438"/>
      <c r="K28" s="440"/>
      <c r="L28" s="429"/>
    </row>
    <row r="29" spans="1:12" ht="15" thickBot="1">
      <c r="A29" s="429"/>
      <c r="B29" s="441"/>
      <c r="C29" s="442"/>
      <c r="D29" s="442"/>
      <c r="E29" s="442"/>
      <c r="F29" s="442"/>
      <c r="G29" s="442"/>
      <c r="H29" s="442"/>
      <c r="I29" s="442"/>
      <c r="J29" s="442"/>
      <c r="K29" s="443"/>
      <c r="L29" s="429"/>
    </row>
    <row r="30" spans="1:12" ht="40.5" customHeight="1">
      <c r="A30" s="429"/>
      <c r="B30" s="819" t="s">
        <v>668</v>
      </c>
      <c r="C30" s="819"/>
      <c r="D30" s="819"/>
      <c r="E30" s="819"/>
      <c r="F30" s="819"/>
      <c r="G30" s="819"/>
      <c r="H30" s="819"/>
      <c r="I30" s="819"/>
      <c r="J30" s="819"/>
      <c r="K30" s="819"/>
      <c r="L30" s="429"/>
    </row>
    <row r="31" spans="1:12" ht="14.25">
      <c r="A31" s="429"/>
      <c r="B31" s="823" t="s">
        <v>680</v>
      </c>
      <c r="C31" s="823"/>
      <c r="D31" s="823"/>
      <c r="E31" s="823"/>
      <c r="F31" s="823"/>
      <c r="G31" s="823"/>
      <c r="H31" s="823"/>
      <c r="I31" s="823"/>
      <c r="J31" s="823"/>
      <c r="K31" s="823"/>
      <c r="L31" s="429"/>
    </row>
    <row r="32" spans="1:12" ht="14.25">
      <c r="A32" s="429"/>
      <c r="L32" s="429"/>
    </row>
    <row r="33" spans="1:12" ht="14.25">
      <c r="A33" s="429"/>
      <c r="B33" s="823" t="s">
        <v>681</v>
      </c>
      <c r="C33" s="823"/>
      <c r="D33" s="823"/>
      <c r="E33" s="823"/>
      <c r="F33" s="823"/>
      <c r="G33" s="823"/>
      <c r="H33" s="823"/>
      <c r="I33" s="823"/>
      <c r="J33" s="823"/>
      <c r="K33" s="823"/>
      <c r="L33" s="429"/>
    </row>
    <row r="34" spans="1:12" ht="14.25">
      <c r="A34" s="429"/>
      <c r="L34" s="429"/>
    </row>
    <row r="35" spans="1:12" ht="89.25" customHeight="1">
      <c r="A35" s="429"/>
      <c r="B35" s="816" t="s">
        <v>682</v>
      </c>
      <c r="C35" s="835"/>
      <c r="D35" s="835"/>
      <c r="E35" s="835"/>
      <c r="F35" s="835"/>
      <c r="G35" s="835"/>
      <c r="H35" s="835"/>
      <c r="I35" s="835"/>
      <c r="J35" s="835"/>
      <c r="K35" s="835"/>
      <c r="L35" s="429"/>
    </row>
    <row r="36" spans="1:12" ht="14.25">
      <c r="A36" s="429"/>
      <c r="L36" s="429"/>
    </row>
    <row r="37" spans="1:12" ht="14.25">
      <c r="A37" s="429"/>
      <c r="B37" s="432" t="s">
        <v>683</v>
      </c>
      <c r="L37" s="429"/>
    </row>
    <row r="38" spans="1:12" ht="14.25">
      <c r="A38" s="429"/>
      <c r="L38" s="429"/>
    </row>
    <row r="39" spans="1:12" ht="14.25">
      <c r="A39" s="429"/>
      <c r="B39" s="430" t="s">
        <v>684</v>
      </c>
      <c r="L39" s="429"/>
    </row>
    <row r="40" spans="1:12" ht="14.25">
      <c r="A40" s="429"/>
      <c r="L40" s="429"/>
    </row>
    <row r="41" spans="1:12" ht="14.25">
      <c r="A41" s="429"/>
      <c r="C41" s="829">
        <v>312000000</v>
      </c>
      <c r="D41" s="829"/>
      <c r="E41" s="430" t="s">
        <v>677</v>
      </c>
      <c r="F41" s="433">
        <v>1000</v>
      </c>
      <c r="G41" s="433" t="s">
        <v>676</v>
      </c>
      <c r="H41" s="444">
        <f>C41/F41</f>
        <v>312000</v>
      </c>
      <c r="L41" s="429"/>
    </row>
    <row r="42" spans="1:12" ht="14.25">
      <c r="A42" s="429"/>
      <c r="L42" s="429"/>
    </row>
    <row r="43" spans="1:12" ht="14.25">
      <c r="A43" s="429"/>
      <c r="B43" s="430" t="s">
        <v>685</v>
      </c>
      <c r="L43" s="429"/>
    </row>
    <row r="44" spans="1:12" ht="14.25">
      <c r="A44" s="429"/>
      <c r="L44" s="429"/>
    </row>
    <row r="45" spans="1:12" ht="14.25">
      <c r="A45" s="429"/>
      <c r="B45" s="430" t="s">
        <v>686</v>
      </c>
      <c r="L45" s="429"/>
    </row>
    <row r="46" spans="1:12" ht="15" thickBot="1">
      <c r="A46" s="429"/>
      <c r="L46" s="429"/>
    </row>
    <row r="47" spans="1:12" ht="14.25">
      <c r="A47" s="429"/>
      <c r="B47" s="445" t="s">
        <v>672</v>
      </c>
      <c r="C47" s="435"/>
      <c r="D47" s="435"/>
      <c r="E47" s="435"/>
      <c r="F47" s="435"/>
      <c r="G47" s="435"/>
      <c r="H47" s="435"/>
      <c r="I47" s="435"/>
      <c r="J47" s="435"/>
      <c r="K47" s="436"/>
      <c r="L47" s="429"/>
    </row>
    <row r="48" spans="1:12" ht="14.25">
      <c r="A48" s="429"/>
      <c r="B48" s="830">
        <v>312000000</v>
      </c>
      <c r="C48" s="817"/>
      <c r="D48" s="438" t="s">
        <v>687</v>
      </c>
      <c r="E48" s="438" t="s">
        <v>677</v>
      </c>
      <c r="F48" s="588">
        <v>1000</v>
      </c>
      <c r="G48" s="588" t="s">
        <v>676</v>
      </c>
      <c r="H48" s="439">
        <f>B48/F48</f>
        <v>312000</v>
      </c>
      <c r="I48" s="438" t="s">
        <v>688</v>
      </c>
      <c r="J48" s="438"/>
      <c r="K48" s="440"/>
      <c r="L48" s="429"/>
    </row>
    <row r="49" spans="1:12" ht="14.25">
      <c r="A49" s="429"/>
      <c r="B49" s="446"/>
      <c r="C49" s="438"/>
      <c r="D49" s="438"/>
      <c r="E49" s="438"/>
      <c r="F49" s="438"/>
      <c r="G49" s="438"/>
      <c r="H49" s="438"/>
      <c r="I49" s="438"/>
      <c r="J49" s="438"/>
      <c r="K49" s="440"/>
      <c r="L49" s="429"/>
    </row>
    <row r="50" spans="1:12" ht="14.25">
      <c r="A50" s="429"/>
      <c r="B50" s="447">
        <v>50000</v>
      </c>
      <c r="C50" s="438" t="s">
        <v>689</v>
      </c>
      <c r="D50" s="438"/>
      <c r="E50" s="438" t="s">
        <v>677</v>
      </c>
      <c r="F50" s="439">
        <f>H48</f>
        <v>312000</v>
      </c>
      <c r="G50" s="831" t="s">
        <v>690</v>
      </c>
      <c r="H50" s="832"/>
      <c r="I50" s="588" t="s">
        <v>676</v>
      </c>
      <c r="J50" s="448">
        <f>B50/F50</f>
        <v>0.16025641025641027</v>
      </c>
      <c r="K50" s="440"/>
      <c r="L50" s="429"/>
    </row>
    <row r="51" spans="1:15" ht="15" thickBot="1">
      <c r="A51" s="429"/>
      <c r="B51" s="441"/>
      <c r="C51" s="442"/>
      <c r="D51" s="442"/>
      <c r="E51" s="442"/>
      <c r="F51" s="442"/>
      <c r="G51" s="442"/>
      <c r="H51" s="442"/>
      <c r="I51" s="833" t="s">
        <v>691</v>
      </c>
      <c r="J51" s="833"/>
      <c r="K51" s="834"/>
      <c r="L51" s="429"/>
      <c r="O51" s="571"/>
    </row>
    <row r="52" spans="1:12" ht="40.5" customHeight="1">
      <c r="A52" s="429"/>
      <c r="B52" s="819" t="s">
        <v>668</v>
      </c>
      <c r="C52" s="819"/>
      <c r="D52" s="819"/>
      <c r="E52" s="819"/>
      <c r="F52" s="819"/>
      <c r="G52" s="819"/>
      <c r="H52" s="819"/>
      <c r="I52" s="819"/>
      <c r="J52" s="819"/>
      <c r="K52" s="819"/>
      <c r="L52" s="429"/>
    </row>
    <row r="53" spans="1:12" ht="14.25">
      <c r="A53" s="429"/>
      <c r="B53" s="823" t="s">
        <v>692</v>
      </c>
      <c r="C53" s="823"/>
      <c r="D53" s="823"/>
      <c r="E53" s="823"/>
      <c r="F53" s="823"/>
      <c r="G53" s="823"/>
      <c r="H53" s="823"/>
      <c r="I53" s="823"/>
      <c r="J53" s="823"/>
      <c r="K53" s="823"/>
      <c r="L53" s="429"/>
    </row>
    <row r="54" spans="1:12" ht="14.25">
      <c r="A54" s="429"/>
      <c r="B54" s="590"/>
      <c r="C54" s="590"/>
      <c r="D54" s="590"/>
      <c r="E54" s="590"/>
      <c r="F54" s="590"/>
      <c r="G54" s="590"/>
      <c r="H54" s="590"/>
      <c r="I54" s="590"/>
      <c r="J54" s="590"/>
      <c r="K54" s="590"/>
      <c r="L54" s="429"/>
    </row>
    <row r="55" spans="1:12" ht="14.25">
      <c r="A55" s="429"/>
      <c r="B55" s="824" t="s">
        <v>693</v>
      </c>
      <c r="C55" s="824"/>
      <c r="D55" s="824"/>
      <c r="E55" s="824"/>
      <c r="F55" s="824"/>
      <c r="G55" s="824"/>
      <c r="H55" s="824"/>
      <c r="I55" s="824"/>
      <c r="J55" s="824"/>
      <c r="K55" s="824"/>
      <c r="L55" s="429"/>
    </row>
    <row r="56" spans="1:12" ht="15" customHeight="1">
      <c r="A56" s="429"/>
      <c r="L56" s="429"/>
    </row>
    <row r="57" spans="1:24" ht="74.25" customHeight="1">
      <c r="A57" s="429"/>
      <c r="B57" s="816" t="s">
        <v>694</v>
      </c>
      <c r="C57" s="835"/>
      <c r="D57" s="835"/>
      <c r="E57" s="835"/>
      <c r="F57" s="835"/>
      <c r="G57" s="835"/>
      <c r="H57" s="835"/>
      <c r="I57" s="835"/>
      <c r="J57" s="835"/>
      <c r="K57" s="835"/>
      <c r="L57" s="429"/>
      <c r="M57" s="449"/>
      <c r="N57" s="450"/>
      <c r="O57" s="450"/>
      <c r="P57" s="450"/>
      <c r="Q57" s="450"/>
      <c r="R57" s="450"/>
      <c r="S57" s="450"/>
      <c r="T57" s="450"/>
      <c r="U57" s="450"/>
      <c r="V57" s="450"/>
      <c r="W57" s="450"/>
      <c r="X57" s="450"/>
    </row>
    <row r="58" spans="1:24" ht="15" customHeight="1">
      <c r="A58" s="429"/>
      <c r="B58" s="816"/>
      <c r="C58" s="835"/>
      <c r="D58" s="835"/>
      <c r="E58" s="835"/>
      <c r="F58" s="835"/>
      <c r="G58" s="835"/>
      <c r="H58" s="835"/>
      <c r="I58" s="835"/>
      <c r="J58" s="835"/>
      <c r="K58" s="835"/>
      <c r="L58" s="429"/>
      <c r="M58" s="449"/>
      <c r="N58" s="450"/>
      <c r="O58" s="450"/>
      <c r="P58" s="450"/>
      <c r="Q58" s="450"/>
      <c r="R58" s="450"/>
      <c r="S58" s="450"/>
      <c r="T58" s="450"/>
      <c r="U58" s="450"/>
      <c r="V58" s="450"/>
      <c r="W58" s="450"/>
      <c r="X58" s="450"/>
    </row>
    <row r="59" spans="1:24" ht="14.25">
      <c r="A59" s="429"/>
      <c r="B59" s="432" t="s">
        <v>683</v>
      </c>
      <c r="L59" s="429"/>
      <c r="M59" s="450"/>
      <c r="N59" s="450"/>
      <c r="O59" s="450"/>
      <c r="P59" s="450"/>
      <c r="Q59" s="450"/>
      <c r="R59" s="450"/>
      <c r="S59" s="450"/>
      <c r="T59" s="450"/>
      <c r="U59" s="450"/>
      <c r="V59" s="450"/>
      <c r="W59" s="450"/>
      <c r="X59" s="450"/>
    </row>
    <row r="60" spans="1:24" ht="14.25">
      <c r="A60" s="429"/>
      <c r="L60" s="429"/>
      <c r="M60" s="450"/>
      <c r="N60" s="450"/>
      <c r="O60" s="450"/>
      <c r="P60" s="450"/>
      <c r="Q60" s="450"/>
      <c r="R60" s="450"/>
      <c r="S60" s="450"/>
      <c r="T60" s="450"/>
      <c r="U60" s="450"/>
      <c r="V60" s="450"/>
      <c r="W60" s="450"/>
      <c r="X60" s="450"/>
    </row>
    <row r="61" spans="1:24" ht="14.25">
      <c r="A61" s="429"/>
      <c r="B61" s="430" t="s">
        <v>695</v>
      </c>
      <c r="L61" s="429"/>
      <c r="M61" s="450"/>
      <c r="N61" s="450"/>
      <c r="O61" s="450"/>
      <c r="P61" s="450"/>
      <c r="Q61" s="450"/>
      <c r="R61" s="450"/>
      <c r="S61" s="450"/>
      <c r="T61" s="450"/>
      <c r="U61" s="450"/>
      <c r="V61" s="450"/>
      <c r="W61" s="450"/>
      <c r="X61" s="450"/>
    </row>
    <row r="62" spans="1:24" ht="14.25">
      <c r="A62" s="429"/>
      <c r="B62" s="430" t="s">
        <v>853</v>
      </c>
      <c r="L62" s="429"/>
      <c r="M62" s="450"/>
      <c r="N62" s="450"/>
      <c r="O62" s="450"/>
      <c r="P62" s="450"/>
      <c r="Q62" s="450"/>
      <c r="R62" s="450"/>
      <c r="S62" s="450"/>
      <c r="T62" s="450"/>
      <c r="U62" s="450"/>
      <c r="V62" s="450"/>
      <c r="W62" s="450"/>
      <c r="X62" s="450"/>
    </row>
    <row r="63" spans="1:24" ht="14.25">
      <c r="A63" s="429"/>
      <c r="B63" s="430" t="s">
        <v>854</v>
      </c>
      <c r="L63" s="429"/>
      <c r="M63" s="450"/>
      <c r="N63" s="450"/>
      <c r="O63" s="450"/>
      <c r="P63" s="450"/>
      <c r="Q63" s="450"/>
      <c r="R63" s="450"/>
      <c r="S63" s="450"/>
      <c r="T63" s="450"/>
      <c r="U63" s="450"/>
      <c r="V63" s="450"/>
      <c r="W63" s="450"/>
      <c r="X63" s="450"/>
    </row>
    <row r="64" spans="1:24" ht="14.25">
      <c r="A64" s="429"/>
      <c r="L64" s="429"/>
      <c r="M64" s="450"/>
      <c r="N64" s="450"/>
      <c r="O64" s="450"/>
      <c r="P64" s="450"/>
      <c r="Q64" s="450"/>
      <c r="R64" s="450"/>
      <c r="S64" s="450"/>
      <c r="T64" s="450"/>
      <c r="U64" s="450"/>
      <c r="V64" s="450"/>
      <c r="W64" s="450"/>
      <c r="X64" s="450"/>
    </row>
    <row r="65" spans="1:24" ht="14.25">
      <c r="A65" s="429"/>
      <c r="B65" s="430" t="s">
        <v>696</v>
      </c>
      <c r="L65" s="429"/>
      <c r="M65" s="450"/>
      <c r="N65" s="450"/>
      <c r="O65" s="450"/>
      <c r="P65" s="450"/>
      <c r="Q65" s="450"/>
      <c r="R65" s="450"/>
      <c r="S65" s="450"/>
      <c r="T65" s="450"/>
      <c r="U65" s="450"/>
      <c r="V65" s="450"/>
      <c r="W65" s="450"/>
      <c r="X65" s="450"/>
    </row>
    <row r="66" spans="1:24" ht="14.25">
      <c r="A66" s="429"/>
      <c r="B66" s="430" t="s">
        <v>697</v>
      </c>
      <c r="L66" s="429"/>
      <c r="M66" s="450"/>
      <c r="N66" s="450"/>
      <c r="O66" s="450"/>
      <c r="P66" s="450"/>
      <c r="Q66" s="450"/>
      <c r="R66" s="450"/>
      <c r="S66" s="450"/>
      <c r="T66" s="450"/>
      <c r="U66" s="450"/>
      <c r="V66" s="450"/>
      <c r="W66" s="450"/>
      <c r="X66" s="450"/>
    </row>
    <row r="67" spans="1:24" ht="14.25">
      <c r="A67" s="429"/>
      <c r="L67" s="429"/>
      <c r="M67" s="450"/>
      <c r="N67" s="450"/>
      <c r="O67" s="450"/>
      <c r="P67" s="450"/>
      <c r="Q67" s="450"/>
      <c r="R67" s="450"/>
      <c r="S67" s="450"/>
      <c r="T67" s="450"/>
      <c r="U67" s="450"/>
      <c r="V67" s="450"/>
      <c r="W67" s="450"/>
      <c r="X67" s="450"/>
    </row>
    <row r="68" spans="1:24" ht="14.25">
      <c r="A68" s="429"/>
      <c r="B68" s="430" t="s">
        <v>698</v>
      </c>
      <c r="L68" s="429"/>
      <c r="M68" s="451"/>
      <c r="N68" s="452"/>
      <c r="O68" s="452"/>
      <c r="P68" s="452"/>
      <c r="Q68" s="452"/>
      <c r="R68" s="452"/>
      <c r="S68" s="452"/>
      <c r="T68" s="452"/>
      <c r="U68" s="452"/>
      <c r="V68" s="452"/>
      <c r="W68" s="452"/>
      <c r="X68" s="450"/>
    </row>
    <row r="69" spans="1:24" ht="14.25">
      <c r="A69" s="429"/>
      <c r="B69" s="430" t="s">
        <v>855</v>
      </c>
      <c r="L69" s="429"/>
      <c r="M69" s="450"/>
      <c r="N69" s="450"/>
      <c r="O69" s="450"/>
      <c r="P69" s="450"/>
      <c r="Q69" s="450"/>
      <c r="R69" s="450"/>
      <c r="S69" s="450"/>
      <c r="T69" s="450"/>
      <c r="U69" s="450"/>
      <c r="V69" s="450"/>
      <c r="W69" s="450"/>
      <c r="X69" s="450"/>
    </row>
    <row r="70" spans="1:24" ht="14.25">
      <c r="A70" s="429"/>
      <c r="B70" s="430" t="s">
        <v>856</v>
      </c>
      <c r="L70" s="429"/>
      <c r="M70" s="450"/>
      <c r="N70" s="450"/>
      <c r="O70" s="450"/>
      <c r="P70" s="450"/>
      <c r="Q70" s="450"/>
      <c r="R70" s="450"/>
      <c r="S70" s="450"/>
      <c r="T70" s="450"/>
      <c r="U70" s="450"/>
      <c r="V70" s="450"/>
      <c r="W70" s="450"/>
      <c r="X70" s="450"/>
    </row>
    <row r="71" spans="1:12" ht="15" thickBot="1">
      <c r="A71" s="429"/>
      <c r="B71" s="438"/>
      <c r="C71" s="438"/>
      <c r="D71" s="438"/>
      <c r="E71" s="438"/>
      <c r="F71" s="438"/>
      <c r="G71" s="438"/>
      <c r="H71" s="438"/>
      <c r="I71" s="438"/>
      <c r="J71" s="438"/>
      <c r="K71" s="438"/>
      <c r="L71" s="429"/>
    </row>
    <row r="72" spans="1:12" ht="14.25">
      <c r="A72" s="429"/>
      <c r="B72" s="434" t="s">
        <v>672</v>
      </c>
      <c r="C72" s="435"/>
      <c r="D72" s="435"/>
      <c r="E72" s="435"/>
      <c r="F72" s="435"/>
      <c r="G72" s="435"/>
      <c r="H72" s="435"/>
      <c r="I72" s="435"/>
      <c r="J72" s="435"/>
      <c r="K72" s="436"/>
      <c r="L72" s="453"/>
    </row>
    <row r="73" spans="1:12" ht="14.25">
      <c r="A73" s="429"/>
      <c r="B73" s="446"/>
      <c r="C73" s="438" t="s">
        <v>678</v>
      </c>
      <c r="D73" s="438"/>
      <c r="E73" s="438"/>
      <c r="F73" s="438"/>
      <c r="G73" s="438"/>
      <c r="H73" s="438"/>
      <c r="I73" s="438"/>
      <c r="J73" s="438"/>
      <c r="K73" s="440"/>
      <c r="L73" s="453"/>
    </row>
    <row r="74" spans="1:12" ht="14.25">
      <c r="A74" s="429"/>
      <c r="B74" s="446" t="s">
        <v>699</v>
      </c>
      <c r="C74" s="817">
        <v>312000000</v>
      </c>
      <c r="D74" s="817"/>
      <c r="E74" s="588" t="s">
        <v>677</v>
      </c>
      <c r="F74" s="588">
        <v>1000</v>
      </c>
      <c r="G74" s="588" t="s">
        <v>676</v>
      </c>
      <c r="H74" s="585">
        <f>C74/F74</f>
        <v>312000</v>
      </c>
      <c r="I74" s="438" t="s">
        <v>700</v>
      </c>
      <c r="J74" s="438"/>
      <c r="K74" s="440"/>
      <c r="L74" s="453"/>
    </row>
    <row r="75" spans="1:12" ht="14.25">
      <c r="A75" s="429"/>
      <c r="B75" s="446"/>
      <c r="C75" s="438"/>
      <c r="D75" s="438"/>
      <c r="E75" s="588"/>
      <c r="F75" s="438"/>
      <c r="G75" s="438"/>
      <c r="H75" s="438"/>
      <c r="I75" s="438"/>
      <c r="J75" s="438"/>
      <c r="K75" s="440"/>
      <c r="L75" s="453"/>
    </row>
    <row r="76" spans="1:12" ht="14.25">
      <c r="A76" s="429"/>
      <c r="B76" s="446"/>
      <c r="C76" s="438" t="s">
        <v>701</v>
      </c>
      <c r="D76" s="438"/>
      <c r="E76" s="588"/>
      <c r="F76" s="438" t="s">
        <v>700</v>
      </c>
      <c r="G76" s="438"/>
      <c r="H76" s="438"/>
      <c r="I76" s="438"/>
      <c r="J76" s="438"/>
      <c r="K76" s="440"/>
      <c r="L76" s="453"/>
    </row>
    <row r="77" spans="1:12" ht="14.25">
      <c r="A77" s="429"/>
      <c r="B77" s="446" t="s">
        <v>704</v>
      </c>
      <c r="C77" s="817">
        <v>50000</v>
      </c>
      <c r="D77" s="817"/>
      <c r="E77" s="588" t="s">
        <v>677</v>
      </c>
      <c r="F77" s="585">
        <f>H74</f>
        <v>312000</v>
      </c>
      <c r="G77" s="588" t="s">
        <v>676</v>
      </c>
      <c r="H77" s="448">
        <f>C77/F77</f>
        <v>0.16025641025641027</v>
      </c>
      <c r="I77" s="438" t="s">
        <v>702</v>
      </c>
      <c r="J77" s="438"/>
      <c r="K77" s="440"/>
      <c r="L77" s="453"/>
    </row>
    <row r="78" spans="1:12" ht="14.25">
      <c r="A78" s="429"/>
      <c r="B78" s="446"/>
      <c r="C78" s="438"/>
      <c r="D78" s="438"/>
      <c r="E78" s="588"/>
      <c r="F78" s="438"/>
      <c r="G78" s="438"/>
      <c r="H78" s="438"/>
      <c r="I78" s="438"/>
      <c r="J78" s="438"/>
      <c r="K78" s="440"/>
      <c r="L78" s="453"/>
    </row>
    <row r="79" spans="1:12" ht="14.25">
      <c r="A79" s="429"/>
      <c r="B79" s="454"/>
      <c r="C79" s="455" t="s">
        <v>703</v>
      </c>
      <c r="D79" s="455"/>
      <c r="E79" s="594"/>
      <c r="F79" s="455"/>
      <c r="G79" s="455"/>
      <c r="H79" s="455"/>
      <c r="I79" s="455"/>
      <c r="J79" s="455"/>
      <c r="K79" s="456"/>
      <c r="L79" s="453"/>
    </row>
    <row r="80" spans="1:12" ht="14.25">
      <c r="A80" s="429"/>
      <c r="B80" s="446" t="s">
        <v>766</v>
      </c>
      <c r="C80" s="817">
        <v>100000</v>
      </c>
      <c r="D80" s="817"/>
      <c r="E80" s="588" t="s">
        <v>94</v>
      </c>
      <c r="F80" s="588">
        <v>0.115</v>
      </c>
      <c r="G80" s="588" t="s">
        <v>676</v>
      </c>
      <c r="H80" s="585">
        <f>C80*F80</f>
        <v>11500</v>
      </c>
      <c r="I80" s="438" t="s">
        <v>705</v>
      </c>
      <c r="J80" s="438"/>
      <c r="K80" s="440"/>
      <c r="L80" s="453"/>
    </row>
    <row r="81" spans="1:12" ht="14.25">
      <c r="A81" s="429"/>
      <c r="B81" s="446"/>
      <c r="C81" s="438"/>
      <c r="D81" s="438"/>
      <c r="E81" s="588"/>
      <c r="F81" s="438"/>
      <c r="G81" s="438"/>
      <c r="H81" s="438"/>
      <c r="I81" s="438"/>
      <c r="J81" s="438"/>
      <c r="K81" s="440"/>
      <c r="L81" s="453"/>
    </row>
    <row r="82" spans="1:12" ht="14.25">
      <c r="A82" s="429"/>
      <c r="B82" s="454"/>
      <c r="C82" s="455" t="s">
        <v>706</v>
      </c>
      <c r="D82" s="455"/>
      <c r="E82" s="594"/>
      <c r="F82" s="455" t="s">
        <v>702</v>
      </c>
      <c r="G82" s="455"/>
      <c r="H82" s="455"/>
      <c r="I82" s="455"/>
      <c r="J82" s="455" t="s">
        <v>707</v>
      </c>
      <c r="K82" s="456"/>
      <c r="L82" s="453"/>
    </row>
    <row r="83" spans="1:12" ht="14.25">
      <c r="A83" s="429"/>
      <c r="B83" s="446" t="s">
        <v>767</v>
      </c>
      <c r="C83" s="818">
        <f>H80</f>
        <v>11500</v>
      </c>
      <c r="D83" s="818"/>
      <c r="E83" s="588" t="s">
        <v>94</v>
      </c>
      <c r="F83" s="448">
        <f>H77</f>
        <v>0.16025641025641027</v>
      </c>
      <c r="G83" s="588" t="s">
        <v>677</v>
      </c>
      <c r="H83" s="588">
        <v>1000</v>
      </c>
      <c r="I83" s="588" t="s">
        <v>676</v>
      </c>
      <c r="J83" s="586">
        <f>C83*F83/H83</f>
        <v>1.842948717948718</v>
      </c>
      <c r="K83" s="440"/>
      <c r="L83" s="453"/>
    </row>
    <row r="84" spans="1:12" ht="15" thickBot="1">
      <c r="A84" s="429"/>
      <c r="B84" s="441"/>
      <c r="C84" s="457"/>
      <c r="D84" s="457"/>
      <c r="E84" s="458"/>
      <c r="F84" s="459"/>
      <c r="G84" s="458"/>
      <c r="H84" s="458"/>
      <c r="I84" s="458"/>
      <c r="J84" s="460"/>
      <c r="K84" s="443"/>
      <c r="L84" s="453"/>
    </row>
    <row r="85" spans="1:12" ht="40.5" customHeight="1">
      <c r="A85" s="429"/>
      <c r="B85" s="819" t="s">
        <v>668</v>
      </c>
      <c r="C85" s="819"/>
      <c r="D85" s="819"/>
      <c r="E85" s="819"/>
      <c r="F85" s="819"/>
      <c r="G85" s="819"/>
      <c r="H85" s="819"/>
      <c r="I85" s="819"/>
      <c r="J85" s="819"/>
      <c r="K85" s="819"/>
      <c r="L85" s="429"/>
    </row>
    <row r="86" spans="1:12" ht="14.25">
      <c r="A86" s="429"/>
      <c r="B86" s="824" t="s">
        <v>708</v>
      </c>
      <c r="C86" s="824"/>
      <c r="D86" s="824"/>
      <c r="E86" s="824"/>
      <c r="F86" s="824"/>
      <c r="G86" s="824"/>
      <c r="H86" s="824"/>
      <c r="I86" s="824"/>
      <c r="J86" s="824"/>
      <c r="K86" s="824"/>
      <c r="L86" s="429"/>
    </row>
    <row r="87" spans="1:12" ht="14.25">
      <c r="A87" s="429"/>
      <c r="B87" s="461"/>
      <c r="C87" s="461"/>
      <c r="D87" s="461"/>
      <c r="E87" s="461"/>
      <c r="F87" s="461"/>
      <c r="G87" s="461"/>
      <c r="H87" s="461"/>
      <c r="I87" s="461"/>
      <c r="J87" s="461"/>
      <c r="K87" s="461"/>
      <c r="L87" s="429"/>
    </row>
    <row r="88" spans="1:12" ht="14.25">
      <c r="A88" s="429"/>
      <c r="B88" s="824" t="s">
        <v>709</v>
      </c>
      <c r="C88" s="824"/>
      <c r="D88" s="824"/>
      <c r="E88" s="824"/>
      <c r="F88" s="824"/>
      <c r="G88" s="824"/>
      <c r="H88" s="824"/>
      <c r="I88" s="824"/>
      <c r="J88" s="824"/>
      <c r="K88" s="824"/>
      <c r="L88" s="429"/>
    </row>
    <row r="89" spans="1:12" ht="14.25">
      <c r="A89" s="429"/>
      <c r="B89" s="587"/>
      <c r="C89" s="587"/>
      <c r="D89" s="587"/>
      <c r="E89" s="587"/>
      <c r="F89" s="587"/>
      <c r="G89" s="587"/>
      <c r="H89" s="587"/>
      <c r="I89" s="587"/>
      <c r="J89" s="587"/>
      <c r="K89" s="587"/>
      <c r="L89" s="429"/>
    </row>
    <row r="90" spans="1:12" ht="45" customHeight="1">
      <c r="A90" s="429"/>
      <c r="B90" s="816" t="s">
        <v>710</v>
      </c>
      <c r="C90" s="816"/>
      <c r="D90" s="816"/>
      <c r="E90" s="816"/>
      <c r="F90" s="816"/>
      <c r="G90" s="816"/>
      <c r="H90" s="816"/>
      <c r="I90" s="816"/>
      <c r="J90" s="816"/>
      <c r="K90" s="816"/>
      <c r="L90" s="429"/>
    </row>
    <row r="91" spans="1:12" ht="15" customHeight="1" thickBot="1">
      <c r="A91" s="429"/>
      <c r="L91" s="429"/>
    </row>
    <row r="92" spans="1:12" ht="15" customHeight="1">
      <c r="A92" s="429"/>
      <c r="B92" s="462" t="s">
        <v>672</v>
      </c>
      <c r="C92" s="463"/>
      <c r="D92" s="463"/>
      <c r="E92" s="463"/>
      <c r="F92" s="463"/>
      <c r="G92" s="463"/>
      <c r="H92" s="463"/>
      <c r="I92" s="463"/>
      <c r="J92" s="463"/>
      <c r="K92" s="464"/>
      <c r="L92" s="429"/>
    </row>
    <row r="93" spans="1:12" ht="15" customHeight="1">
      <c r="A93" s="429"/>
      <c r="B93" s="465"/>
      <c r="C93" s="592" t="s">
        <v>678</v>
      </c>
      <c r="D93" s="592"/>
      <c r="E93" s="592"/>
      <c r="F93" s="592"/>
      <c r="G93" s="592"/>
      <c r="H93" s="592"/>
      <c r="I93" s="592"/>
      <c r="J93" s="592"/>
      <c r="K93" s="466"/>
      <c r="L93" s="429"/>
    </row>
    <row r="94" spans="1:12" ht="15" customHeight="1">
      <c r="A94" s="429"/>
      <c r="B94" s="465" t="s">
        <v>699</v>
      </c>
      <c r="C94" s="817">
        <v>312000000</v>
      </c>
      <c r="D94" s="817"/>
      <c r="E94" s="588" t="s">
        <v>677</v>
      </c>
      <c r="F94" s="588">
        <v>1000</v>
      </c>
      <c r="G94" s="588" t="s">
        <v>676</v>
      </c>
      <c r="H94" s="585">
        <f>C94/F94</f>
        <v>312000</v>
      </c>
      <c r="I94" s="592" t="s">
        <v>700</v>
      </c>
      <c r="J94" s="592"/>
      <c r="K94" s="466"/>
      <c r="L94" s="429"/>
    </row>
    <row r="95" spans="1:12" ht="15" customHeight="1">
      <c r="A95" s="429"/>
      <c r="B95" s="465"/>
      <c r="C95" s="592"/>
      <c r="D95" s="592"/>
      <c r="E95" s="588"/>
      <c r="F95" s="592"/>
      <c r="G95" s="592"/>
      <c r="H95" s="592"/>
      <c r="I95" s="592"/>
      <c r="J95" s="592"/>
      <c r="K95" s="466"/>
      <c r="L95" s="429"/>
    </row>
    <row r="96" spans="1:12" ht="15" customHeight="1">
      <c r="A96" s="429"/>
      <c r="B96" s="465"/>
      <c r="C96" s="592" t="s">
        <v>701</v>
      </c>
      <c r="D96" s="592"/>
      <c r="E96" s="588"/>
      <c r="F96" s="592" t="s">
        <v>700</v>
      </c>
      <c r="G96" s="592"/>
      <c r="H96" s="592"/>
      <c r="I96" s="592"/>
      <c r="J96" s="592"/>
      <c r="K96" s="466"/>
      <c r="L96" s="429"/>
    </row>
    <row r="97" spans="1:12" ht="15" customHeight="1">
      <c r="A97" s="429"/>
      <c r="B97" s="465" t="s">
        <v>704</v>
      </c>
      <c r="C97" s="817">
        <v>50000</v>
      </c>
      <c r="D97" s="817"/>
      <c r="E97" s="588" t="s">
        <v>677</v>
      </c>
      <c r="F97" s="585">
        <f>H94</f>
        <v>312000</v>
      </c>
      <c r="G97" s="588" t="s">
        <v>676</v>
      </c>
      <c r="H97" s="448">
        <f>C97/F97</f>
        <v>0.16025641025641027</v>
      </c>
      <c r="I97" s="592" t="s">
        <v>702</v>
      </c>
      <c r="J97" s="592"/>
      <c r="K97" s="466"/>
      <c r="L97" s="429"/>
    </row>
    <row r="98" spans="1:12" ht="15" customHeight="1">
      <c r="A98" s="429"/>
      <c r="B98" s="465"/>
      <c r="C98" s="592"/>
      <c r="D98" s="592"/>
      <c r="E98" s="588"/>
      <c r="F98" s="592"/>
      <c r="G98" s="592"/>
      <c r="H98" s="592"/>
      <c r="I98" s="592"/>
      <c r="J98" s="592"/>
      <c r="K98" s="466"/>
      <c r="L98" s="429"/>
    </row>
    <row r="99" spans="1:12" ht="15" customHeight="1">
      <c r="A99" s="429"/>
      <c r="B99" s="467"/>
      <c r="C99" s="468" t="s">
        <v>711</v>
      </c>
      <c r="D99" s="468"/>
      <c r="E99" s="594"/>
      <c r="F99" s="468"/>
      <c r="G99" s="468"/>
      <c r="H99" s="468"/>
      <c r="I99" s="468"/>
      <c r="J99" s="468"/>
      <c r="K99" s="469"/>
      <c r="L99" s="429"/>
    </row>
    <row r="100" spans="1:12" ht="15" customHeight="1">
      <c r="A100" s="429"/>
      <c r="B100" s="465" t="s">
        <v>766</v>
      </c>
      <c r="C100" s="817">
        <v>2500000</v>
      </c>
      <c r="D100" s="817"/>
      <c r="E100" s="588" t="s">
        <v>94</v>
      </c>
      <c r="F100" s="470">
        <v>0.3</v>
      </c>
      <c r="G100" s="588" t="s">
        <v>676</v>
      </c>
      <c r="H100" s="585">
        <f>C100*F100</f>
        <v>750000</v>
      </c>
      <c r="I100" s="592" t="s">
        <v>705</v>
      </c>
      <c r="J100" s="592"/>
      <c r="K100" s="466"/>
      <c r="L100" s="429"/>
    </row>
    <row r="101" spans="1:12" ht="15" customHeight="1">
      <c r="A101" s="429"/>
      <c r="B101" s="465"/>
      <c r="C101" s="592"/>
      <c r="D101" s="592"/>
      <c r="E101" s="588"/>
      <c r="F101" s="592"/>
      <c r="G101" s="592"/>
      <c r="H101" s="592"/>
      <c r="I101" s="592"/>
      <c r="J101" s="592"/>
      <c r="K101" s="466"/>
      <c r="L101" s="429"/>
    </row>
    <row r="102" spans="1:12" ht="15" customHeight="1">
      <c r="A102" s="429"/>
      <c r="B102" s="467"/>
      <c r="C102" s="468" t="s">
        <v>706</v>
      </c>
      <c r="D102" s="468"/>
      <c r="E102" s="594"/>
      <c r="F102" s="468" t="s">
        <v>702</v>
      </c>
      <c r="G102" s="468"/>
      <c r="H102" s="468"/>
      <c r="I102" s="468"/>
      <c r="J102" s="468" t="s">
        <v>707</v>
      </c>
      <c r="K102" s="469"/>
      <c r="L102" s="429"/>
    </row>
    <row r="103" spans="1:12" ht="15" customHeight="1">
      <c r="A103" s="429"/>
      <c r="B103" s="465" t="s">
        <v>767</v>
      </c>
      <c r="C103" s="818">
        <f>H100</f>
        <v>750000</v>
      </c>
      <c r="D103" s="818"/>
      <c r="E103" s="588" t="s">
        <v>94</v>
      </c>
      <c r="F103" s="448">
        <f>H97</f>
        <v>0.16025641025641027</v>
      </c>
      <c r="G103" s="588" t="s">
        <v>677</v>
      </c>
      <c r="H103" s="588">
        <v>1000</v>
      </c>
      <c r="I103" s="588" t="s">
        <v>676</v>
      </c>
      <c r="J103" s="586">
        <f>C103*F103/H103</f>
        <v>120.19230769230771</v>
      </c>
      <c r="K103" s="466"/>
      <c r="L103" s="429"/>
    </row>
    <row r="104" spans="1:12" ht="15" customHeight="1" thickBot="1">
      <c r="A104" s="429"/>
      <c r="B104" s="471"/>
      <c r="C104" s="457"/>
      <c r="D104" s="457"/>
      <c r="E104" s="458"/>
      <c r="F104" s="459"/>
      <c r="G104" s="458"/>
      <c r="H104" s="458"/>
      <c r="I104" s="458"/>
      <c r="J104" s="460"/>
      <c r="K104" s="593"/>
      <c r="L104" s="429"/>
    </row>
    <row r="105" spans="1:12" ht="40.5" customHeight="1">
      <c r="A105" s="429"/>
      <c r="B105" s="819" t="s">
        <v>668</v>
      </c>
      <c r="C105" s="820"/>
      <c r="D105" s="820"/>
      <c r="E105" s="820"/>
      <c r="F105" s="820"/>
      <c r="G105" s="820"/>
      <c r="H105" s="820"/>
      <c r="I105" s="820"/>
      <c r="J105" s="820"/>
      <c r="K105" s="820"/>
      <c r="L105" s="429"/>
    </row>
    <row r="106" spans="1:12" ht="15" customHeight="1">
      <c r="A106" s="429"/>
      <c r="B106" s="836" t="s">
        <v>712</v>
      </c>
      <c r="C106" s="825"/>
      <c r="D106" s="825"/>
      <c r="E106" s="825"/>
      <c r="F106" s="825"/>
      <c r="G106" s="825"/>
      <c r="H106" s="825"/>
      <c r="I106" s="825"/>
      <c r="J106" s="825"/>
      <c r="K106" s="825"/>
      <c r="L106" s="429"/>
    </row>
    <row r="107" spans="1:12" ht="15" customHeight="1">
      <c r="A107" s="429"/>
      <c r="B107" s="592"/>
      <c r="C107" s="472"/>
      <c r="D107" s="472"/>
      <c r="E107" s="588"/>
      <c r="F107" s="448"/>
      <c r="G107" s="588"/>
      <c r="H107" s="588"/>
      <c r="I107" s="588"/>
      <c r="J107" s="586"/>
      <c r="K107" s="592"/>
      <c r="L107" s="429"/>
    </row>
    <row r="108" spans="1:12" ht="15" customHeight="1">
      <c r="A108" s="429"/>
      <c r="B108" s="836" t="s">
        <v>713</v>
      </c>
      <c r="C108" s="837"/>
      <c r="D108" s="837"/>
      <c r="E108" s="837"/>
      <c r="F108" s="837"/>
      <c r="G108" s="837"/>
      <c r="H108" s="837"/>
      <c r="I108" s="837"/>
      <c r="J108" s="837"/>
      <c r="K108" s="837"/>
      <c r="L108" s="429"/>
    </row>
    <row r="109" spans="1:12" ht="15" customHeight="1">
      <c r="A109" s="429"/>
      <c r="B109" s="592"/>
      <c r="C109" s="472"/>
      <c r="D109" s="472"/>
      <c r="E109" s="588"/>
      <c r="F109" s="448"/>
      <c r="G109" s="588"/>
      <c r="H109" s="588"/>
      <c r="I109" s="588"/>
      <c r="J109" s="586"/>
      <c r="K109" s="592"/>
      <c r="L109" s="429"/>
    </row>
    <row r="110" spans="1:12" ht="59.25" customHeight="1">
      <c r="A110" s="429"/>
      <c r="B110" s="838" t="s">
        <v>714</v>
      </c>
      <c r="C110" s="835"/>
      <c r="D110" s="835"/>
      <c r="E110" s="835"/>
      <c r="F110" s="835"/>
      <c r="G110" s="835"/>
      <c r="H110" s="835"/>
      <c r="I110" s="835"/>
      <c r="J110" s="835"/>
      <c r="K110" s="835"/>
      <c r="L110" s="429"/>
    </row>
    <row r="111" spans="1:12" ht="15" thickBot="1">
      <c r="A111" s="429"/>
      <c r="B111" s="590"/>
      <c r="C111" s="590"/>
      <c r="D111" s="590"/>
      <c r="E111" s="590"/>
      <c r="F111" s="590"/>
      <c r="G111" s="590"/>
      <c r="H111" s="590"/>
      <c r="I111" s="590"/>
      <c r="J111" s="590"/>
      <c r="K111" s="590"/>
      <c r="L111" s="473"/>
    </row>
    <row r="112" spans="1:12" ht="14.25">
      <c r="A112" s="429"/>
      <c r="B112" s="434" t="s">
        <v>672</v>
      </c>
      <c r="C112" s="435"/>
      <c r="D112" s="435"/>
      <c r="E112" s="435"/>
      <c r="F112" s="435"/>
      <c r="G112" s="435"/>
      <c r="H112" s="435"/>
      <c r="I112" s="435"/>
      <c r="J112" s="435"/>
      <c r="K112" s="436"/>
      <c r="L112" s="429"/>
    </row>
    <row r="113" spans="1:12" ht="14.25">
      <c r="A113" s="429"/>
      <c r="B113" s="446"/>
      <c r="C113" s="438" t="s">
        <v>678</v>
      </c>
      <c r="D113" s="438"/>
      <c r="E113" s="438"/>
      <c r="F113" s="438"/>
      <c r="G113" s="438"/>
      <c r="H113" s="438"/>
      <c r="I113" s="438"/>
      <c r="J113" s="438"/>
      <c r="K113" s="440"/>
      <c r="L113" s="429"/>
    </row>
    <row r="114" spans="1:12" ht="14.25">
      <c r="A114" s="429"/>
      <c r="B114" s="446" t="s">
        <v>699</v>
      </c>
      <c r="C114" s="817">
        <v>312000000</v>
      </c>
      <c r="D114" s="817"/>
      <c r="E114" s="588" t="s">
        <v>677</v>
      </c>
      <c r="F114" s="588">
        <v>1000</v>
      </c>
      <c r="G114" s="588" t="s">
        <v>676</v>
      </c>
      <c r="H114" s="585">
        <f>C114/F114</f>
        <v>312000</v>
      </c>
      <c r="I114" s="438" t="s">
        <v>700</v>
      </c>
      <c r="J114" s="438"/>
      <c r="K114" s="440"/>
      <c r="L114" s="429"/>
    </row>
    <row r="115" spans="1:12" ht="14.25">
      <c r="A115" s="429"/>
      <c r="B115" s="446"/>
      <c r="C115" s="438"/>
      <c r="D115" s="438"/>
      <c r="E115" s="588"/>
      <c r="F115" s="438"/>
      <c r="G115" s="438"/>
      <c r="H115" s="438"/>
      <c r="I115" s="438"/>
      <c r="J115" s="438"/>
      <c r="K115" s="440"/>
      <c r="L115" s="429"/>
    </row>
    <row r="116" spans="1:12" ht="14.25">
      <c r="A116" s="429"/>
      <c r="B116" s="446"/>
      <c r="C116" s="438" t="s">
        <v>701</v>
      </c>
      <c r="D116" s="438"/>
      <c r="E116" s="588"/>
      <c r="F116" s="438" t="s">
        <v>700</v>
      </c>
      <c r="G116" s="438"/>
      <c r="H116" s="438"/>
      <c r="I116" s="438"/>
      <c r="J116" s="438"/>
      <c r="K116" s="440"/>
      <c r="L116" s="429"/>
    </row>
    <row r="117" spans="1:12" ht="14.25">
      <c r="A117" s="429"/>
      <c r="B117" s="446" t="s">
        <v>704</v>
      </c>
      <c r="C117" s="817">
        <v>50000</v>
      </c>
      <c r="D117" s="817"/>
      <c r="E117" s="588" t="s">
        <v>677</v>
      </c>
      <c r="F117" s="585">
        <f>H114</f>
        <v>312000</v>
      </c>
      <c r="G117" s="588" t="s">
        <v>676</v>
      </c>
      <c r="H117" s="448">
        <f>C117/F117</f>
        <v>0.16025641025641027</v>
      </c>
      <c r="I117" s="438" t="s">
        <v>702</v>
      </c>
      <c r="J117" s="438"/>
      <c r="K117" s="440"/>
      <c r="L117" s="429"/>
    </row>
    <row r="118" spans="1:12" ht="14.25">
      <c r="A118" s="429"/>
      <c r="B118" s="446"/>
      <c r="C118" s="438"/>
      <c r="D118" s="438"/>
      <c r="E118" s="588"/>
      <c r="F118" s="438"/>
      <c r="G118" s="438"/>
      <c r="H118" s="438"/>
      <c r="I118" s="438"/>
      <c r="J118" s="438"/>
      <c r="K118" s="440"/>
      <c r="L118" s="429"/>
    </row>
    <row r="119" spans="1:12" ht="14.25">
      <c r="A119" s="429"/>
      <c r="B119" s="454"/>
      <c r="C119" s="455" t="s">
        <v>711</v>
      </c>
      <c r="D119" s="455"/>
      <c r="E119" s="594"/>
      <c r="F119" s="455"/>
      <c r="G119" s="455"/>
      <c r="H119" s="455"/>
      <c r="I119" s="455"/>
      <c r="J119" s="455"/>
      <c r="K119" s="456"/>
      <c r="L119" s="429"/>
    </row>
    <row r="120" spans="1:12" ht="14.25">
      <c r="A120" s="429"/>
      <c r="B120" s="446" t="s">
        <v>766</v>
      </c>
      <c r="C120" s="817">
        <v>2500000</v>
      </c>
      <c r="D120" s="817"/>
      <c r="E120" s="588" t="s">
        <v>94</v>
      </c>
      <c r="F120" s="470">
        <v>0.25</v>
      </c>
      <c r="G120" s="588" t="s">
        <v>676</v>
      </c>
      <c r="H120" s="585">
        <f>C120*F120</f>
        <v>625000</v>
      </c>
      <c r="I120" s="438" t="s">
        <v>705</v>
      </c>
      <c r="J120" s="438"/>
      <c r="K120" s="440"/>
      <c r="L120" s="429"/>
    </row>
    <row r="121" spans="1:12" ht="14.25">
      <c r="A121" s="429"/>
      <c r="B121" s="446"/>
      <c r="C121" s="438"/>
      <c r="D121" s="438"/>
      <c r="E121" s="588"/>
      <c r="F121" s="438"/>
      <c r="G121" s="438"/>
      <c r="H121" s="438"/>
      <c r="I121" s="438"/>
      <c r="J121" s="438"/>
      <c r="K121" s="440"/>
      <c r="L121" s="429"/>
    </row>
    <row r="122" spans="1:12" ht="14.25">
      <c r="A122" s="429"/>
      <c r="B122" s="454"/>
      <c r="C122" s="455" t="s">
        <v>706</v>
      </c>
      <c r="D122" s="455"/>
      <c r="E122" s="594"/>
      <c r="F122" s="455" t="s">
        <v>702</v>
      </c>
      <c r="G122" s="455"/>
      <c r="H122" s="455"/>
      <c r="I122" s="455"/>
      <c r="J122" s="455" t="s">
        <v>707</v>
      </c>
      <c r="K122" s="456"/>
      <c r="L122" s="429"/>
    </row>
    <row r="123" spans="1:12" ht="14.25">
      <c r="A123" s="429"/>
      <c r="B123" s="446" t="s">
        <v>767</v>
      </c>
      <c r="C123" s="818">
        <f>H120</f>
        <v>625000</v>
      </c>
      <c r="D123" s="818"/>
      <c r="E123" s="588" t="s">
        <v>94</v>
      </c>
      <c r="F123" s="448">
        <f>H117</f>
        <v>0.16025641025641027</v>
      </c>
      <c r="G123" s="588" t="s">
        <v>677</v>
      </c>
      <c r="H123" s="588">
        <v>1000</v>
      </c>
      <c r="I123" s="588" t="s">
        <v>676</v>
      </c>
      <c r="J123" s="586">
        <f>C123*F123/H123</f>
        <v>100.16025641025642</v>
      </c>
      <c r="K123" s="440"/>
      <c r="L123" s="429"/>
    </row>
    <row r="124" spans="1:12" ht="15" thickBot="1">
      <c r="A124" s="429"/>
      <c r="B124" s="441"/>
      <c r="C124" s="457"/>
      <c r="D124" s="457"/>
      <c r="E124" s="458"/>
      <c r="F124" s="459"/>
      <c r="G124" s="458"/>
      <c r="H124" s="458"/>
      <c r="I124" s="458"/>
      <c r="J124" s="460"/>
      <c r="K124" s="443"/>
      <c r="L124" s="429"/>
    </row>
    <row r="125" spans="1:12" ht="40.5" customHeight="1">
      <c r="A125" s="429"/>
      <c r="B125" s="819" t="s">
        <v>668</v>
      </c>
      <c r="C125" s="819"/>
      <c r="D125" s="819"/>
      <c r="E125" s="819"/>
      <c r="F125" s="819"/>
      <c r="G125" s="819"/>
      <c r="H125" s="819"/>
      <c r="I125" s="819"/>
      <c r="J125" s="819"/>
      <c r="K125" s="819"/>
      <c r="L125" s="473"/>
    </row>
    <row r="126" spans="1:12" ht="14.25">
      <c r="A126" s="429"/>
      <c r="B126" s="824" t="s">
        <v>715</v>
      </c>
      <c r="C126" s="824"/>
      <c r="D126" s="824"/>
      <c r="E126" s="824"/>
      <c r="F126" s="824"/>
      <c r="G126" s="824"/>
      <c r="H126" s="824"/>
      <c r="I126" s="824"/>
      <c r="J126" s="824"/>
      <c r="K126" s="824"/>
      <c r="L126" s="473"/>
    </row>
    <row r="127" spans="1:12" ht="14.25">
      <c r="A127" s="429"/>
      <c r="B127" s="590"/>
      <c r="C127" s="590"/>
      <c r="D127" s="590"/>
      <c r="E127" s="590"/>
      <c r="F127" s="590"/>
      <c r="G127" s="590"/>
      <c r="H127" s="590"/>
      <c r="I127" s="590"/>
      <c r="J127" s="590"/>
      <c r="K127" s="590"/>
      <c r="L127" s="473"/>
    </row>
    <row r="128" spans="1:12" ht="14.25">
      <c r="A128" s="429"/>
      <c r="B128" s="824" t="s">
        <v>716</v>
      </c>
      <c r="C128" s="824"/>
      <c r="D128" s="824"/>
      <c r="E128" s="824"/>
      <c r="F128" s="824"/>
      <c r="G128" s="824"/>
      <c r="H128" s="824"/>
      <c r="I128" s="824"/>
      <c r="J128" s="824"/>
      <c r="K128" s="824"/>
      <c r="L128" s="473"/>
    </row>
    <row r="129" spans="1:12" ht="14.25">
      <c r="A129" s="429"/>
      <c r="B129" s="587"/>
      <c r="C129" s="587"/>
      <c r="D129" s="587"/>
      <c r="E129" s="587"/>
      <c r="F129" s="587"/>
      <c r="G129" s="587"/>
      <c r="H129" s="587"/>
      <c r="I129" s="587"/>
      <c r="J129" s="587"/>
      <c r="K129" s="587"/>
      <c r="L129" s="473"/>
    </row>
    <row r="130" spans="1:12" ht="74.25" customHeight="1">
      <c r="A130" s="429"/>
      <c r="B130" s="816" t="s">
        <v>768</v>
      </c>
      <c r="C130" s="816"/>
      <c r="D130" s="816"/>
      <c r="E130" s="816"/>
      <c r="F130" s="816"/>
      <c r="G130" s="816"/>
      <c r="H130" s="816"/>
      <c r="I130" s="816"/>
      <c r="J130" s="816"/>
      <c r="K130" s="816"/>
      <c r="L130" s="473"/>
    </row>
    <row r="131" spans="1:12" ht="15" thickBot="1">
      <c r="A131" s="429"/>
      <c r="L131" s="429"/>
    </row>
    <row r="132" spans="1:12" ht="14.25">
      <c r="A132" s="429"/>
      <c r="B132" s="434" t="s">
        <v>672</v>
      </c>
      <c r="C132" s="435"/>
      <c r="D132" s="435"/>
      <c r="E132" s="435"/>
      <c r="F132" s="435"/>
      <c r="G132" s="435"/>
      <c r="H132" s="435"/>
      <c r="I132" s="435"/>
      <c r="J132" s="435"/>
      <c r="K132" s="436"/>
      <c r="L132" s="429"/>
    </row>
    <row r="133" spans="1:12" ht="14.25">
      <c r="A133" s="429"/>
      <c r="B133" s="446"/>
      <c r="C133" s="843" t="s">
        <v>717</v>
      </c>
      <c r="D133" s="843"/>
      <c r="E133" s="438"/>
      <c r="F133" s="588" t="s">
        <v>718</v>
      </c>
      <c r="G133" s="438"/>
      <c r="H133" s="843" t="s">
        <v>705</v>
      </c>
      <c r="I133" s="843"/>
      <c r="J133" s="438"/>
      <c r="K133" s="440"/>
      <c r="L133" s="429"/>
    </row>
    <row r="134" spans="1:12" ht="14.25">
      <c r="A134" s="429"/>
      <c r="B134" s="446" t="s">
        <v>699</v>
      </c>
      <c r="C134" s="817">
        <v>100000</v>
      </c>
      <c r="D134" s="817"/>
      <c r="E134" s="588" t="s">
        <v>94</v>
      </c>
      <c r="F134" s="588">
        <v>0.115</v>
      </c>
      <c r="G134" s="588" t="s">
        <v>676</v>
      </c>
      <c r="H134" s="821">
        <f>C134*F134</f>
        <v>11500</v>
      </c>
      <c r="I134" s="821"/>
      <c r="J134" s="438"/>
      <c r="K134" s="440"/>
      <c r="L134" s="429"/>
    </row>
    <row r="135" spans="1:12" ht="14.25">
      <c r="A135" s="429"/>
      <c r="B135" s="446"/>
      <c r="C135" s="438"/>
      <c r="D135" s="438"/>
      <c r="E135" s="438"/>
      <c r="F135" s="438"/>
      <c r="G135" s="438"/>
      <c r="H135" s="438"/>
      <c r="I135" s="438"/>
      <c r="J135" s="438"/>
      <c r="K135" s="440"/>
      <c r="L135" s="429"/>
    </row>
    <row r="136" spans="1:12" ht="14.25">
      <c r="A136" s="429"/>
      <c r="B136" s="454"/>
      <c r="C136" s="822" t="s">
        <v>705</v>
      </c>
      <c r="D136" s="822"/>
      <c r="E136" s="455"/>
      <c r="F136" s="594" t="s">
        <v>719</v>
      </c>
      <c r="G136" s="594"/>
      <c r="H136" s="455"/>
      <c r="I136" s="455"/>
      <c r="J136" s="455" t="s">
        <v>720</v>
      </c>
      <c r="K136" s="456"/>
      <c r="L136" s="429"/>
    </row>
    <row r="137" spans="1:12" ht="14.25">
      <c r="A137" s="429"/>
      <c r="B137" s="446" t="s">
        <v>704</v>
      </c>
      <c r="C137" s="821">
        <f>H134</f>
        <v>11500</v>
      </c>
      <c r="D137" s="821"/>
      <c r="E137" s="588" t="s">
        <v>94</v>
      </c>
      <c r="F137" s="474">
        <v>52.869</v>
      </c>
      <c r="G137" s="588" t="s">
        <v>677</v>
      </c>
      <c r="H137" s="588">
        <v>1000</v>
      </c>
      <c r="I137" s="588" t="s">
        <v>676</v>
      </c>
      <c r="J137" s="475">
        <f>C137*F137/H137</f>
        <v>607.9935</v>
      </c>
      <c r="K137" s="440"/>
      <c r="L137" s="429"/>
    </row>
    <row r="138" spans="1:12" ht="15" thickBot="1">
      <c r="A138" s="429"/>
      <c r="B138" s="441"/>
      <c r="C138" s="572"/>
      <c r="D138" s="572"/>
      <c r="E138" s="458"/>
      <c r="F138" s="573"/>
      <c r="G138" s="458"/>
      <c r="H138" s="458"/>
      <c r="I138" s="458"/>
      <c r="J138" s="574"/>
      <c r="K138" s="443"/>
      <c r="L138" s="429"/>
    </row>
    <row r="139" spans="1:12" ht="40.5" customHeight="1">
      <c r="A139" s="429"/>
      <c r="B139" s="559" t="s">
        <v>668</v>
      </c>
      <c r="C139" s="560"/>
      <c r="D139" s="560"/>
      <c r="E139" s="561"/>
      <c r="F139" s="562"/>
      <c r="G139" s="561"/>
      <c r="H139" s="561"/>
      <c r="I139" s="561"/>
      <c r="J139" s="563"/>
      <c r="K139" s="564"/>
      <c r="L139" s="429"/>
    </row>
    <row r="140" spans="1:12" ht="14.25">
      <c r="A140" s="429"/>
      <c r="B140" s="565" t="s">
        <v>769</v>
      </c>
      <c r="C140" s="566"/>
      <c r="D140" s="566"/>
      <c r="E140" s="567"/>
      <c r="F140" s="568"/>
      <c r="G140" s="567"/>
      <c r="H140" s="567"/>
      <c r="I140" s="567"/>
      <c r="J140" s="569"/>
      <c r="K140" s="570"/>
      <c r="L140" s="429"/>
    </row>
    <row r="141" spans="1:12" ht="14.25">
      <c r="A141" s="429"/>
      <c r="B141" s="446"/>
      <c r="C141" s="585"/>
      <c r="D141" s="585"/>
      <c r="E141" s="588"/>
      <c r="F141" s="575"/>
      <c r="G141" s="588"/>
      <c r="H141" s="588"/>
      <c r="I141" s="588"/>
      <c r="J141" s="475"/>
      <c r="K141" s="440"/>
      <c r="L141" s="429"/>
    </row>
    <row r="142" spans="1:12" ht="14.25">
      <c r="A142" s="429"/>
      <c r="B142" s="565" t="s">
        <v>770</v>
      </c>
      <c r="C142" s="566"/>
      <c r="D142" s="566"/>
      <c r="E142" s="567"/>
      <c r="F142" s="568"/>
      <c r="G142" s="567"/>
      <c r="H142" s="567"/>
      <c r="I142" s="567"/>
      <c r="J142" s="569"/>
      <c r="K142" s="570"/>
      <c r="L142" s="429"/>
    </row>
    <row r="143" spans="1:12" ht="14.25">
      <c r="A143" s="429"/>
      <c r="B143" s="446"/>
      <c r="C143" s="585"/>
      <c r="D143" s="585"/>
      <c r="E143" s="588"/>
      <c r="F143" s="575"/>
      <c r="G143" s="588"/>
      <c r="H143" s="588"/>
      <c r="I143" s="588"/>
      <c r="J143" s="475"/>
      <c r="K143" s="440"/>
      <c r="L143" s="429"/>
    </row>
    <row r="144" spans="1:12" ht="76.5" customHeight="1">
      <c r="A144" s="429"/>
      <c r="B144" s="844" t="s">
        <v>771</v>
      </c>
      <c r="C144" s="845"/>
      <c r="D144" s="845"/>
      <c r="E144" s="845"/>
      <c r="F144" s="845"/>
      <c r="G144" s="845"/>
      <c r="H144" s="845"/>
      <c r="I144" s="845"/>
      <c r="J144" s="845"/>
      <c r="K144" s="846"/>
      <c r="L144" s="429"/>
    </row>
    <row r="145" spans="1:12" ht="15" thickBot="1">
      <c r="A145" s="429"/>
      <c r="B145" s="446"/>
      <c r="C145" s="585"/>
      <c r="D145" s="585"/>
      <c r="E145" s="588"/>
      <c r="F145" s="575"/>
      <c r="G145" s="588"/>
      <c r="H145" s="588"/>
      <c r="I145" s="588"/>
      <c r="J145" s="475"/>
      <c r="K145" s="440"/>
      <c r="L145" s="429"/>
    </row>
    <row r="146" spans="1:12" ht="14.25">
      <c r="A146" s="429"/>
      <c r="B146" s="434" t="s">
        <v>672</v>
      </c>
      <c r="C146" s="576"/>
      <c r="D146" s="576"/>
      <c r="E146" s="577"/>
      <c r="F146" s="578"/>
      <c r="G146" s="577"/>
      <c r="H146" s="577"/>
      <c r="I146" s="577"/>
      <c r="J146" s="579"/>
      <c r="K146" s="436"/>
      <c r="L146" s="429"/>
    </row>
    <row r="147" spans="1:12" ht="14.25">
      <c r="A147" s="429"/>
      <c r="B147" s="446"/>
      <c r="C147" s="821" t="s">
        <v>772</v>
      </c>
      <c r="D147" s="821"/>
      <c r="E147" s="588"/>
      <c r="F147" s="575" t="s">
        <v>773</v>
      </c>
      <c r="G147" s="588"/>
      <c r="H147" s="588"/>
      <c r="I147" s="588"/>
      <c r="J147" s="839" t="s">
        <v>774</v>
      </c>
      <c r="K147" s="840"/>
      <c r="L147" s="429"/>
    </row>
    <row r="148" spans="1:12" ht="14.25">
      <c r="A148" s="429"/>
      <c r="B148" s="446"/>
      <c r="C148" s="841">
        <v>52.869</v>
      </c>
      <c r="D148" s="841"/>
      <c r="E148" s="588" t="s">
        <v>94</v>
      </c>
      <c r="F148" s="589">
        <v>312000000</v>
      </c>
      <c r="G148" s="580" t="s">
        <v>677</v>
      </c>
      <c r="H148" s="588">
        <v>1000</v>
      </c>
      <c r="I148" s="588" t="s">
        <v>676</v>
      </c>
      <c r="J148" s="839">
        <f>C148*(F148/1000)</f>
        <v>16495128</v>
      </c>
      <c r="K148" s="842"/>
      <c r="L148" s="429"/>
    </row>
    <row r="149" spans="1:12" ht="15" thickBot="1">
      <c r="A149" s="429"/>
      <c r="B149" s="441"/>
      <c r="C149" s="572"/>
      <c r="D149" s="572"/>
      <c r="E149" s="458"/>
      <c r="F149" s="573"/>
      <c r="G149" s="458"/>
      <c r="H149" s="458"/>
      <c r="I149" s="458"/>
      <c r="J149" s="574"/>
      <c r="K149" s="443"/>
      <c r="L149" s="429"/>
    </row>
    <row r="150" spans="1:12" ht="15" thickBot="1">
      <c r="A150" s="429"/>
      <c r="B150" s="441"/>
      <c r="C150" s="442"/>
      <c r="D150" s="442"/>
      <c r="E150" s="442"/>
      <c r="F150" s="442"/>
      <c r="G150" s="442"/>
      <c r="H150" s="442"/>
      <c r="I150" s="442"/>
      <c r="J150" s="442"/>
      <c r="K150" s="443"/>
      <c r="L150" s="429"/>
    </row>
    <row r="151" spans="1:12" ht="14.25">
      <c r="A151" s="429"/>
      <c r="B151" s="429"/>
      <c r="C151" s="429"/>
      <c r="D151" s="429"/>
      <c r="E151" s="429"/>
      <c r="F151" s="429"/>
      <c r="G151" s="429"/>
      <c r="H151" s="429"/>
      <c r="I151" s="429"/>
      <c r="J151" s="429"/>
      <c r="K151" s="429"/>
      <c r="L151" s="429"/>
    </row>
    <row r="152" spans="1:12" ht="14.25">
      <c r="A152" s="429"/>
      <c r="B152" s="429"/>
      <c r="C152" s="429"/>
      <c r="D152" s="429"/>
      <c r="E152" s="429"/>
      <c r="F152" s="429"/>
      <c r="G152" s="429"/>
      <c r="H152" s="429"/>
      <c r="I152" s="429"/>
      <c r="J152" s="429"/>
      <c r="K152" s="429"/>
      <c r="L152" s="429"/>
    </row>
    <row r="153" spans="1:12" ht="14.25">
      <c r="A153" s="429"/>
      <c r="B153" s="429"/>
      <c r="C153" s="429"/>
      <c r="D153" s="429"/>
      <c r="E153" s="429"/>
      <c r="F153" s="429"/>
      <c r="G153" s="429"/>
      <c r="H153" s="429"/>
      <c r="I153" s="429"/>
      <c r="J153" s="429"/>
      <c r="K153" s="429"/>
      <c r="L153" s="429"/>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objects="1" scenarios="1"/>
  <mergeCells count="55">
    <mergeCell ref="C147:D147"/>
    <mergeCell ref="J147:K147"/>
    <mergeCell ref="C148:D148"/>
    <mergeCell ref="J148:K148"/>
    <mergeCell ref="B128:K128"/>
    <mergeCell ref="C133:D133"/>
    <mergeCell ref="H133:I133"/>
    <mergeCell ref="B130:K130"/>
    <mergeCell ref="C137:D137"/>
    <mergeCell ref="B144:K144"/>
    <mergeCell ref="B125:K125"/>
    <mergeCell ref="B126:K126"/>
    <mergeCell ref="B58:K58"/>
    <mergeCell ref="B52:K52"/>
    <mergeCell ref="B53:K53"/>
    <mergeCell ref="B55:K55"/>
    <mergeCell ref="B57:K57"/>
    <mergeCell ref="B106:K106"/>
    <mergeCell ref="B108:K108"/>
    <mergeCell ref="B110:K110"/>
    <mergeCell ref="C41:D41"/>
    <mergeCell ref="B48:C48"/>
    <mergeCell ref="G50:H50"/>
    <mergeCell ref="I51:K51"/>
    <mergeCell ref="B33:K33"/>
    <mergeCell ref="B35:K35"/>
    <mergeCell ref="B85:K85"/>
    <mergeCell ref="B86:K86"/>
    <mergeCell ref="C77:D77"/>
    <mergeCell ref="B6:K6"/>
    <mergeCell ref="B7:K7"/>
    <mergeCell ref="B8:K8"/>
    <mergeCell ref="B10:K10"/>
    <mergeCell ref="B12:K12"/>
    <mergeCell ref="C25:D25"/>
    <mergeCell ref="F23:G23"/>
    <mergeCell ref="C123:D123"/>
    <mergeCell ref="C134:D134"/>
    <mergeCell ref="H134:I134"/>
    <mergeCell ref="C136:D136"/>
    <mergeCell ref="B30:K30"/>
    <mergeCell ref="B31:K31"/>
    <mergeCell ref="C80:D80"/>
    <mergeCell ref="C83:D83"/>
    <mergeCell ref="B88:K88"/>
    <mergeCell ref="C74:D74"/>
    <mergeCell ref="B90:K90"/>
    <mergeCell ref="C94:D94"/>
    <mergeCell ref="C97:D97"/>
    <mergeCell ref="C100:D100"/>
    <mergeCell ref="C103:D103"/>
    <mergeCell ref="C120:D120"/>
    <mergeCell ref="B105:K105"/>
    <mergeCell ref="C114:D114"/>
    <mergeCell ref="C117:D117"/>
  </mergeCells>
  <printOptions/>
  <pageMargins left="0.7" right="0.7" top="0.75" bottom="0.75" header="0.3" footer="0.3"/>
  <pageSetup blackAndWhite="1" horizontalDpi="600" verticalDpi="600" orientation="portrait" scale="80" r:id="rId1"/>
  <colBreaks count="1" manualBreakCount="1">
    <brk id="11"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E92"/>
  <sheetViews>
    <sheetView zoomScalePageLayoutView="0" workbookViewId="0" topLeftCell="A1">
      <selection activeCell="B1" sqref="B1"/>
    </sheetView>
  </sheetViews>
  <sheetFormatPr defaultColWidth="8.796875" defaultRowHeight="15"/>
  <cols>
    <col min="1" max="1" width="15.796875" style="106" customWidth="1"/>
    <col min="2" max="2" width="20.796875" style="106" customWidth="1"/>
    <col min="3" max="3" width="9.796875" style="106" customWidth="1"/>
    <col min="4" max="4" width="15.09765625" style="106" customWidth="1"/>
    <col min="5" max="5" width="15.796875" style="106" customWidth="1"/>
    <col min="6" max="16384" width="8.8984375" style="106" customWidth="1"/>
  </cols>
  <sheetData>
    <row r="1" spans="1:5" ht="15.75">
      <c r="A1" s="174" t="str">
        <f>inputPrYr!$D$2</f>
        <v>City of Frankfort</v>
      </c>
      <c r="B1" s="68"/>
      <c r="C1" s="68"/>
      <c r="D1" s="68"/>
      <c r="E1" s="173">
        <f>inputPrYr!C5</f>
        <v>2013</v>
      </c>
    </row>
    <row r="2" spans="1:5" ht="15">
      <c r="A2" s="68"/>
      <c r="B2" s="68"/>
      <c r="C2" s="68"/>
      <c r="D2" s="68"/>
      <c r="E2" s="68"/>
    </row>
    <row r="3" spans="1:5" ht="15.75">
      <c r="A3" s="734" t="s">
        <v>325</v>
      </c>
      <c r="B3" s="735"/>
      <c r="C3" s="735"/>
      <c r="D3" s="735"/>
      <c r="E3" s="735"/>
    </row>
    <row r="4" spans="1:5" ht="15">
      <c r="A4" s="68"/>
      <c r="B4" s="68"/>
      <c r="C4" s="68"/>
      <c r="D4" s="68"/>
      <c r="E4" s="68"/>
    </row>
    <row r="5" spans="1:5" ht="15">
      <c r="A5" s="68"/>
      <c r="B5" s="68"/>
      <c r="C5" s="68"/>
      <c r="D5" s="68"/>
      <c r="E5" s="68"/>
    </row>
    <row r="6" spans="1:5" ht="15.75">
      <c r="A6" s="59" t="str">
        <f>CONCATENATE("From the County Clerks ",E1," Budget Information:")</f>
        <v>From the County Clerks 2013 Budget Information:</v>
      </c>
      <c r="B6" s="60"/>
      <c r="C6" s="47"/>
      <c r="D6" s="47"/>
      <c r="E6" s="97"/>
    </row>
    <row r="7" spans="1:5" ht="15.75">
      <c r="A7" s="107" t="str">
        <f>CONCATENATE("Total Assessed Valuation for ",E1-1,"")</f>
        <v>Total Assessed Valuation for 2012</v>
      </c>
      <c r="B7" s="72"/>
      <c r="C7" s="72"/>
      <c r="D7" s="72"/>
      <c r="E7" s="67">
        <v>3234290</v>
      </c>
    </row>
    <row r="8" spans="1:5" ht="15.75">
      <c r="A8" s="107" t="str">
        <f>CONCATENATE("New Improvements for ",E1-1,"")</f>
        <v>New Improvements for 2012</v>
      </c>
      <c r="B8" s="72"/>
      <c r="C8" s="72"/>
      <c r="D8" s="72"/>
      <c r="E8" s="108">
        <v>35680</v>
      </c>
    </row>
    <row r="9" spans="1:5" ht="15.75">
      <c r="A9" s="107" t="str">
        <f>CONCATENATE("Personal Property excluding oil, gas, mobile homes - ",E1-1,"")</f>
        <v>Personal Property excluding oil, gas, mobile homes - 2012</v>
      </c>
      <c r="B9" s="72"/>
      <c r="C9" s="72"/>
      <c r="D9" s="72"/>
      <c r="E9" s="108">
        <v>224719</v>
      </c>
    </row>
    <row r="10" spans="1:5" ht="15.75">
      <c r="A10" s="109" t="s">
        <v>259</v>
      </c>
      <c r="B10" s="72"/>
      <c r="C10" s="72"/>
      <c r="D10" s="72"/>
      <c r="E10" s="87"/>
    </row>
    <row r="11" spans="1:5" ht="15.75">
      <c r="A11" s="107" t="s">
        <v>220</v>
      </c>
      <c r="B11" s="72"/>
      <c r="C11" s="72"/>
      <c r="D11" s="72"/>
      <c r="E11" s="108">
        <v>0</v>
      </c>
    </row>
    <row r="12" spans="1:5" ht="15.75">
      <c r="A12" s="107" t="s">
        <v>221</v>
      </c>
      <c r="B12" s="72"/>
      <c r="C12" s="72"/>
      <c r="D12" s="72"/>
      <c r="E12" s="108">
        <v>0</v>
      </c>
    </row>
    <row r="13" spans="1:5" ht="15.75">
      <c r="A13" s="107" t="s">
        <v>222</v>
      </c>
      <c r="B13" s="72"/>
      <c r="C13" s="72"/>
      <c r="D13" s="72"/>
      <c r="E13" s="108">
        <v>0</v>
      </c>
    </row>
    <row r="14" spans="1:5" ht="15.75">
      <c r="A14" s="107" t="str">
        <f>CONCATENATE("Property that has changed in use for ",E1-1,"")</f>
        <v>Property that has changed in use for 2012</v>
      </c>
      <c r="B14" s="72"/>
      <c r="C14" s="72"/>
      <c r="D14" s="72"/>
      <c r="E14" s="108">
        <v>0</v>
      </c>
    </row>
    <row r="15" spans="1:5" ht="15.75">
      <c r="A15" s="107" t="str">
        <f>CONCATENATE("Personal Property  excluding oil, gas, mobile homes- ",E1-2,"")</f>
        <v>Personal Property  excluding oil, gas, mobile homes- 2011</v>
      </c>
      <c r="B15" s="72"/>
      <c r="C15" s="72"/>
      <c r="D15" s="72"/>
      <c r="E15" s="108">
        <v>255976</v>
      </c>
    </row>
    <row r="16" spans="1:5" ht="15.75">
      <c r="A16" s="107" t="str">
        <f>CONCATENATE("Gross earnings (intangible) tax estimate for ",E1,"")</f>
        <v>Gross earnings (intangible) tax estimate for 2013</v>
      </c>
      <c r="B16" s="72"/>
      <c r="C16" s="72"/>
      <c r="D16" s="93"/>
      <c r="E16" s="67">
        <v>0</v>
      </c>
    </row>
    <row r="17" spans="1:5" ht="15.75">
      <c r="A17" s="107" t="s">
        <v>260</v>
      </c>
      <c r="B17" s="72"/>
      <c r="C17" s="72"/>
      <c r="D17" s="72"/>
      <c r="E17" s="103">
        <v>92022</v>
      </c>
    </row>
    <row r="18" spans="1:5" ht="15.75">
      <c r="A18" s="75"/>
      <c r="B18" s="76"/>
      <c r="C18" s="76"/>
      <c r="D18" s="76"/>
      <c r="E18" s="84"/>
    </row>
    <row r="19" spans="1:5" ht="15.75">
      <c r="A19" s="75" t="str">
        <f>CONCATENATE("Actual Tax Rates for the ",E1-1," Budget:")</f>
        <v>Actual Tax Rates for the 2012 Budget:</v>
      </c>
      <c r="B19" s="76"/>
      <c r="C19" s="76"/>
      <c r="D19" s="76"/>
      <c r="E19" s="84"/>
    </row>
    <row r="20" spans="1:5" ht="15.75">
      <c r="A20" s="743" t="s">
        <v>91</v>
      </c>
      <c r="B20" s="744"/>
      <c r="C20" s="68"/>
      <c r="D20" s="110" t="s">
        <v>145</v>
      </c>
      <c r="E20" s="84"/>
    </row>
    <row r="21" spans="1:5" ht="15.75">
      <c r="A21" s="70" t="s">
        <v>75</v>
      </c>
      <c r="B21" s="71"/>
      <c r="C21" s="76"/>
      <c r="D21" s="111">
        <v>59.648</v>
      </c>
      <c r="E21" s="84"/>
    </row>
    <row r="22" spans="1:5" ht="15.75">
      <c r="A22" s="107" t="s">
        <v>46</v>
      </c>
      <c r="B22" s="72"/>
      <c r="C22" s="76"/>
      <c r="D22" s="112">
        <v>0</v>
      </c>
      <c r="E22" s="84"/>
    </row>
    <row r="23" spans="1:5" ht="15.75">
      <c r="A23" s="107" t="str">
        <f>IF(inputPrYr!B19&gt;" ",(inputPrYr!B19)," ")</f>
        <v>Library</v>
      </c>
      <c r="B23" s="72"/>
      <c r="C23" s="76"/>
      <c r="D23" s="112">
        <v>11.552</v>
      </c>
      <c r="E23" s="84"/>
    </row>
    <row r="24" spans="1:5" ht="15.75">
      <c r="A24" s="107" t="str">
        <f>IF(inputPrYr!B21&gt;" ",(inputPrYr!B21)," ")</f>
        <v> </v>
      </c>
      <c r="B24" s="72"/>
      <c r="C24" s="76"/>
      <c r="D24" s="112"/>
      <c r="E24" s="84"/>
    </row>
    <row r="25" spans="1:5" ht="15.75">
      <c r="A25" s="107" t="str">
        <f>IF(inputPrYr!B22&gt;" ",(inputPrYr!B22)," ")</f>
        <v> </v>
      </c>
      <c r="B25" s="72"/>
      <c r="C25" s="76"/>
      <c r="D25" s="112"/>
      <c r="E25" s="84"/>
    </row>
    <row r="26" spans="1:5" ht="15.75">
      <c r="A26" s="107" t="str">
        <f>IF(inputPrYr!B23&gt;" ",(inputPrYr!B23)," ")</f>
        <v> </v>
      </c>
      <c r="B26" s="113"/>
      <c r="C26" s="76"/>
      <c r="D26" s="114"/>
      <c r="E26" s="84"/>
    </row>
    <row r="27" spans="1:5" ht="15.75">
      <c r="A27" s="107" t="str">
        <f>IF(inputPrYr!B24&gt;" ",(inputPrYr!B24)," ")</f>
        <v> </v>
      </c>
      <c r="B27" s="113"/>
      <c r="C27" s="76"/>
      <c r="D27" s="114"/>
      <c r="E27" s="84"/>
    </row>
    <row r="28" spans="1:5" ht="15.75">
      <c r="A28" s="107" t="str">
        <f>IF(inputPrYr!B25&gt;" ",(inputPrYr!B25)," ")</f>
        <v> </v>
      </c>
      <c r="B28" s="113"/>
      <c r="C28" s="76"/>
      <c r="D28" s="114"/>
      <c r="E28" s="84"/>
    </row>
    <row r="29" spans="1:5" ht="15.75">
      <c r="A29" s="107" t="str">
        <f>IF(inputPrYr!B26&gt;" ",(inputPrYr!B26)," ")</f>
        <v> </v>
      </c>
      <c r="B29" s="113"/>
      <c r="C29" s="76"/>
      <c r="D29" s="114"/>
      <c r="E29" s="84"/>
    </row>
    <row r="30" spans="1:5" ht="15.75">
      <c r="A30" s="107" t="str">
        <f>IF(inputPrYr!B27&gt;" ",(inputPrYr!B27)," ")</f>
        <v> </v>
      </c>
      <c r="B30" s="113"/>
      <c r="C30" s="76"/>
      <c r="D30" s="114"/>
      <c r="E30" s="84"/>
    </row>
    <row r="31" spans="1:5" ht="15.75">
      <c r="A31" s="107" t="str">
        <f>IF(inputPrYr!B28&gt;" ",(inputPrYr!B28)," ")</f>
        <v> </v>
      </c>
      <c r="B31" s="113"/>
      <c r="C31" s="76"/>
      <c r="D31" s="114"/>
      <c r="E31" s="84"/>
    </row>
    <row r="32" spans="1:5" ht="15.75">
      <c r="A32" s="107" t="str">
        <f>IF(inputPrYr!B29&gt;" ",(inputPrYr!B29)," ")</f>
        <v> </v>
      </c>
      <c r="B32" s="113"/>
      <c r="C32" s="76"/>
      <c r="D32" s="114"/>
      <c r="E32" s="84"/>
    </row>
    <row r="33" spans="1:5" ht="15.75">
      <c r="A33" s="107" t="str">
        <f>IF(inputPrYr!B30&gt;" ",(inputPrYr!B30)," ")</f>
        <v> </v>
      </c>
      <c r="B33" s="72"/>
      <c r="C33" s="76"/>
      <c r="D33" s="114"/>
      <c r="E33" s="84"/>
    </row>
    <row r="34" spans="1:5" ht="15.75">
      <c r="A34" s="115"/>
      <c r="B34" s="76"/>
      <c r="C34" s="273" t="s">
        <v>77</v>
      </c>
      <c r="D34" s="601">
        <f>SUM(D21:D33)</f>
        <v>71.2</v>
      </c>
      <c r="E34" s="115"/>
    </row>
    <row r="35" spans="1:5" ht="15">
      <c r="A35" s="115"/>
      <c r="B35" s="115"/>
      <c r="C35" s="115"/>
      <c r="D35" s="115"/>
      <c r="E35" s="115"/>
    </row>
    <row r="36" spans="1:5" ht="15.75">
      <c r="A36" s="71" t="str">
        <f>CONCATENATE("Final Assessed Valuation from the November 1, ",E1-2," Abstract")</f>
        <v>Final Assessed Valuation from the November 1, 2011 Abstract</v>
      </c>
      <c r="B36" s="116"/>
      <c r="C36" s="116"/>
      <c r="D36" s="116"/>
      <c r="E36" s="103">
        <v>3168997</v>
      </c>
    </row>
    <row r="37" spans="1:5" ht="15">
      <c r="A37" s="115"/>
      <c r="B37" s="115"/>
      <c r="C37" s="115"/>
      <c r="D37" s="115"/>
      <c r="E37" s="115"/>
    </row>
    <row r="38" spans="1:5" ht="15.75">
      <c r="A38" s="117" t="str">
        <f>CONCATENATE("From the County Treasurer's Budget Information - ",E1," Budget Year Estimates:")</f>
        <v>From the County Treasurer's Budget Information - 2013 Budget Year Estimates:</v>
      </c>
      <c r="B38" s="58"/>
      <c r="C38" s="58"/>
      <c r="D38" s="118"/>
      <c r="E38" s="97"/>
    </row>
    <row r="39" spans="1:5" ht="15.75">
      <c r="A39" s="70" t="s">
        <v>78</v>
      </c>
      <c r="B39" s="71"/>
      <c r="C39" s="71"/>
      <c r="D39" s="119"/>
      <c r="E39" s="67">
        <v>49972</v>
      </c>
    </row>
    <row r="40" spans="1:5" ht="15.75">
      <c r="A40" s="107" t="s">
        <v>79</v>
      </c>
      <c r="B40" s="72"/>
      <c r="C40" s="72"/>
      <c r="D40" s="120"/>
      <c r="E40" s="67">
        <v>871</v>
      </c>
    </row>
    <row r="41" spans="1:5" ht="15.75">
      <c r="A41" s="107" t="s">
        <v>261</v>
      </c>
      <c r="B41" s="72"/>
      <c r="C41" s="72"/>
      <c r="D41" s="120"/>
      <c r="E41" s="67">
        <v>4080</v>
      </c>
    </row>
    <row r="42" spans="1:5" ht="15.75">
      <c r="A42" s="107" t="s">
        <v>262</v>
      </c>
      <c r="B42" s="72"/>
      <c r="C42" s="72"/>
      <c r="D42" s="120"/>
      <c r="E42" s="67">
        <v>0</v>
      </c>
    </row>
    <row r="43" spans="1:5" ht="15.75">
      <c r="A43" s="107" t="s">
        <v>263</v>
      </c>
      <c r="B43" s="72"/>
      <c r="C43" s="72"/>
      <c r="D43" s="120"/>
      <c r="E43" s="67">
        <v>0</v>
      </c>
    </row>
    <row r="44" spans="1:5" ht="15.75">
      <c r="A44" s="47" t="s">
        <v>264</v>
      </c>
      <c r="B44" s="47"/>
      <c r="C44" s="47"/>
      <c r="D44" s="47"/>
      <c r="E44" s="47"/>
    </row>
    <row r="45" spans="1:5" ht="15.75">
      <c r="A45" s="46" t="s">
        <v>99</v>
      </c>
      <c r="B45" s="56"/>
      <c r="C45" s="56"/>
      <c r="D45" s="47"/>
      <c r="E45" s="47"/>
    </row>
    <row r="46" spans="1:5" ht="15.75">
      <c r="A46" s="70" t="str">
        <f>CONCATENATE("Actual Delinquency for ",E1-3," Tax - (rate .01213 = 1.213%, key in 1.2)")</f>
        <v>Actual Delinquency for 2010 Tax - (rate .01213 = 1.213%, key in 1.2)</v>
      </c>
      <c r="B46" s="71"/>
      <c r="C46" s="71"/>
      <c r="D46" s="81"/>
      <c r="E46" s="600">
        <v>0</v>
      </c>
    </row>
    <row r="47" spans="1:5" ht="15.75">
      <c r="A47" s="107" t="s">
        <v>865</v>
      </c>
      <c r="B47" s="107"/>
      <c r="C47" s="72"/>
      <c r="D47" s="72"/>
      <c r="E47" s="600">
        <v>0</v>
      </c>
    </row>
    <row r="48" spans="1:5" ht="15.75">
      <c r="A48" s="47"/>
      <c r="B48" s="47"/>
      <c r="C48" s="47"/>
      <c r="D48" s="47"/>
      <c r="E48" s="47"/>
    </row>
    <row r="49" spans="1:5" ht="15.75">
      <c r="A49" s="121" t="s">
        <v>4</v>
      </c>
      <c r="B49" s="122"/>
      <c r="C49" s="123"/>
      <c r="D49" s="123"/>
      <c r="E49" s="123"/>
    </row>
    <row r="50" spans="1:5" ht="15.75">
      <c r="A50" s="124" t="str">
        <f>CONCATENATE("",E1," State Distribution for Kansas Gas Tax")</f>
        <v>2013 State Distribution for Kansas Gas Tax</v>
      </c>
      <c r="B50" s="125"/>
      <c r="C50" s="125"/>
      <c r="D50" s="126"/>
      <c r="E50" s="103">
        <v>18900</v>
      </c>
    </row>
    <row r="51" spans="1:5" ht="15.75">
      <c r="A51" s="127" t="str">
        <f>CONCATENATE("",E1," County Transfers for Gas**")</f>
        <v>2013 County Transfers for Gas**</v>
      </c>
      <c r="B51" s="128"/>
      <c r="C51" s="128"/>
      <c r="D51" s="129"/>
      <c r="E51" s="103">
        <v>0</v>
      </c>
    </row>
    <row r="52" spans="1:5" ht="15.75">
      <c r="A52" s="127" t="str">
        <f>CONCATENATE("Adjusted ",E1-1," State Distribution for Kansas Gas Tax")</f>
        <v>Adjusted 2012 State Distribution for Kansas Gas Tax</v>
      </c>
      <c r="B52" s="128"/>
      <c r="C52" s="128"/>
      <c r="D52" s="129"/>
      <c r="E52" s="103">
        <v>18750</v>
      </c>
    </row>
    <row r="53" spans="1:5" ht="15.75">
      <c r="A53" s="127" t="str">
        <f>CONCATENATE("Adjusted ",E1-1," County Transfers for Gas**")</f>
        <v>Adjusted 2012 County Transfers for Gas**</v>
      </c>
      <c r="B53" s="128"/>
      <c r="C53" s="128"/>
      <c r="D53" s="129"/>
      <c r="E53" s="103">
        <v>0</v>
      </c>
    </row>
    <row r="54" spans="1:5" ht="15">
      <c r="A54" s="745" t="s">
        <v>320</v>
      </c>
      <c r="B54" s="746"/>
      <c r="C54" s="746"/>
      <c r="D54" s="746"/>
      <c r="E54" s="746"/>
    </row>
    <row r="55" spans="1:5" ht="15">
      <c r="A55" s="130" t="s">
        <v>321</v>
      </c>
      <c r="B55" s="130"/>
      <c r="C55" s="130"/>
      <c r="D55" s="130"/>
      <c r="E55" s="130"/>
    </row>
    <row r="56" spans="1:5" ht="15">
      <c r="A56" s="68"/>
      <c r="B56" s="68"/>
      <c r="C56" s="68"/>
      <c r="D56" s="68"/>
      <c r="E56" s="68"/>
    </row>
    <row r="57" spans="1:5" ht="15.75">
      <c r="A57" s="747" t="str">
        <f>CONCATENATE("From the ",E1-2," Budget Certificate Page")</f>
        <v>From the 2011 Budget Certificate Page</v>
      </c>
      <c r="B57" s="748"/>
      <c r="C57" s="68"/>
      <c r="D57" s="68"/>
      <c r="E57" s="68"/>
    </row>
    <row r="58" spans="1:5" ht="15.75">
      <c r="A58" s="131"/>
      <c r="B58" s="131" t="str">
        <f>CONCATENATE("",E1-2," Expenditure Amounts")</f>
        <v>2011 Expenditure Amounts</v>
      </c>
      <c r="C58" s="741" t="str">
        <f>CONCATENATE("Note: If the ",E1-2," budget was amended, then the")</f>
        <v>Note: If the 2011 budget was amended, then the</v>
      </c>
      <c r="D58" s="742"/>
      <c r="E58" s="742"/>
    </row>
    <row r="59" spans="1:5" ht="15.75">
      <c r="A59" s="132" t="s">
        <v>9</v>
      </c>
      <c r="B59" s="132" t="s">
        <v>10</v>
      </c>
      <c r="C59" s="133" t="s">
        <v>11</v>
      </c>
      <c r="D59" s="134"/>
      <c r="E59" s="134"/>
    </row>
    <row r="60" spans="1:5" ht="15.75">
      <c r="A60" s="135" t="str">
        <f>inputPrYr!B17</f>
        <v>General</v>
      </c>
      <c r="B60" s="103">
        <v>1069536</v>
      </c>
      <c r="C60" s="133" t="s">
        <v>12</v>
      </c>
      <c r="D60" s="134"/>
      <c r="E60" s="134"/>
    </row>
    <row r="61" spans="1:5" ht="15.75">
      <c r="A61" s="135" t="str">
        <f>inputPrYr!B18</f>
        <v>Debt Service</v>
      </c>
      <c r="B61" s="103">
        <v>7849</v>
      </c>
      <c r="C61" s="133"/>
      <c r="D61" s="134"/>
      <c r="E61" s="134"/>
    </row>
    <row r="62" spans="1:5" ht="15.75">
      <c r="A62" s="135" t="str">
        <f>inputPrYr!B19</f>
        <v>Library</v>
      </c>
      <c r="B62" s="103">
        <v>34930</v>
      </c>
      <c r="C62" s="68"/>
      <c r="D62" s="68"/>
      <c r="E62" s="68"/>
    </row>
    <row r="63" spans="1:5" ht="15.75">
      <c r="A63" s="135">
        <f>inputPrYr!B21</f>
        <v>0</v>
      </c>
      <c r="B63" s="103"/>
      <c r="C63" s="68"/>
      <c r="D63" s="68"/>
      <c r="E63" s="68"/>
    </row>
    <row r="64" spans="1:5" ht="15.75">
      <c r="A64" s="135">
        <f>inputPrYr!B22</f>
        <v>0</v>
      </c>
      <c r="B64" s="103"/>
      <c r="C64" s="68"/>
      <c r="D64" s="68"/>
      <c r="E64" s="68"/>
    </row>
    <row r="65" spans="1:5" ht="15.75">
      <c r="A65" s="135">
        <f>inputPrYr!B23</f>
        <v>0</v>
      </c>
      <c r="B65" s="103"/>
      <c r="C65" s="68"/>
      <c r="D65" s="68"/>
      <c r="E65" s="68"/>
    </row>
    <row r="66" spans="1:5" ht="15.75">
      <c r="A66" s="135">
        <f>inputPrYr!B24</f>
        <v>0</v>
      </c>
      <c r="B66" s="103"/>
      <c r="C66" s="68"/>
      <c r="D66" s="68"/>
      <c r="E66" s="68"/>
    </row>
    <row r="67" spans="1:5" ht="15.75">
      <c r="A67" s="135">
        <f>inputPrYr!B25</f>
        <v>0</v>
      </c>
      <c r="B67" s="103"/>
      <c r="C67" s="68"/>
      <c r="D67" s="68"/>
      <c r="E67" s="68"/>
    </row>
    <row r="68" spans="1:5" ht="15.75">
      <c r="A68" s="135">
        <f>inputPrYr!B26</f>
        <v>0</v>
      </c>
      <c r="B68" s="103"/>
      <c r="C68" s="68"/>
      <c r="D68" s="68"/>
      <c r="E68" s="68"/>
    </row>
    <row r="69" spans="1:5" ht="15.75">
      <c r="A69" s="135">
        <f>inputPrYr!B27</f>
        <v>0</v>
      </c>
      <c r="B69" s="103"/>
      <c r="C69" s="68"/>
      <c r="D69" s="68"/>
      <c r="E69" s="68"/>
    </row>
    <row r="70" spans="1:5" ht="15.75">
      <c r="A70" s="135">
        <f>inputPrYr!B28</f>
        <v>0</v>
      </c>
      <c r="B70" s="103"/>
      <c r="C70" s="68"/>
      <c r="D70" s="68"/>
      <c r="E70" s="68"/>
    </row>
    <row r="71" spans="1:5" ht="15.75">
      <c r="A71" s="135">
        <f>inputPrYr!B29</f>
        <v>0</v>
      </c>
      <c r="B71" s="103"/>
      <c r="C71" s="68"/>
      <c r="D71" s="68"/>
      <c r="E71" s="68"/>
    </row>
    <row r="72" spans="1:5" ht="15.75">
      <c r="A72" s="135">
        <f>inputPrYr!B30</f>
        <v>0</v>
      </c>
      <c r="B72" s="103"/>
      <c r="C72" s="68"/>
      <c r="D72" s="68"/>
      <c r="E72" s="68"/>
    </row>
    <row r="73" spans="1:5" ht="15.75">
      <c r="A73" s="135" t="str">
        <f>inputPrYr!B34</f>
        <v>Special Highway</v>
      </c>
      <c r="B73" s="103">
        <v>21360</v>
      </c>
      <c r="C73" s="68"/>
      <c r="D73" s="68"/>
      <c r="E73" s="68"/>
    </row>
    <row r="74" spans="1:5" ht="15.75">
      <c r="A74" s="135" t="str">
        <f>inputPrYr!B35</f>
        <v>Special Parks &amp; Recreation</v>
      </c>
      <c r="B74" s="103">
        <v>0</v>
      </c>
      <c r="C74" s="68"/>
      <c r="D74" s="68"/>
      <c r="E74" s="68"/>
    </row>
    <row r="75" spans="1:5" ht="15.75">
      <c r="A75" s="135" t="str">
        <f>inputPrYr!B36</f>
        <v>Ambulance</v>
      </c>
      <c r="B75" s="103">
        <v>214200</v>
      </c>
      <c r="C75" s="68"/>
      <c r="D75" s="68"/>
      <c r="E75" s="68"/>
    </row>
    <row r="76" spans="1:5" ht="15.75">
      <c r="A76" s="135" t="str">
        <f>inputPrYr!B37</f>
        <v>Water Utility</v>
      </c>
      <c r="B76" s="103">
        <v>165800</v>
      </c>
      <c r="C76" s="68"/>
      <c r="D76" s="68"/>
      <c r="E76" s="68"/>
    </row>
    <row r="77" spans="1:5" ht="15.75">
      <c r="A77" s="135" t="str">
        <f>inputPrYr!B38</f>
        <v>Sewer Utility</v>
      </c>
      <c r="B77" s="103">
        <v>94700</v>
      </c>
      <c r="C77" s="68"/>
      <c r="D77" s="68"/>
      <c r="E77" s="68"/>
    </row>
    <row r="78" spans="1:5" ht="15.75">
      <c r="A78" s="135">
        <f>inputPrYr!B39</f>
        <v>0</v>
      </c>
      <c r="B78" s="103"/>
      <c r="C78" s="68"/>
      <c r="D78" s="68"/>
      <c r="E78" s="68"/>
    </row>
    <row r="79" spans="1:5" ht="15.75">
      <c r="A79" s="135">
        <f>inputPrYr!B40</f>
        <v>0</v>
      </c>
      <c r="B79" s="103"/>
      <c r="C79" s="68"/>
      <c r="D79" s="68"/>
      <c r="E79" s="68"/>
    </row>
    <row r="80" spans="1:5" ht="15.75">
      <c r="A80" s="135">
        <f>inputPrYr!B41</f>
        <v>0</v>
      </c>
      <c r="B80" s="103"/>
      <c r="C80" s="68"/>
      <c r="D80" s="68"/>
      <c r="E80" s="68"/>
    </row>
    <row r="81" spans="1:5" ht="15.75">
      <c r="A81" s="135">
        <f>inputPrYr!B42</f>
        <v>0</v>
      </c>
      <c r="B81" s="103"/>
      <c r="C81" s="68"/>
      <c r="D81" s="68"/>
      <c r="E81" s="68"/>
    </row>
    <row r="82" spans="1:5" ht="15.75">
      <c r="A82" s="135">
        <f>inputPrYr!B43</f>
        <v>0</v>
      </c>
      <c r="B82" s="103"/>
      <c r="C82" s="68"/>
      <c r="D82" s="68"/>
      <c r="E82" s="68"/>
    </row>
    <row r="83" spans="1:5" ht="15.75">
      <c r="A83" s="135">
        <f>inputPrYr!B44</f>
        <v>0</v>
      </c>
      <c r="B83" s="103"/>
      <c r="C83" s="68"/>
      <c r="D83" s="68"/>
      <c r="E83" s="68"/>
    </row>
    <row r="84" spans="1:5" ht="15.75">
      <c r="A84" s="135">
        <f>inputPrYr!B45</f>
        <v>0</v>
      </c>
      <c r="B84" s="103"/>
      <c r="C84" s="68"/>
      <c r="D84" s="68"/>
      <c r="E84" s="68"/>
    </row>
    <row r="85" spans="1:5" ht="15.75">
      <c r="A85" s="135">
        <f>inputPrYr!B46</f>
        <v>0</v>
      </c>
      <c r="B85" s="103"/>
      <c r="C85" s="68"/>
      <c r="D85" s="68"/>
      <c r="E85" s="68"/>
    </row>
    <row r="86" spans="1:5" ht="15.75">
      <c r="A86" s="135">
        <f>inputPrYr!B47</f>
        <v>0</v>
      </c>
      <c r="B86" s="103"/>
      <c r="C86" s="68"/>
      <c r="D86" s="68"/>
      <c r="E86" s="68"/>
    </row>
    <row r="87" spans="1:5" ht="15.75">
      <c r="A87" s="135">
        <f>inputPrYr!B48</f>
        <v>0</v>
      </c>
      <c r="B87" s="103"/>
      <c r="C87" s="68"/>
      <c r="D87" s="68"/>
      <c r="E87" s="68"/>
    </row>
    <row r="88" spans="1:5" ht="15.75">
      <c r="A88" s="135">
        <f>inputPrYr!B49</f>
        <v>0</v>
      </c>
      <c r="B88" s="103"/>
      <c r="C88" s="68"/>
      <c r="D88" s="68"/>
      <c r="E88" s="68"/>
    </row>
    <row r="89" spans="1:5" ht="15.75">
      <c r="A89" s="135">
        <f>inputPrYr!B51</f>
        <v>0</v>
      </c>
      <c r="B89" s="103"/>
      <c r="C89" s="68"/>
      <c r="D89" s="68"/>
      <c r="E89" s="68"/>
    </row>
    <row r="90" spans="1:5" ht="15.75">
      <c r="A90" s="135">
        <f>inputPrYr!B52</f>
        <v>0</v>
      </c>
      <c r="B90" s="103"/>
      <c r="C90" s="68"/>
      <c r="D90" s="68"/>
      <c r="E90" s="68"/>
    </row>
    <row r="91" spans="1:5" ht="15.75">
      <c r="A91" s="135">
        <f>inputPrYr!B53</f>
        <v>0</v>
      </c>
      <c r="B91" s="103"/>
      <c r="C91" s="68"/>
      <c r="D91" s="68"/>
      <c r="E91" s="68"/>
    </row>
    <row r="92" spans="1:5" ht="15.75">
      <c r="A92" s="135">
        <f>inputPrYr!B54</f>
        <v>0</v>
      </c>
      <c r="B92" s="103"/>
      <c r="C92" s="68"/>
      <c r="D92" s="68"/>
      <c r="E92" s="68"/>
    </row>
  </sheetData>
  <sheetProtection sheet="1"/>
  <mergeCells count="5">
    <mergeCell ref="C58:E58"/>
    <mergeCell ref="A20:B20"/>
    <mergeCell ref="A54:E54"/>
    <mergeCell ref="A3:E3"/>
    <mergeCell ref="A57:B57"/>
  </mergeCells>
  <printOptions/>
  <pageMargins left="0.75" right="0.75" top="1" bottom="1" header="0.5" footer="0.5"/>
  <pageSetup blackAndWhite="1" fitToHeight="1" fitToWidth="1" horizontalDpi="600" verticalDpi="600" orientation="portrait" scale="48"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C9" sqref="C9"/>
    </sheetView>
  </sheetViews>
  <sheetFormatPr defaultColWidth="8.796875" defaultRowHeight="15"/>
  <cols>
    <col min="1" max="1" width="71.19921875" style="1" customWidth="1"/>
    <col min="2" max="16384" width="8.8984375" style="1" customWidth="1"/>
  </cols>
  <sheetData>
    <row r="1" ht="16.5">
      <c r="A1" s="477" t="s">
        <v>721</v>
      </c>
    </row>
    <row r="3" ht="31.5">
      <c r="A3" s="478" t="s">
        <v>722</v>
      </c>
    </row>
    <row r="4" ht="15.75">
      <c r="A4" s="479" t="s">
        <v>723</v>
      </c>
    </row>
    <row r="7" ht="31.5">
      <c r="A7" s="478" t="s">
        <v>724</v>
      </c>
    </row>
    <row r="8" ht="15.75">
      <c r="A8" s="479" t="s">
        <v>725</v>
      </c>
    </row>
    <row r="11" ht="15.75">
      <c r="A11" s="1" t="s">
        <v>726</v>
      </c>
    </row>
    <row r="12" ht="15.75">
      <c r="A12" s="479" t="s">
        <v>727</v>
      </c>
    </row>
    <row r="15" ht="15.75">
      <c r="A15" s="1" t="s">
        <v>728</v>
      </c>
    </row>
    <row r="16" ht="15.75">
      <c r="A16" s="479" t="s">
        <v>729</v>
      </c>
    </row>
    <row r="19" ht="15.75">
      <c r="A19" s="1" t="s">
        <v>730</v>
      </c>
    </row>
    <row r="20" ht="15.75">
      <c r="A20" s="479" t="s">
        <v>731</v>
      </c>
    </row>
    <row r="23" ht="15.75">
      <c r="A23" s="1" t="s">
        <v>732</v>
      </c>
    </row>
    <row r="24" ht="15.75">
      <c r="A24" s="479" t="s">
        <v>733</v>
      </c>
    </row>
    <row r="27" ht="15.75">
      <c r="A27" s="1" t="s">
        <v>734</v>
      </c>
    </row>
    <row r="28" ht="15.75">
      <c r="A28" s="479" t="s">
        <v>735</v>
      </c>
    </row>
    <row r="31" ht="15.75">
      <c r="A31" s="1" t="s">
        <v>736</v>
      </c>
    </row>
    <row r="32" ht="15.75">
      <c r="A32" s="479" t="s">
        <v>737</v>
      </c>
    </row>
    <row r="35" ht="15.75">
      <c r="A35" s="1" t="s">
        <v>738</v>
      </c>
    </row>
    <row r="36" ht="15.75">
      <c r="A36" s="479" t="s">
        <v>739</v>
      </c>
    </row>
    <row r="39" ht="15.75">
      <c r="A39" s="1" t="s">
        <v>740</v>
      </c>
    </row>
    <row r="40" ht="15.75">
      <c r="A40" s="479" t="s">
        <v>741</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1.xml><?xml version="1.0" encoding="utf-8"?>
<worksheet xmlns="http://schemas.openxmlformats.org/spreadsheetml/2006/main" xmlns:r="http://schemas.openxmlformats.org/officeDocument/2006/relationships">
  <dimension ref="A1:E242"/>
  <sheetViews>
    <sheetView zoomScalePageLayoutView="0" workbookViewId="0" topLeftCell="A1">
      <selection activeCell="B10" sqref="B10"/>
    </sheetView>
  </sheetViews>
  <sheetFormatPr defaultColWidth="8.796875" defaultRowHeight="15"/>
  <cols>
    <col min="1" max="1" width="81.8984375" style="32" customWidth="1"/>
    <col min="2" max="16384" width="8.8984375" style="32" customWidth="1"/>
  </cols>
  <sheetData>
    <row r="1" ht="15.75">
      <c r="A1" s="516" t="s">
        <v>989</v>
      </c>
    </row>
    <row r="2" ht="15.75">
      <c r="A2" s="32" t="s">
        <v>990</v>
      </c>
    </row>
    <row r="4" spans="1:5" ht="15.75">
      <c r="A4" s="516" t="s">
        <v>987</v>
      </c>
      <c r="B4" s="721"/>
      <c r="C4" s="721"/>
      <c r="D4" s="721"/>
      <c r="E4" s="721"/>
    </row>
    <row r="5" spans="1:5" ht="15.75">
      <c r="A5" s="722" t="s">
        <v>988</v>
      </c>
      <c r="B5" s="721"/>
      <c r="C5" s="721"/>
      <c r="D5" s="721"/>
      <c r="E5" s="721"/>
    </row>
    <row r="7" ht="15.75">
      <c r="A7" s="516" t="s">
        <v>984</v>
      </c>
    </row>
    <row r="8" ht="15.75">
      <c r="A8" s="32" t="s">
        <v>985</v>
      </c>
    </row>
    <row r="10" ht="15.75">
      <c r="A10" s="516" t="s">
        <v>815</v>
      </c>
    </row>
    <row r="11" ht="15.75">
      <c r="A11" s="596" t="s">
        <v>816</v>
      </c>
    </row>
    <row r="12" ht="15.75">
      <c r="A12" s="32" t="s">
        <v>817</v>
      </c>
    </row>
    <row r="13" ht="15.75">
      <c r="A13" s="32" t="s">
        <v>818</v>
      </c>
    </row>
    <row r="14" ht="15.75">
      <c r="A14" s="32" t="s">
        <v>819</v>
      </c>
    </row>
    <row r="15" ht="15.75">
      <c r="A15" s="32" t="s">
        <v>820</v>
      </c>
    </row>
    <row r="16" ht="15.75">
      <c r="A16" s="32" t="s">
        <v>821</v>
      </c>
    </row>
    <row r="17" ht="15.75">
      <c r="A17" s="32" t="s">
        <v>822</v>
      </c>
    </row>
    <row r="18" ht="15.75">
      <c r="A18" s="32" t="s">
        <v>823</v>
      </c>
    </row>
    <row r="19" ht="15.75">
      <c r="A19" s="32" t="s">
        <v>824</v>
      </c>
    </row>
    <row r="20" ht="15.75">
      <c r="A20" s="32" t="s">
        <v>825</v>
      </c>
    </row>
    <row r="21" ht="15.75">
      <c r="A21" s="32" t="s">
        <v>826</v>
      </c>
    </row>
    <row r="22" ht="15.75">
      <c r="A22" s="32" t="s">
        <v>827</v>
      </c>
    </row>
    <row r="23" ht="15.75">
      <c r="A23" s="32" t="s">
        <v>828</v>
      </c>
    </row>
    <row r="24" ht="15.75">
      <c r="A24" s="32" t="s">
        <v>829</v>
      </c>
    </row>
    <row r="25" ht="15.75">
      <c r="A25" s="32" t="s">
        <v>830</v>
      </c>
    </row>
    <row r="26" ht="15.75">
      <c r="A26" s="32" t="s">
        <v>831</v>
      </c>
    </row>
    <row r="27" ht="47.25">
      <c r="A27" s="35" t="s">
        <v>832</v>
      </c>
    </row>
    <row r="28" ht="15.75">
      <c r="A28" s="34" t="s">
        <v>833</v>
      </c>
    </row>
    <row r="29" ht="31.5">
      <c r="A29" s="35" t="s">
        <v>834</v>
      </c>
    </row>
    <row r="30" ht="15.75">
      <c r="A30" s="32" t="s">
        <v>835</v>
      </c>
    </row>
    <row r="31" ht="15.75">
      <c r="A31" s="32" t="s">
        <v>836</v>
      </c>
    </row>
    <row r="32" ht="15.75">
      <c r="A32" s="32" t="s">
        <v>837</v>
      </c>
    </row>
    <row r="33" ht="15.75">
      <c r="A33" s="32" t="s">
        <v>838</v>
      </c>
    </row>
    <row r="34" ht="15.75">
      <c r="A34" s="32" t="s">
        <v>839</v>
      </c>
    </row>
    <row r="35" ht="15.75">
      <c r="A35" s="32" t="s">
        <v>840</v>
      </c>
    </row>
    <row r="36" ht="15.75">
      <c r="A36" s="32" t="s">
        <v>841</v>
      </c>
    </row>
    <row r="37" ht="15.75">
      <c r="A37" s="32" t="s">
        <v>842</v>
      </c>
    </row>
    <row r="38" ht="15.75">
      <c r="A38" s="32" t="s">
        <v>843</v>
      </c>
    </row>
    <row r="39" ht="15.75">
      <c r="A39" s="32" t="s">
        <v>844</v>
      </c>
    </row>
    <row r="40" ht="15.75">
      <c r="A40" s="32" t="s">
        <v>845</v>
      </c>
    </row>
    <row r="41" ht="15.75">
      <c r="A41" s="32" t="s">
        <v>846</v>
      </c>
    </row>
    <row r="42" ht="15.75">
      <c r="A42" s="32" t="s">
        <v>847</v>
      </c>
    </row>
    <row r="43" ht="15.75">
      <c r="A43" s="32" t="s">
        <v>848</v>
      </c>
    </row>
    <row r="44" ht="15.75">
      <c r="A44" s="32" t="s">
        <v>977</v>
      </c>
    </row>
    <row r="45" ht="15.75">
      <c r="A45" s="32" t="s">
        <v>978</v>
      </c>
    </row>
    <row r="46" ht="15.75">
      <c r="A46" s="32" t="s">
        <v>979</v>
      </c>
    </row>
    <row r="47" ht="15.75">
      <c r="A47" s="32" t="s">
        <v>980</v>
      </c>
    </row>
    <row r="49" ht="15.75">
      <c r="A49" s="516" t="s">
        <v>815</v>
      </c>
    </row>
    <row r="50" ht="15.75">
      <c r="A50" s="596" t="s">
        <v>816</v>
      </c>
    </row>
    <row r="51" ht="15.75">
      <c r="A51" s="32" t="s">
        <v>817</v>
      </c>
    </row>
    <row r="52" ht="15.75">
      <c r="A52" s="32" t="s">
        <v>818</v>
      </c>
    </row>
    <row r="53" ht="15.75">
      <c r="A53" s="32" t="s">
        <v>819</v>
      </c>
    </row>
    <row r="54" ht="15.75">
      <c r="A54" s="32" t="s">
        <v>820</v>
      </c>
    </row>
    <row r="55" ht="15.75">
      <c r="A55" s="32" t="s">
        <v>821</v>
      </c>
    </row>
    <row r="56" ht="15.75">
      <c r="A56" s="32" t="s">
        <v>822</v>
      </c>
    </row>
    <row r="57" ht="15.75">
      <c r="A57" s="32" t="s">
        <v>823</v>
      </c>
    </row>
    <row r="58" ht="15.75">
      <c r="A58" s="32" t="s">
        <v>824</v>
      </c>
    </row>
    <row r="59" ht="15.75">
      <c r="A59" s="32" t="s">
        <v>825</v>
      </c>
    </row>
    <row r="60" ht="15.75">
      <c r="A60" s="32" t="s">
        <v>826</v>
      </c>
    </row>
    <row r="61" ht="15.75">
      <c r="A61" s="32" t="s">
        <v>827</v>
      </c>
    </row>
    <row r="62" ht="15.75">
      <c r="A62" s="32" t="s">
        <v>828</v>
      </c>
    </row>
    <row r="63" ht="15.75">
      <c r="A63" s="32" t="s">
        <v>829</v>
      </c>
    </row>
    <row r="64" ht="15.75">
      <c r="A64" s="32" t="s">
        <v>830</v>
      </c>
    </row>
    <row r="65" ht="15.75">
      <c r="A65" s="32" t="s">
        <v>831</v>
      </c>
    </row>
    <row r="66" ht="47.25">
      <c r="A66" s="35" t="s">
        <v>832</v>
      </c>
    </row>
    <row r="67" ht="15.75">
      <c r="A67" s="34" t="s">
        <v>833</v>
      </c>
    </row>
    <row r="68" ht="31.5">
      <c r="A68" s="35" t="s">
        <v>834</v>
      </c>
    </row>
    <row r="69" ht="15.75">
      <c r="A69" s="32" t="s">
        <v>835</v>
      </c>
    </row>
    <row r="70" ht="15.75">
      <c r="A70" s="32" t="s">
        <v>836</v>
      </c>
    </row>
    <row r="71" ht="15.75">
      <c r="A71" s="32" t="s">
        <v>837</v>
      </c>
    </row>
    <row r="72" ht="15.75">
      <c r="A72" s="32" t="s">
        <v>838</v>
      </c>
    </row>
    <row r="73" ht="15.75">
      <c r="A73" s="32" t="s">
        <v>839</v>
      </c>
    </row>
    <row r="74" ht="15.75">
      <c r="A74" s="32" t="s">
        <v>840</v>
      </c>
    </row>
    <row r="75" ht="15.75">
      <c r="A75" s="32" t="s">
        <v>841</v>
      </c>
    </row>
    <row r="76" ht="15.75">
      <c r="A76" s="32" t="s">
        <v>842</v>
      </c>
    </row>
    <row r="77" ht="15.75">
      <c r="A77" s="32" t="s">
        <v>843</v>
      </c>
    </row>
    <row r="78" ht="15.75">
      <c r="A78" s="32" t="s">
        <v>844</v>
      </c>
    </row>
    <row r="79" ht="15.75">
      <c r="A79" s="32" t="s">
        <v>845</v>
      </c>
    </row>
    <row r="80" ht="15.75">
      <c r="A80" s="32" t="s">
        <v>846</v>
      </c>
    </row>
    <row r="81" ht="15.75">
      <c r="A81" s="32" t="s">
        <v>847</v>
      </c>
    </row>
    <row r="82" ht="15.75">
      <c r="A82" s="32" t="s">
        <v>848</v>
      </c>
    </row>
    <row r="83" ht="15.75">
      <c r="A83" s="32" t="s">
        <v>849</v>
      </c>
    </row>
    <row r="84" ht="15.75">
      <c r="A84" s="32" t="s">
        <v>850</v>
      </c>
    </row>
    <row r="87" ht="15.75">
      <c r="A87" s="516" t="s">
        <v>812</v>
      </c>
    </row>
    <row r="88" ht="15.75">
      <c r="A88" s="32" t="s">
        <v>813</v>
      </c>
    </row>
    <row r="90" ht="15.75">
      <c r="A90" s="516" t="s">
        <v>808</v>
      </c>
    </row>
    <row r="91" ht="15.75">
      <c r="A91" s="32" t="s">
        <v>809</v>
      </c>
    </row>
    <row r="92" ht="15.75">
      <c r="A92" s="32" t="s">
        <v>810</v>
      </c>
    </row>
    <row r="93" ht="15.75">
      <c r="A93" s="32" t="s">
        <v>811</v>
      </c>
    </row>
    <row r="95" ht="15.75">
      <c r="A95" s="516" t="s">
        <v>806</v>
      </c>
    </row>
    <row r="96" ht="15.75">
      <c r="A96" s="496" t="s">
        <v>807</v>
      </c>
    </row>
    <row r="98" ht="15.75">
      <c r="A98" s="516" t="s">
        <v>778</v>
      </c>
    </row>
    <row r="99" ht="15.75">
      <c r="A99" s="32" t="s">
        <v>779</v>
      </c>
    </row>
    <row r="101" ht="15.75">
      <c r="A101" s="516" t="s">
        <v>753</v>
      </c>
    </row>
    <row r="102" ht="15.75">
      <c r="A102" s="496" t="s">
        <v>744</v>
      </c>
    </row>
    <row r="103" ht="15.75">
      <c r="A103" s="496" t="s">
        <v>745</v>
      </c>
    </row>
    <row r="104" ht="31.5">
      <c r="A104" s="483" t="s">
        <v>746</v>
      </c>
    </row>
    <row r="105" ht="15.75">
      <c r="A105" s="496" t="s">
        <v>780</v>
      </c>
    </row>
    <row r="106" ht="15.75">
      <c r="A106" s="496" t="s">
        <v>781</v>
      </c>
    </row>
    <row r="107" ht="15.75">
      <c r="A107" s="496" t="s">
        <v>782</v>
      </c>
    </row>
    <row r="108" ht="15.75">
      <c r="A108" s="496" t="s">
        <v>783</v>
      </c>
    </row>
    <row r="109" ht="15.75">
      <c r="A109" s="496" t="s">
        <v>784</v>
      </c>
    </row>
    <row r="110" ht="15.75">
      <c r="A110" s="496" t="s">
        <v>785</v>
      </c>
    </row>
    <row r="111" ht="15.75">
      <c r="A111" s="496" t="s">
        <v>786</v>
      </c>
    </row>
    <row r="112" ht="15.75">
      <c r="A112" s="496" t="s">
        <v>787</v>
      </c>
    </row>
    <row r="113" ht="15.75">
      <c r="A113" s="496" t="s">
        <v>788</v>
      </c>
    </row>
    <row r="114" ht="15.75">
      <c r="A114" s="496" t="s">
        <v>789</v>
      </c>
    </row>
    <row r="115" ht="15.75">
      <c r="A115" s="496" t="s">
        <v>790</v>
      </c>
    </row>
    <row r="116" ht="15.75">
      <c r="A116" s="496" t="s">
        <v>791</v>
      </c>
    </row>
    <row r="117" ht="15.75">
      <c r="A117" s="496" t="s">
        <v>792</v>
      </c>
    </row>
    <row r="118" ht="15.75">
      <c r="A118" s="496" t="s">
        <v>793</v>
      </c>
    </row>
    <row r="119" ht="15.75">
      <c r="A119" s="496" t="s">
        <v>794</v>
      </c>
    </row>
    <row r="120" ht="15.75">
      <c r="A120" s="496" t="s">
        <v>795</v>
      </c>
    </row>
    <row r="121" ht="15.75">
      <c r="A121" s="496" t="s">
        <v>796</v>
      </c>
    </row>
    <row r="122" ht="15.75">
      <c r="A122" s="496" t="s">
        <v>797</v>
      </c>
    </row>
    <row r="123" ht="15.75">
      <c r="A123" s="496" t="s">
        <v>798</v>
      </c>
    </row>
    <row r="124" ht="15.75">
      <c r="A124" s="496" t="s">
        <v>799</v>
      </c>
    </row>
    <row r="125" ht="15.75">
      <c r="A125" s="496" t="s">
        <v>800</v>
      </c>
    </row>
    <row r="126" ht="15.75">
      <c r="A126" s="496" t="s">
        <v>801</v>
      </c>
    </row>
    <row r="127" ht="15.75">
      <c r="A127" s="496" t="s">
        <v>802</v>
      </c>
    </row>
    <row r="128" ht="15.75">
      <c r="A128" s="496" t="s">
        <v>803</v>
      </c>
    </row>
    <row r="129" ht="15.75">
      <c r="A129" s="496" t="s">
        <v>804</v>
      </c>
    </row>
    <row r="130" ht="15.75">
      <c r="A130" s="496" t="s">
        <v>805</v>
      </c>
    </row>
    <row r="132" ht="15.75">
      <c r="A132" s="362" t="s">
        <v>656</v>
      </c>
    </row>
    <row r="133" ht="15.75">
      <c r="A133" s="32" t="s">
        <v>657</v>
      </c>
    </row>
    <row r="134" ht="15.75">
      <c r="A134" s="32" t="s">
        <v>658</v>
      </c>
    </row>
    <row r="135" ht="15.75">
      <c r="A135" s="32" t="s">
        <v>659</v>
      </c>
    </row>
    <row r="137" ht="15.75">
      <c r="A137" s="362" t="s">
        <v>646</v>
      </c>
    </row>
    <row r="138" ht="15.75">
      <c r="A138" s="32" t="s">
        <v>655</v>
      </c>
    </row>
    <row r="140" ht="15.75">
      <c r="A140" s="362" t="s">
        <v>421</v>
      </c>
    </row>
    <row r="141" ht="15.75">
      <c r="A141" s="361" t="s">
        <v>422</v>
      </c>
    </row>
    <row r="142" ht="15.75">
      <c r="A142" s="361" t="s">
        <v>423</v>
      </c>
    </row>
    <row r="143" ht="15.75">
      <c r="A143" s="361" t="s">
        <v>424</v>
      </c>
    </row>
    <row r="144" ht="15.75">
      <c r="A144" s="32" t="s">
        <v>644</v>
      </c>
    </row>
    <row r="146" ht="15.75">
      <c r="A146" s="337" t="s">
        <v>351</v>
      </c>
    </row>
    <row r="147" ht="15.75">
      <c r="A147" s="341" t="s">
        <v>401</v>
      </c>
    </row>
    <row r="148" ht="15.75">
      <c r="A148" s="32" t="s">
        <v>402</v>
      </c>
    </row>
    <row r="149" ht="15.75">
      <c r="A149" s="32" t="s">
        <v>403</v>
      </c>
    </row>
    <row r="150" ht="21.75" customHeight="1">
      <c r="A150" s="35" t="s">
        <v>404</v>
      </c>
    </row>
    <row r="151" ht="15.75">
      <c r="A151" s="32" t="s">
        <v>405</v>
      </c>
    </row>
    <row r="152" ht="15.75">
      <c r="A152" s="32" t="s">
        <v>406</v>
      </c>
    </row>
    <row r="153" ht="15.75">
      <c r="A153" s="32" t="s">
        <v>407</v>
      </c>
    </row>
    <row r="154" ht="15.75">
      <c r="A154" s="32" t="s">
        <v>408</v>
      </c>
    </row>
    <row r="155" ht="15.75">
      <c r="A155" s="32" t="s">
        <v>409</v>
      </c>
    </row>
    <row r="156" ht="15.75">
      <c r="A156" s="32" t="s">
        <v>410</v>
      </c>
    </row>
    <row r="157" ht="15.75">
      <c r="A157" s="32" t="s">
        <v>411</v>
      </c>
    </row>
    <row r="159" ht="15.75">
      <c r="A159" s="337" t="s">
        <v>346</v>
      </c>
    </row>
    <row r="160" ht="15.75">
      <c r="A160" s="32" t="s">
        <v>347</v>
      </c>
    </row>
    <row r="162" ht="15.75">
      <c r="A162" s="337" t="s">
        <v>344</v>
      </c>
    </row>
    <row r="163" ht="15.75">
      <c r="A163" s="32" t="s">
        <v>345</v>
      </c>
    </row>
    <row r="165" ht="15.75">
      <c r="A165" s="337" t="s">
        <v>341</v>
      </c>
    </row>
    <row r="166" ht="15.75">
      <c r="A166" s="32" t="s">
        <v>342</v>
      </c>
    </row>
    <row r="167" ht="15.75">
      <c r="A167" s="32" t="s">
        <v>343</v>
      </c>
    </row>
    <row r="169" ht="15.75">
      <c r="A169" s="337" t="s">
        <v>63</v>
      </c>
    </row>
    <row r="170" ht="15.75">
      <c r="A170" s="32" t="s">
        <v>48</v>
      </c>
    </row>
    <row r="171" ht="15.75">
      <c r="A171" s="32" t="s">
        <v>49</v>
      </c>
    </row>
    <row r="172" ht="15.75">
      <c r="A172" s="32" t="s">
        <v>50</v>
      </c>
    </row>
    <row r="173" ht="15.75">
      <c r="A173" s="32" t="s">
        <v>57</v>
      </c>
    </row>
    <row r="174" ht="15.75">
      <c r="A174" s="32" t="s">
        <v>51</v>
      </c>
    </row>
    <row r="175" ht="15.75">
      <c r="A175" s="32" t="s">
        <v>52</v>
      </c>
    </row>
    <row r="176" ht="31.5">
      <c r="A176" s="35" t="s">
        <v>58</v>
      </c>
    </row>
    <row r="177" ht="31.5">
      <c r="A177" s="35" t="s">
        <v>53</v>
      </c>
    </row>
    <row r="178" ht="15.75">
      <c r="A178" s="35" t="s">
        <v>54</v>
      </c>
    </row>
    <row r="179" ht="15.75">
      <c r="A179" s="35" t="s">
        <v>55</v>
      </c>
    </row>
    <row r="180" ht="31.5">
      <c r="A180" s="35" t="s">
        <v>334</v>
      </c>
    </row>
    <row r="181" ht="15.75">
      <c r="A181" s="32" t="s">
        <v>335</v>
      </c>
    </row>
    <row r="182" ht="31.5">
      <c r="A182" s="35" t="s">
        <v>56</v>
      </c>
    </row>
    <row r="183" ht="15.75">
      <c r="A183" s="32" t="s">
        <v>60</v>
      </c>
    </row>
    <row r="184" ht="15.75">
      <c r="A184" s="32" t="s">
        <v>61</v>
      </c>
    </row>
    <row r="185" ht="15.75">
      <c r="A185" s="32" t="s">
        <v>62</v>
      </c>
    </row>
    <row r="186" ht="31.5">
      <c r="A186" s="35" t="s">
        <v>333</v>
      </c>
    </row>
    <row r="187" ht="15.75">
      <c r="A187" s="32" t="s">
        <v>332</v>
      </c>
    </row>
    <row r="188" ht="31.5">
      <c r="A188" s="35" t="s">
        <v>331</v>
      </c>
    </row>
    <row r="189" ht="15.75">
      <c r="A189" s="32" t="s">
        <v>336</v>
      </c>
    </row>
    <row r="191" ht="15.75">
      <c r="A191" s="337" t="s">
        <v>67</v>
      </c>
    </row>
    <row r="192" ht="15.75">
      <c r="A192" s="32" t="s">
        <v>68</v>
      </c>
    </row>
    <row r="193" ht="15.75">
      <c r="A193" s="32" t="s">
        <v>69</v>
      </c>
    </row>
    <row r="194" ht="15.75">
      <c r="A194" s="32" t="s">
        <v>70</v>
      </c>
    </row>
    <row r="195" ht="15.75">
      <c r="A195" s="32" t="s">
        <v>59</v>
      </c>
    </row>
    <row r="198" ht="15.75">
      <c r="A198" s="337" t="s">
        <v>44</v>
      </c>
    </row>
    <row r="199" ht="15.75">
      <c r="A199" s="32" t="s">
        <v>45</v>
      </c>
    </row>
    <row r="201" ht="15.75">
      <c r="A201" s="337" t="s">
        <v>37</v>
      </c>
    </row>
    <row r="202" ht="15.75">
      <c r="A202" s="32" t="s">
        <v>38</v>
      </c>
    </row>
    <row r="203" ht="15.75">
      <c r="A203" s="32" t="s">
        <v>39</v>
      </c>
    </row>
    <row r="204" ht="31.5">
      <c r="A204" s="35" t="s">
        <v>40</v>
      </c>
    </row>
    <row r="205" ht="15.75">
      <c r="A205" s="32" t="s">
        <v>41</v>
      </c>
    </row>
    <row r="206" ht="15.75">
      <c r="A206" s="32" t="s">
        <v>42</v>
      </c>
    </row>
    <row r="207" ht="15.75">
      <c r="A207" s="32" t="s">
        <v>43</v>
      </c>
    </row>
    <row r="209" ht="18" customHeight="1">
      <c r="A209" s="337" t="s">
        <v>302</v>
      </c>
    </row>
    <row r="210" ht="48.75" customHeight="1">
      <c r="A210" s="35" t="s">
        <v>337</v>
      </c>
    </row>
    <row r="211" ht="15.75">
      <c r="A211" s="32" t="s">
        <v>303</v>
      </c>
    </row>
    <row r="212" ht="15.75">
      <c r="A212" s="32" t="s">
        <v>304</v>
      </c>
    </row>
    <row r="213" ht="15.75">
      <c r="A213" s="32" t="s">
        <v>338</v>
      </c>
    </row>
    <row r="214" ht="15.75">
      <c r="A214" s="32" t="s">
        <v>305</v>
      </c>
    </row>
    <row r="215" ht="15.75">
      <c r="A215" s="32" t="s">
        <v>306</v>
      </c>
    </row>
    <row r="216" ht="15.75">
      <c r="A216" s="32" t="s">
        <v>6</v>
      </c>
    </row>
    <row r="217" ht="15.75">
      <c r="A217" s="32" t="s">
        <v>307</v>
      </c>
    </row>
    <row r="218" ht="15.75">
      <c r="A218" s="32" t="s">
        <v>308</v>
      </c>
    </row>
    <row r="219" ht="31.5">
      <c r="A219" s="35" t="s">
        <v>309</v>
      </c>
    </row>
    <row r="220" ht="31.5">
      <c r="A220" s="35" t="s">
        <v>15</v>
      </c>
    </row>
    <row r="221" ht="15.75">
      <c r="A221" s="32" t="s">
        <v>310</v>
      </c>
    </row>
    <row r="222" ht="15.75">
      <c r="A222" s="32" t="s">
        <v>311</v>
      </c>
    </row>
    <row r="223" ht="15.75">
      <c r="A223" s="32" t="s">
        <v>339</v>
      </c>
    </row>
    <row r="224" ht="15.75">
      <c r="A224" s="32" t="s">
        <v>312</v>
      </c>
    </row>
    <row r="225" ht="15.75">
      <c r="A225" s="32" t="s">
        <v>0</v>
      </c>
    </row>
    <row r="226" ht="31.5">
      <c r="A226" s="35" t="s">
        <v>1</v>
      </c>
    </row>
    <row r="227" ht="15.75">
      <c r="A227" s="32" t="s">
        <v>322</v>
      </c>
    </row>
    <row r="228" ht="15.75">
      <c r="A228" s="32" t="s">
        <v>323</v>
      </c>
    </row>
    <row r="229" ht="31.5">
      <c r="A229" s="35" t="s">
        <v>324</v>
      </c>
    </row>
    <row r="230" ht="15.75">
      <c r="A230" s="32" t="s">
        <v>24</v>
      </c>
    </row>
    <row r="231" ht="15.75">
      <c r="A231" s="32" t="s">
        <v>25</v>
      </c>
    </row>
    <row r="232" ht="15.75">
      <c r="A232" s="32" t="s">
        <v>26</v>
      </c>
    </row>
    <row r="233" ht="15.75">
      <c r="A233" s="32" t="s">
        <v>27</v>
      </c>
    </row>
    <row r="234" ht="15.75">
      <c r="A234" s="32" t="s">
        <v>28</v>
      </c>
    </row>
    <row r="235" ht="15.75">
      <c r="A235" s="32" t="s">
        <v>29</v>
      </c>
    </row>
    <row r="236" ht="15.75">
      <c r="A236" s="32" t="s">
        <v>30</v>
      </c>
    </row>
    <row r="237" ht="15.75">
      <c r="A237" s="32" t="s">
        <v>31</v>
      </c>
    </row>
    <row r="238" ht="15.75">
      <c r="A238" s="32" t="s">
        <v>32</v>
      </c>
    </row>
    <row r="239" ht="15.75">
      <c r="A239" s="32" t="s">
        <v>34</v>
      </c>
    </row>
    <row r="240" ht="15.75">
      <c r="A240" s="32" t="s">
        <v>35</v>
      </c>
    </row>
    <row r="241" ht="15.75">
      <c r="A241" s="32" t="s">
        <v>36</v>
      </c>
    </row>
    <row r="242" ht="15.75">
      <c r="A242" s="32" t="s">
        <v>33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7"/>
  <sheetViews>
    <sheetView zoomScalePageLayoutView="0" workbookViewId="0" topLeftCell="A1">
      <selection activeCell="B26" sqref="B26"/>
    </sheetView>
  </sheetViews>
  <sheetFormatPr defaultColWidth="8.796875" defaultRowHeight="15"/>
  <cols>
    <col min="1" max="1" width="13.796875" style="0" customWidth="1"/>
    <col min="2" max="2" width="16.09765625" style="0" customWidth="1"/>
  </cols>
  <sheetData>
    <row r="1" ht="15">
      <c r="J1" s="602" t="s">
        <v>866</v>
      </c>
    </row>
    <row r="2" spans="1:10" ht="54" customHeight="1">
      <c r="A2" s="749" t="s">
        <v>412</v>
      </c>
      <c r="B2" s="750"/>
      <c r="C2" s="750"/>
      <c r="D2" s="750"/>
      <c r="E2" s="750"/>
      <c r="F2" s="750"/>
      <c r="J2" s="602" t="s">
        <v>867</v>
      </c>
    </row>
    <row r="3" spans="1:10" ht="15.75">
      <c r="A3" s="1" t="s">
        <v>868</v>
      </c>
      <c r="B3" s="603" t="s">
        <v>1002</v>
      </c>
      <c r="C3" s="603"/>
      <c r="J3" s="602" t="s">
        <v>869</v>
      </c>
    </row>
    <row r="4" spans="1:10" ht="15.75">
      <c r="A4" s="1"/>
      <c r="B4" s="604"/>
      <c r="J4" s="602" t="s">
        <v>870</v>
      </c>
    </row>
    <row r="5" spans="1:10" ht="15.75">
      <c r="A5" s="1" t="s">
        <v>757</v>
      </c>
      <c r="B5" s="603" t="s">
        <v>242</v>
      </c>
      <c r="J5" s="602" t="s">
        <v>871</v>
      </c>
    </row>
    <row r="6" spans="1:10" ht="15.75">
      <c r="A6" s="345"/>
      <c r="B6" s="345"/>
      <c r="C6" s="345"/>
      <c r="D6" s="346" t="s">
        <v>872</v>
      </c>
      <c r="E6" s="345"/>
      <c r="F6" s="345"/>
      <c r="J6" s="602" t="s">
        <v>873</v>
      </c>
    </row>
    <row r="7" spans="1:10" ht="15.75">
      <c r="A7" s="346" t="s">
        <v>413</v>
      </c>
      <c r="B7" s="603" t="s">
        <v>1003</v>
      </c>
      <c r="C7" s="347"/>
      <c r="D7" s="346" t="str">
        <f>IF(B7="","",CONCATENATE("Latest date for notice to be published in your newspaper: ",G18," ",G22,", ",G23))</f>
        <v>Latest date for notice to be published in your newspaper: August 3, 2012</v>
      </c>
      <c r="E7" s="345"/>
      <c r="F7" s="345"/>
      <c r="J7" s="602" t="s">
        <v>874</v>
      </c>
    </row>
    <row r="8" spans="1:10" ht="15.75">
      <c r="A8" s="346"/>
      <c r="B8" s="348"/>
      <c r="C8" s="349"/>
      <c r="D8" s="346"/>
      <c r="E8" s="345"/>
      <c r="F8" s="345"/>
      <c r="J8" s="602" t="s">
        <v>875</v>
      </c>
    </row>
    <row r="9" spans="1:10" ht="15.75">
      <c r="A9" s="346" t="s">
        <v>414</v>
      </c>
      <c r="B9" s="603" t="s">
        <v>1001</v>
      </c>
      <c r="C9" s="350"/>
      <c r="D9" s="346"/>
      <c r="E9" s="345"/>
      <c r="F9" s="345"/>
      <c r="J9" s="602" t="s">
        <v>876</v>
      </c>
    </row>
    <row r="10" spans="1:10" ht="15.75">
      <c r="A10" s="346"/>
      <c r="B10" s="346"/>
      <c r="C10" s="346"/>
      <c r="D10" s="346"/>
      <c r="E10" s="345"/>
      <c r="F10" s="345"/>
      <c r="J10" s="602" t="s">
        <v>877</v>
      </c>
    </row>
    <row r="11" spans="1:10" ht="15.75">
      <c r="A11" s="346" t="s">
        <v>415</v>
      </c>
      <c r="B11" s="605" t="s">
        <v>420</v>
      </c>
      <c r="C11" s="605"/>
      <c r="D11" s="605"/>
      <c r="E11" s="606"/>
      <c r="F11" s="345"/>
      <c r="J11" s="602" t="s">
        <v>878</v>
      </c>
    </row>
    <row r="12" spans="1:10" ht="15.75">
      <c r="A12" s="346"/>
      <c r="B12" s="346"/>
      <c r="C12" s="346"/>
      <c r="D12" s="346"/>
      <c r="E12" s="345"/>
      <c r="F12" s="345"/>
      <c r="J12" s="602" t="s">
        <v>879</v>
      </c>
    </row>
    <row r="13" spans="1:6" ht="15.75">
      <c r="A13" s="346"/>
      <c r="B13" s="346"/>
      <c r="C13" s="346"/>
      <c r="D13" s="346"/>
      <c r="E13" s="345"/>
      <c r="F13" s="345"/>
    </row>
    <row r="14" spans="1:6" ht="15.75">
      <c r="A14" s="346" t="s">
        <v>416</v>
      </c>
      <c r="B14" s="605" t="s">
        <v>420</v>
      </c>
      <c r="C14" s="605"/>
      <c r="D14" s="605"/>
      <c r="E14" s="606"/>
      <c r="F14" s="345"/>
    </row>
    <row r="17" spans="1:6" ht="15.75">
      <c r="A17" s="751" t="s">
        <v>417</v>
      </c>
      <c r="B17" s="751"/>
      <c r="C17" s="346"/>
      <c r="D17" s="346"/>
      <c r="E17" s="346"/>
      <c r="F17" s="345"/>
    </row>
    <row r="18" spans="1:7" ht="15.75">
      <c r="A18" s="346"/>
      <c r="B18" s="346"/>
      <c r="C18" s="346"/>
      <c r="D18" s="346"/>
      <c r="E18" s="346"/>
      <c r="F18" s="345"/>
      <c r="G18" s="602" t="str">
        <f ca="1">IF(B7="","",INDIRECT(G19))</f>
        <v>August</v>
      </c>
    </row>
    <row r="19" spans="1:7" ht="15.75">
      <c r="A19" s="346" t="s">
        <v>757</v>
      </c>
      <c r="B19" s="346" t="s">
        <v>758</v>
      </c>
      <c r="C19" s="346"/>
      <c r="D19" s="346"/>
      <c r="E19" s="346"/>
      <c r="F19" s="345"/>
      <c r="G19" s="607" t="str">
        <f>IF(B7="","",CONCATENATE("J",G21))</f>
        <v>J8</v>
      </c>
    </row>
    <row r="20" spans="1:7" ht="15.75">
      <c r="A20" s="346"/>
      <c r="B20" s="346"/>
      <c r="C20" s="346"/>
      <c r="D20" s="346"/>
      <c r="E20" s="346"/>
      <c r="F20" s="345"/>
      <c r="G20" s="608">
        <f>B7-10</f>
        <v>41124</v>
      </c>
    </row>
    <row r="21" spans="1:7" ht="15.75">
      <c r="A21" s="346" t="s">
        <v>413</v>
      </c>
      <c r="B21" s="348" t="s">
        <v>418</v>
      </c>
      <c r="C21" s="346"/>
      <c r="D21" s="346"/>
      <c r="E21" s="346"/>
      <c r="G21" s="609">
        <f>IF(B7="","",MONTH(G20))</f>
        <v>8</v>
      </c>
    </row>
    <row r="22" spans="1:7" ht="15.75">
      <c r="A22" s="346"/>
      <c r="B22" s="346"/>
      <c r="C22" s="346"/>
      <c r="D22" s="346"/>
      <c r="E22" s="346"/>
      <c r="G22" s="610">
        <f>IF(B7="","",DAY(G20))</f>
        <v>3</v>
      </c>
    </row>
    <row r="23" spans="1:7" ht="15.75">
      <c r="A23" s="346" t="s">
        <v>414</v>
      </c>
      <c r="B23" s="346" t="s">
        <v>419</v>
      </c>
      <c r="C23" s="346"/>
      <c r="D23" s="346"/>
      <c r="E23" s="346"/>
      <c r="G23" s="611">
        <f>IF(B7="","",YEAR(G20))</f>
        <v>2012</v>
      </c>
    </row>
    <row r="24" spans="1:5" ht="15.75">
      <c r="A24" s="346"/>
      <c r="B24" s="346"/>
      <c r="C24" s="346"/>
      <c r="D24" s="346"/>
      <c r="E24" s="346"/>
    </row>
    <row r="25" spans="1:5" ht="15.75">
      <c r="A25" s="346" t="s">
        <v>415</v>
      </c>
      <c r="B25" s="346" t="s">
        <v>420</v>
      </c>
      <c r="C25" s="346"/>
      <c r="D25" s="346"/>
      <c r="E25" s="346"/>
    </row>
    <row r="26" spans="1:5" ht="15.75">
      <c r="A26" s="346"/>
      <c r="B26" s="346"/>
      <c r="C26" s="346"/>
      <c r="D26" s="346"/>
      <c r="E26" s="346"/>
    </row>
    <row r="27" spans="1:5" ht="15.75">
      <c r="A27" s="346" t="s">
        <v>416</v>
      </c>
      <c r="B27" s="346" t="s">
        <v>420</v>
      </c>
      <c r="C27" s="346"/>
      <c r="D27" s="346"/>
      <c r="E27" s="346"/>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J76"/>
  <sheetViews>
    <sheetView tabSelected="1" zoomScalePageLayoutView="0" workbookViewId="0" topLeftCell="A1">
      <selection activeCell="D30" sqref="D30"/>
    </sheetView>
  </sheetViews>
  <sheetFormatPr defaultColWidth="8.796875" defaultRowHeight="15"/>
  <cols>
    <col min="1" max="1" width="12" style="106" customWidth="1"/>
    <col min="2" max="2" width="24.296875" style="45" customWidth="1"/>
    <col min="3" max="3" width="10.796875" style="45" customWidth="1"/>
    <col min="4" max="4" width="5.796875" style="45" customWidth="1"/>
    <col min="5" max="5" width="14" style="45" customWidth="1"/>
    <col min="6" max="6" width="13.296875" style="45" customWidth="1"/>
    <col min="7" max="7" width="12.296875" style="45" customWidth="1"/>
    <col min="8" max="16384" width="8.8984375" style="106" customWidth="1"/>
  </cols>
  <sheetData>
    <row r="1" spans="2:9" ht="15.75">
      <c r="B1" s="47"/>
      <c r="C1" s="47"/>
      <c r="D1" s="46" t="s">
        <v>167</v>
      </c>
      <c r="E1" s="47"/>
      <c r="F1" s="47"/>
      <c r="G1" s="136"/>
      <c r="I1" s="32">
        <f>inputPrYr!C5</f>
        <v>2013</v>
      </c>
    </row>
    <row r="2" spans="2:7" ht="15.75">
      <c r="B2" s="754" t="str">
        <f>CONCATENATE("To the Clerk of ",(inputPrYr!D3),", State of Kansas")</f>
        <v>To the Clerk of Marshall County, State of Kansas</v>
      </c>
      <c r="C2" s="744"/>
      <c r="D2" s="744"/>
      <c r="E2" s="744"/>
      <c r="F2" s="744"/>
      <c r="G2" s="744"/>
    </row>
    <row r="3" spans="2:7" ht="15.75">
      <c r="B3" s="138" t="s">
        <v>660</v>
      </c>
      <c r="C3" s="56"/>
      <c r="D3" s="56"/>
      <c r="E3" s="56"/>
      <c r="F3" s="56"/>
      <c r="G3" s="56"/>
    </row>
    <row r="4" spans="2:7" ht="15.75">
      <c r="B4" s="752" t="str">
        <f>(inputPrYr!D2)</f>
        <v>City of Frankfort</v>
      </c>
      <c r="C4" s="753"/>
      <c r="D4" s="753"/>
      <c r="E4" s="753"/>
      <c r="F4" s="753"/>
      <c r="G4" s="753"/>
    </row>
    <row r="5" spans="2:7" ht="15.75">
      <c r="B5" s="138" t="s">
        <v>80</v>
      </c>
      <c r="C5" s="56"/>
      <c r="D5" s="56"/>
      <c r="E5" s="56"/>
      <c r="F5" s="56"/>
      <c r="G5" s="56"/>
    </row>
    <row r="6" spans="2:7" ht="15.75">
      <c r="B6" s="138" t="s">
        <v>81</v>
      </c>
      <c r="C6" s="56"/>
      <c r="D6" s="56"/>
      <c r="E6" s="56"/>
      <c r="F6" s="56"/>
      <c r="G6" s="56"/>
    </row>
    <row r="7" spans="2:7" ht="15.75">
      <c r="B7" s="138" t="str">
        <f>CONCATENATE("maximum expenditures for the various funds for the year ",I1,"; and")</f>
        <v>maximum expenditures for the various funds for the year 2013; and</v>
      </c>
      <c r="C7" s="56"/>
      <c r="D7" s="56"/>
      <c r="E7" s="56"/>
      <c r="F7" s="56"/>
      <c r="G7" s="56"/>
    </row>
    <row r="8" spans="2:7" ht="15.75">
      <c r="B8" s="138" t="str">
        <f>CONCATENATE("(3) the Amounts(s) of ",I1-1," Ad Valorem Tax are within statutory limitations.")</f>
        <v>(3) the Amounts(s) of 2012 Ad Valorem Tax are within statutory limitations.</v>
      </c>
      <c r="C8" s="56"/>
      <c r="D8" s="56"/>
      <c r="E8" s="56"/>
      <c r="F8" s="56"/>
      <c r="G8" s="56"/>
    </row>
    <row r="9" spans="2:7" ht="15.75">
      <c r="B9" s="47"/>
      <c r="C9" s="47"/>
      <c r="D9" s="47"/>
      <c r="E9" s="139" t="str">
        <f>CONCATENATE("",I1," Adopted Budget")</f>
        <v>2013 Adopted Budget</v>
      </c>
      <c r="F9" s="140"/>
      <c r="G9" s="141"/>
    </row>
    <row r="10" spans="2:7" ht="21" customHeight="1">
      <c r="B10" s="47"/>
      <c r="C10" s="47"/>
      <c r="D10" s="142"/>
      <c r="E10" s="143" t="s">
        <v>82</v>
      </c>
      <c r="F10" s="144" t="str">
        <f>CONCATENATE("Amount of ",I1-1,"")</f>
        <v>Amount of 2012</v>
      </c>
      <c r="G10" s="144" t="s">
        <v>83</v>
      </c>
    </row>
    <row r="11" spans="2:7" ht="15.75">
      <c r="B11" s="52"/>
      <c r="C11" s="47"/>
      <c r="D11" s="144" t="s">
        <v>84</v>
      </c>
      <c r="E11" s="425" t="s">
        <v>10</v>
      </c>
      <c r="F11" s="146" t="s">
        <v>274</v>
      </c>
      <c r="G11" s="145" t="s">
        <v>85</v>
      </c>
    </row>
    <row r="12" spans="2:7" ht="15.75">
      <c r="B12" s="147" t="s">
        <v>86</v>
      </c>
      <c r="C12" s="71"/>
      <c r="D12" s="148" t="s">
        <v>87</v>
      </c>
      <c r="E12" s="426" t="s">
        <v>666</v>
      </c>
      <c r="F12" s="149" t="s">
        <v>275</v>
      </c>
      <c r="G12" s="148" t="s">
        <v>88</v>
      </c>
    </row>
    <row r="13" spans="2:7" ht="15.75">
      <c r="B13" s="150" t="str">
        <f>CONCATENATE("Computation to Determine Limit for ",I1,"")</f>
        <v>Computation to Determine Limit for 2013</v>
      </c>
      <c r="C13" s="93"/>
      <c r="D13" s="151">
        <v>2</v>
      </c>
      <c r="E13" s="152"/>
      <c r="F13" s="152"/>
      <c r="G13" s="152"/>
    </row>
    <row r="14" spans="2:7" ht="15.75">
      <c r="B14" s="150" t="s">
        <v>938</v>
      </c>
      <c r="C14" s="71"/>
      <c r="D14" s="148">
        <v>3</v>
      </c>
      <c r="E14" s="145"/>
      <c r="F14" s="145"/>
      <c r="G14" s="145"/>
    </row>
    <row r="15" spans="2:7" ht="15.75">
      <c r="B15" s="150" t="s">
        <v>232</v>
      </c>
      <c r="C15" s="71"/>
      <c r="D15" s="148">
        <v>4</v>
      </c>
      <c r="E15" s="145"/>
      <c r="F15" s="145"/>
      <c r="G15" s="145"/>
    </row>
    <row r="16" spans="2:7" ht="15.75">
      <c r="B16" s="150" t="s">
        <v>89</v>
      </c>
      <c r="C16" s="93"/>
      <c r="D16" s="151">
        <v>5</v>
      </c>
      <c r="E16" s="153"/>
      <c r="F16" s="153"/>
      <c r="G16" s="153"/>
    </row>
    <row r="17" spans="2:7" ht="15.75">
      <c r="B17" s="150" t="s">
        <v>90</v>
      </c>
      <c r="C17" s="93"/>
      <c r="D17" s="151">
        <v>6</v>
      </c>
      <c r="E17" s="153"/>
      <c r="F17" s="153"/>
      <c r="G17" s="153"/>
    </row>
    <row r="18" spans="2:7" ht="15.75">
      <c r="B18" s="284" t="str">
        <f>IF(inputPrYr!D19="","","Computation to Determine State Library Grant")</f>
        <v>Computation to Determine State Library Grant</v>
      </c>
      <c r="C18" s="93"/>
      <c r="D18" s="161">
        <f>IF(inputPrYr!D19="","",'Library Grant'!F40)</f>
        <v>7</v>
      </c>
      <c r="E18" s="153"/>
      <c r="F18" s="153"/>
      <c r="G18" s="153"/>
    </row>
    <row r="19" spans="2:7" ht="15.75">
      <c r="B19" s="154" t="s">
        <v>91</v>
      </c>
      <c r="C19" s="155" t="s">
        <v>92</v>
      </c>
      <c r="D19" s="156"/>
      <c r="E19" s="157"/>
      <c r="F19" s="157"/>
      <c r="G19" s="157"/>
    </row>
    <row r="20" spans="2:7" ht="15.75">
      <c r="B20" s="64" t="s">
        <v>75</v>
      </c>
      <c r="C20" s="158" t="str">
        <f>IF(inputPrYr!C17&gt;0,(inputPrYr!C17),"  ")</f>
        <v>12-101a</v>
      </c>
      <c r="D20" s="151">
        <f>general!C59</f>
        <v>8</v>
      </c>
      <c r="E20" s="701">
        <f>IF(general!$E$111&lt;&gt;0,general!$E$111,"  ")</f>
        <v>997847</v>
      </c>
      <c r="F20" s="702">
        <f>IF(general!$E$118&lt;&gt;0,general!$E$118,0)</f>
        <v>192827</v>
      </c>
      <c r="G20" s="703">
        <f>IF($G$34=0,"",ROUND(F20/$G$34*1000,3))</f>
      </c>
    </row>
    <row r="21" spans="2:7" ht="15.75">
      <c r="B21" s="64" t="s">
        <v>46</v>
      </c>
      <c r="C21" s="158" t="str">
        <f>IF(inputPrYr!C18&gt;0,(inputPrYr!C18),"  ")</f>
        <v>10-113</v>
      </c>
      <c r="D21" s="151">
        <f>IF('DebtSvs-library'!C81&gt;0,'DebtSvs-library'!C81,"  ")</f>
        <v>9</v>
      </c>
      <c r="E21" s="701" t="str">
        <f>IF('DebtSvs-library'!E33&lt;&gt;0,'DebtSvs-library'!E33,"  ")</f>
        <v>  </v>
      </c>
      <c r="F21" s="702">
        <f>IF('DebtSvs-library'!E40&lt;&gt;0,'DebtSvs-library'!E40,0)</f>
        <v>0</v>
      </c>
      <c r="G21" s="703">
        <f>IF($G$34=0,"",ROUND(F21/$G$34*1000,3))</f>
      </c>
    </row>
    <row r="22" spans="2:10" ht="15.75">
      <c r="B22" s="87" t="str">
        <f>IF(inputPrYr!$B19&gt;"  ",(inputPrYr!$B19),"  ")</f>
        <v>Library</v>
      </c>
      <c r="C22" s="158" t="str">
        <f>IF(inputPrYr!C19&gt;0,(inputPrYr!C19),"  ")</f>
        <v>12-1220</v>
      </c>
      <c r="D22" s="151">
        <f>IF('DebtSvs-library'!C81&gt;0,'DebtSvs-library'!C81,"  ")</f>
        <v>9</v>
      </c>
      <c r="E22" s="701">
        <f>IF('DebtSvs-library'!E73&lt;&gt;0,'DebtSvs-library'!E73,"  ")</f>
        <v>47523</v>
      </c>
      <c r="F22" s="702">
        <f>IF('DebtSvs-library'!E80&lt;&gt;0,'DebtSvs-library'!E80,0)</f>
        <v>38612</v>
      </c>
      <c r="G22" s="703">
        <f>IF($G$34=0,"",ROUND(F22/$G$34*1000,3))</f>
      </c>
      <c r="I22" s="547"/>
      <c r="J22" s="547"/>
    </row>
    <row r="23" spans="2:10" ht="15.75">
      <c r="B23" s="87" t="str">
        <f>IF(inputPrYr!$B21&gt;"  ",(inputPrYr!$B21),"  ")</f>
        <v>  </v>
      </c>
      <c r="C23" s="158" t="str">
        <f>IF(inputPrYr!C21&gt;0,(inputPrYr!C21),"  ")</f>
        <v>  </v>
      </c>
      <c r="D23" s="151"/>
      <c r="E23" s="701"/>
      <c r="F23" s="702"/>
      <c r="G23" s="703">
        <f>IF($G$34=0,"",ROUND(F23/$G$34*1000,3))</f>
      </c>
      <c r="I23" s="547"/>
      <c r="J23" s="547"/>
    </row>
    <row r="24" spans="2:7" ht="15.75">
      <c r="B24" s="159" t="str">
        <f>IF(inputPrYr!$B34&gt;"  ",(inputPrYr!$B34),"  ")</f>
        <v>Special Highway</v>
      </c>
      <c r="C24" s="160"/>
      <c r="D24" s="161">
        <f>IF('Sp Hiway'!C67&gt;0,'Sp Hiway'!C67,"  ")</f>
        <v>10</v>
      </c>
      <c r="E24" s="701">
        <f>IF('Sp Hiway'!$E$30&gt;0,'Sp Hiway'!$E$30,"  ")</f>
        <v>19999</v>
      </c>
      <c r="F24" s="701"/>
      <c r="G24" s="704"/>
    </row>
    <row r="25" spans="2:7" ht="15.75">
      <c r="B25" s="159" t="str">
        <f>IF(inputPrYr!$B35&gt;"  ",(inputPrYr!$B35),"  ")</f>
        <v>Special Parks &amp; Recreation</v>
      </c>
      <c r="C25" s="160"/>
      <c r="D25" s="161">
        <f>IF('Sp Hiway'!C67&gt;0,'Sp Hiway'!C67,"  ")</f>
        <v>10</v>
      </c>
      <c r="E25" s="701">
        <f>IF('Sp Hiway'!$E$61&gt;0,'Sp Hiway'!$E$61,"  ")</f>
        <v>5145</v>
      </c>
      <c r="F25" s="701"/>
      <c r="G25" s="704"/>
    </row>
    <row r="26" spans="2:7" ht="15.75">
      <c r="B26" s="159" t="str">
        <f>IF(inputPrYr!$B36&gt;"  ",(inputPrYr!$B36),"  ")</f>
        <v>Ambulance</v>
      </c>
      <c r="C26" s="162"/>
      <c r="D26" s="161">
        <f>IF('Amb-WatUtil'!C65&gt;0,'Amb-WatUtil'!C65,"  ")</f>
        <v>11</v>
      </c>
      <c r="E26" s="701">
        <f>IF('Amb-WatUtil'!$E$28&gt;0,'Amb-WatUtil'!$E$28,"  ")</f>
        <v>278980</v>
      </c>
      <c r="F26" s="701"/>
      <c r="G26" s="704"/>
    </row>
    <row r="27" spans="2:7" ht="15.75">
      <c r="B27" s="159" t="str">
        <f>IF(inputPrYr!$B37&gt;"  ",(inputPrYr!$B37),"  ")</f>
        <v>Water Utility</v>
      </c>
      <c r="C27" s="160"/>
      <c r="D27" s="161">
        <f>IF('Amb-WatUtil'!C65&gt;0,'Amb-WatUtil'!C65,"  ")</f>
        <v>11</v>
      </c>
      <c r="E27" s="701">
        <f>IF('Amb-WatUtil'!$E$59&gt;0,'Amb-WatUtil'!$E$59,"  ")</f>
        <v>185800</v>
      </c>
      <c r="F27" s="701"/>
      <c r="G27" s="704"/>
    </row>
    <row r="28" spans="2:7" ht="15.75">
      <c r="B28" s="159" t="str">
        <f>IF(inputPrYr!$B38&gt;"  ",(inputPrYr!$B38),"  ")</f>
        <v>Sewer Utility</v>
      </c>
      <c r="C28" s="162"/>
      <c r="D28" s="161">
        <f>IF(SewerUtil!C65&gt;0,SewerUtil!C65,"  ")</f>
        <v>12</v>
      </c>
      <c r="E28" s="701">
        <f>IF(SewerUtil!$E$28&gt;0,SewerUtil!$E$28,"  ")</f>
        <v>104800</v>
      </c>
      <c r="F28" s="701"/>
      <c r="G28" s="704"/>
    </row>
    <row r="29" spans="2:7" ht="15.75">
      <c r="B29" s="159" t="str">
        <f>IF(inputPrYr!$B39&gt;"  ",(inputPrYr!$B39),"  ")</f>
        <v>  </v>
      </c>
      <c r="C29" s="163"/>
      <c r="D29" s="161" t="s">
        <v>82</v>
      </c>
      <c r="E29" s="701" t="str">
        <f>IF(SewerUtil!$E$59&gt;0,SewerUtil!$E$59,"  ")</f>
        <v>  </v>
      </c>
      <c r="F29" s="701"/>
      <c r="G29" s="704"/>
    </row>
    <row r="30" spans="2:7" ht="15.75">
      <c r="B30" s="159" t="str">
        <f>IF(inputPrYr!$B57&gt;"  ",(CapImprov!$A3),"  ")</f>
        <v>Non-Budgeted Funds-A</v>
      </c>
      <c r="C30" s="163"/>
      <c r="D30" s="161">
        <f>IF(CapImprov!F33&gt;0,CapImprov!F33,"  ")</f>
        <v>13</v>
      </c>
      <c r="E30" s="701"/>
      <c r="F30" s="701"/>
      <c r="G30" s="704"/>
    </row>
    <row r="31" spans="2:7" ht="16.5" thickBot="1">
      <c r="B31" s="159" t="str">
        <f>IF(inputPrYr!$B75&gt;"  ",(#REF!),"  ")</f>
        <v>  </v>
      </c>
      <c r="C31" s="162"/>
      <c r="D31" s="161"/>
      <c r="E31" s="705"/>
      <c r="F31" s="705"/>
      <c r="G31" s="706"/>
    </row>
    <row r="32" spans="2:7" ht="15.75">
      <c r="B32" s="397" t="s">
        <v>765</v>
      </c>
      <c r="C32" s="93"/>
      <c r="D32" s="258" t="s">
        <v>94</v>
      </c>
      <c r="E32" s="707">
        <f>SUM(E20:E31)</f>
        <v>1640094</v>
      </c>
      <c r="F32" s="707">
        <f>SUM(F20:F31)</f>
        <v>231439</v>
      </c>
      <c r="G32" s="708">
        <f>IF(SUM(G20:G31)=0,"",SUM(G20:G31))</f>
      </c>
    </row>
    <row r="33" spans="2:7" ht="15.75">
      <c r="B33" s="164" t="s">
        <v>328</v>
      </c>
      <c r="C33" s="165"/>
      <c r="D33" s="166"/>
      <c r="E33" s="167"/>
      <c r="F33" s="168" t="str">
        <f>IF(F32&gt;computation!J40,"Yes","No")</f>
        <v>Yes</v>
      </c>
      <c r="G33" s="424" t="s">
        <v>236</v>
      </c>
    </row>
    <row r="34" spans="2:7" ht="15.75">
      <c r="B34" s="150" t="s">
        <v>327</v>
      </c>
      <c r="C34" s="93"/>
      <c r="D34" s="151">
        <f>summ!D45</f>
        <v>14</v>
      </c>
      <c r="E34" s="47"/>
      <c r="F34" s="47"/>
      <c r="G34" s="522"/>
    </row>
    <row r="35" spans="2:7" ht="15.75">
      <c r="B35" s="150" t="s">
        <v>13</v>
      </c>
      <c r="C35" s="93"/>
      <c r="D35" s="151">
        <f>IF(nhood!C39&gt;0,nhood!C39,"")</f>
        <v>15</v>
      </c>
      <c r="E35" s="47"/>
      <c r="F35" s="47"/>
      <c r="G35" s="757" t="str">
        <f>CONCATENATE("Nov 1, ",I1-1," Total Assessed Valuation")</f>
        <v>Nov 1, 2012 Total Assessed Valuation</v>
      </c>
    </row>
    <row r="36" spans="2:7" ht="15.75">
      <c r="B36" s="107" t="s">
        <v>95</v>
      </c>
      <c r="C36" s="76"/>
      <c r="D36" s="76"/>
      <c r="E36" s="76"/>
      <c r="F36" s="76"/>
      <c r="G36" s="758"/>
    </row>
    <row r="37" spans="2:7" ht="15.75">
      <c r="B37" s="343" t="s">
        <v>1049</v>
      </c>
      <c r="C37" s="76"/>
      <c r="D37" s="47"/>
      <c r="E37" s="286"/>
      <c r="F37" s="76"/>
      <c r="G37" s="76"/>
    </row>
    <row r="38" spans="2:7" ht="15.75">
      <c r="B38" s="344"/>
      <c r="C38" s="76"/>
      <c r="D38" s="731" t="s">
        <v>935</v>
      </c>
      <c r="E38" s="727"/>
      <c r="F38" s="728"/>
      <c r="G38" s="728"/>
    </row>
    <row r="39" spans="2:7" ht="15.75">
      <c r="B39" s="107" t="s">
        <v>249</v>
      </c>
      <c r="C39" s="47"/>
      <c r="D39" s="726"/>
      <c r="E39" s="727"/>
      <c r="F39" s="728"/>
      <c r="G39" s="728"/>
    </row>
    <row r="40" spans="2:7" ht="15.75">
      <c r="B40" s="343" t="s">
        <v>1050</v>
      </c>
      <c r="C40" s="76"/>
      <c r="D40" s="728" t="s">
        <v>936</v>
      </c>
      <c r="E40" s="727"/>
      <c r="F40" s="727"/>
      <c r="G40" s="727"/>
    </row>
    <row r="41" spans="2:7" ht="15.75">
      <c r="B41" s="344" t="s">
        <v>1051</v>
      </c>
      <c r="C41" s="169"/>
      <c r="D41" s="728"/>
      <c r="E41" s="728"/>
      <c r="F41" s="729"/>
      <c r="G41" s="729"/>
    </row>
    <row r="42" spans="2:7" ht="15.75">
      <c r="B42" s="76" t="s">
        <v>937</v>
      </c>
      <c r="C42" s="169"/>
      <c r="D42" s="728" t="s">
        <v>936</v>
      </c>
      <c r="E42" s="728"/>
      <c r="F42" s="730"/>
      <c r="G42" s="730"/>
    </row>
    <row r="43" spans="2:7" ht="15.75">
      <c r="B43" s="344"/>
      <c r="C43" s="170"/>
      <c r="D43" s="728"/>
      <c r="E43" s="728"/>
      <c r="F43" s="729"/>
      <c r="G43" s="729"/>
    </row>
    <row r="44" spans="2:7" ht="15.75">
      <c r="B44" s="551" t="s">
        <v>5</v>
      </c>
      <c r="C44" s="171">
        <f>I1-1</f>
        <v>2012</v>
      </c>
      <c r="D44" s="728" t="s">
        <v>936</v>
      </c>
      <c r="E44" s="728"/>
      <c r="F44" s="730"/>
      <c r="G44" s="730"/>
    </row>
    <row r="45" spans="2:7" ht="15.75">
      <c r="B45" s="286"/>
      <c r="C45" s="171"/>
      <c r="D45" s="728"/>
      <c r="E45" s="728"/>
      <c r="F45" s="732"/>
      <c r="G45" s="728"/>
    </row>
    <row r="46" spans="2:7" ht="15.75">
      <c r="B46" s="552"/>
      <c r="C46" s="47"/>
      <c r="D46" s="733" t="s">
        <v>936</v>
      </c>
      <c r="E46" s="733"/>
      <c r="F46" s="733"/>
      <c r="G46" s="733"/>
    </row>
    <row r="47" spans="2:7" ht="15.75">
      <c r="B47" s="137" t="s">
        <v>97</v>
      </c>
      <c r="C47" s="47"/>
      <c r="D47" s="755" t="s">
        <v>96</v>
      </c>
      <c r="E47" s="756"/>
      <c r="F47" s="756"/>
      <c r="G47" s="756"/>
    </row>
    <row r="48" ht="15.75">
      <c r="B48" s="32"/>
    </row>
    <row r="58" spans="2:7" ht="15">
      <c r="B58" s="106"/>
      <c r="C58" s="106"/>
      <c r="D58" s="106"/>
      <c r="E58" s="106"/>
      <c r="F58" s="106"/>
      <c r="G58" s="106"/>
    </row>
    <row r="59" spans="2:7" ht="15">
      <c r="B59" s="106"/>
      <c r="C59" s="106"/>
      <c r="D59" s="106"/>
      <c r="E59" s="106"/>
      <c r="F59" s="106"/>
      <c r="G59" s="106"/>
    </row>
    <row r="60" spans="2:7" ht="15">
      <c r="B60" s="106"/>
      <c r="C60" s="106"/>
      <c r="D60" s="106"/>
      <c r="E60" s="106"/>
      <c r="F60" s="106"/>
      <c r="G60" s="106"/>
    </row>
    <row r="61" spans="2:7" ht="15">
      <c r="B61" s="106"/>
      <c r="C61" s="106"/>
      <c r="D61" s="106"/>
      <c r="E61" s="106"/>
      <c r="F61" s="106"/>
      <c r="G61" s="106"/>
    </row>
    <row r="62" spans="2:7" ht="15">
      <c r="B62" s="106"/>
      <c r="C62" s="106"/>
      <c r="D62" s="106"/>
      <c r="E62" s="106"/>
      <c r="F62" s="106"/>
      <c r="G62" s="106"/>
    </row>
    <row r="63" spans="2:7" ht="15">
      <c r="B63" s="106"/>
      <c r="C63" s="106"/>
      <c r="D63" s="106"/>
      <c r="E63" s="106"/>
      <c r="F63" s="106"/>
      <c r="G63" s="106"/>
    </row>
    <row r="64" spans="2:7" ht="15">
      <c r="B64" s="106"/>
      <c r="C64" s="106"/>
      <c r="D64" s="106"/>
      <c r="E64" s="106"/>
      <c r="F64" s="106"/>
      <c r="G64" s="106"/>
    </row>
    <row r="65" spans="2:7" ht="15">
      <c r="B65" s="106"/>
      <c r="C65" s="106"/>
      <c r="D65" s="106"/>
      <c r="E65" s="106"/>
      <c r="F65" s="106"/>
      <c r="G65" s="106"/>
    </row>
    <row r="66" spans="2:7" ht="15">
      <c r="B66" s="106"/>
      <c r="C66" s="106"/>
      <c r="D66" s="106"/>
      <c r="E66" s="106"/>
      <c r="F66" s="106"/>
      <c r="G66" s="106"/>
    </row>
    <row r="67" spans="2:7" ht="15">
      <c r="B67" s="106"/>
      <c r="C67" s="106"/>
      <c r="D67" s="106"/>
      <c r="E67" s="106"/>
      <c r="F67" s="106"/>
      <c r="G67" s="106"/>
    </row>
    <row r="68" spans="2:7" ht="15">
      <c r="B68" s="106"/>
      <c r="C68" s="106"/>
      <c r="D68" s="106"/>
      <c r="E68" s="106"/>
      <c r="F68" s="106"/>
      <c r="G68" s="106"/>
    </row>
    <row r="69" spans="2:7" ht="15">
      <c r="B69" s="106"/>
      <c r="C69" s="106"/>
      <c r="D69" s="106"/>
      <c r="E69" s="106"/>
      <c r="F69" s="106"/>
      <c r="G69" s="106"/>
    </row>
    <row r="70" spans="2:7" ht="15">
      <c r="B70" s="106"/>
      <c r="C70" s="106"/>
      <c r="D70" s="106"/>
      <c r="E70" s="106"/>
      <c r="F70" s="106"/>
      <c r="G70" s="106"/>
    </row>
    <row r="71" spans="2:7" ht="15">
      <c r="B71" s="106"/>
      <c r="C71" s="106"/>
      <c r="D71" s="106"/>
      <c r="E71" s="106"/>
      <c r="F71" s="106"/>
      <c r="G71" s="106"/>
    </row>
    <row r="72" spans="2:7" ht="15">
      <c r="B72" s="106"/>
      <c r="C72" s="106"/>
      <c r="D72" s="106"/>
      <c r="E72" s="106"/>
      <c r="F72" s="106"/>
      <c r="G72" s="106"/>
    </row>
    <row r="73" spans="2:7" ht="15">
      <c r="B73" s="106"/>
      <c r="C73" s="106"/>
      <c r="D73" s="106"/>
      <c r="E73" s="106"/>
      <c r="F73" s="106"/>
      <c r="G73" s="106"/>
    </row>
    <row r="76" spans="2:7" ht="15.75">
      <c r="B76" s="32"/>
      <c r="C76" s="32"/>
      <c r="D76" s="32"/>
      <c r="E76" s="32"/>
      <c r="F76" s="32"/>
      <c r="G76" s="32"/>
    </row>
  </sheetData>
  <sheetProtection/>
  <mergeCells count="4">
    <mergeCell ref="B4:G4"/>
    <mergeCell ref="B2:G2"/>
    <mergeCell ref="D47:G47"/>
    <mergeCell ref="G35:G36"/>
  </mergeCells>
  <printOptions/>
  <pageMargins left="1" right="0.5" top="0.5" bottom="0.5" header="0.25" footer="0.25"/>
  <pageSetup blackAndWhite="1" fitToHeight="1" fitToWidth="1" horizontalDpi="120" verticalDpi="120" orientation="portrait" scale="63" r:id="rId1"/>
  <headerFooter alignWithMargins="0">
    <oddHeader>&amp;RState of Kansas
City
</oddHeader>
    <oddFooter>&amp;C   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7">
      <selection activeCell="J36" sqref="J36"/>
    </sheetView>
  </sheetViews>
  <sheetFormatPr defaultColWidth="8.796875" defaultRowHeight="15.75" customHeight="1"/>
  <cols>
    <col min="1" max="2" width="3.296875" style="32" customWidth="1"/>
    <col min="3" max="3" width="31.296875" style="32" customWidth="1"/>
    <col min="4" max="4" width="2.296875" style="32" customWidth="1"/>
    <col min="5" max="5" width="15.796875" style="32" customWidth="1"/>
    <col min="6" max="6" width="2" style="32" customWidth="1"/>
    <col min="7" max="7" width="15.796875" style="32" customWidth="1"/>
    <col min="8" max="8" width="1.8984375" style="32" customWidth="1"/>
    <col min="9" max="9" width="1.796875" style="32" customWidth="1"/>
    <col min="10" max="10" width="15.796875" style="32" customWidth="1"/>
    <col min="11" max="16384" width="8.8984375" style="32" customWidth="1"/>
  </cols>
  <sheetData>
    <row r="1" spans="1:10" ht="15.75" customHeight="1">
      <c r="A1" s="173"/>
      <c r="B1" s="173"/>
      <c r="C1" s="174" t="str">
        <f>inputPrYr!D2</f>
        <v>City of Frankfort</v>
      </c>
      <c r="D1" s="173"/>
      <c r="E1" s="173"/>
      <c r="F1" s="173"/>
      <c r="G1" s="173"/>
      <c r="H1" s="173"/>
      <c r="I1" s="173"/>
      <c r="J1" s="173">
        <f>inputPrYr!C5</f>
        <v>2013</v>
      </c>
    </row>
    <row r="2" spans="1:10" ht="15.75" customHeight="1">
      <c r="A2" s="173"/>
      <c r="B2" s="173"/>
      <c r="C2" s="173"/>
      <c r="D2" s="173"/>
      <c r="E2" s="173"/>
      <c r="F2" s="173"/>
      <c r="G2" s="173"/>
      <c r="H2" s="173"/>
      <c r="I2" s="173"/>
      <c r="J2" s="173"/>
    </row>
    <row r="3" spans="1:10" ht="15.75">
      <c r="A3" s="760" t="str">
        <f>CONCATENATE("Computation to Determine Limit for ",J1,"")</f>
        <v>Computation to Determine Limit for 2013</v>
      </c>
      <c r="B3" s="761"/>
      <c r="C3" s="761"/>
      <c r="D3" s="761"/>
      <c r="E3" s="761"/>
      <c r="F3" s="761"/>
      <c r="G3" s="761"/>
      <c r="H3" s="761"/>
      <c r="I3" s="761"/>
      <c r="J3" s="761"/>
    </row>
    <row r="4" spans="1:10" ht="15.75">
      <c r="A4" s="173"/>
      <c r="B4" s="173"/>
      <c r="C4" s="173"/>
      <c r="D4" s="173"/>
      <c r="E4" s="761"/>
      <c r="F4" s="761"/>
      <c r="G4" s="761"/>
      <c r="H4" s="175"/>
      <c r="I4" s="173"/>
      <c r="J4" s="176" t="s">
        <v>180</v>
      </c>
    </row>
    <row r="5" spans="1:10" ht="15.75">
      <c r="A5" s="177" t="s">
        <v>181</v>
      </c>
      <c r="B5" s="173" t="str">
        <f>CONCATENATE("Total Tax Levy Amount in ",J1-1," Budget")</f>
        <v>Total Tax Levy Amount in 2012 Budget</v>
      </c>
      <c r="C5" s="173"/>
      <c r="D5" s="173"/>
      <c r="E5" s="178"/>
      <c r="F5" s="178"/>
      <c r="G5" s="178"/>
      <c r="H5" s="179" t="s">
        <v>182</v>
      </c>
      <c r="I5" s="178" t="s">
        <v>183</v>
      </c>
      <c r="J5" s="180">
        <f>inputPrYr!E31</f>
        <v>225632</v>
      </c>
    </row>
    <row r="6" spans="1:10" ht="15.75">
      <c r="A6" s="177" t="s">
        <v>184</v>
      </c>
      <c r="B6" s="173" t="str">
        <f>CONCATENATE("Debt Service Levy in ",J1-1," Budget")</f>
        <v>Debt Service Levy in 2012 Budget</v>
      </c>
      <c r="C6" s="173"/>
      <c r="D6" s="173"/>
      <c r="E6" s="178"/>
      <c r="F6" s="178"/>
      <c r="G6" s="178"/>
      <c r="H6" s="179" t="s">
        <v>185</v>
      </c>
      <c r="I6" s="178" t="s">
        <v>183</v>
      </c>
      <c r="J6" s="181">
        <f>inputPrYr!E18</f>
        <v>0</v>
      </c>
    </row>
    <row r="7" spans="1:10" ht="15.75">
      <c r="A7" s="177" t="s">
        <v>212</v>
      </c>
      <c r="B7" s="182" t="s">
        <v>209</v>
      </c>
      <c r="C7" s="173"/>
      <c r="D7" s="173"/>
      <c r="E7" s="178"/>
      <c r="F7" s="178"/>
      <c r="G7" s="178"/>
      <c r="H7" s="178"/>
      <c r="I7" s="178" t="s">
        <v>183</v>
      </c>
      <c r="J7" s="183">
        <f>J5-J6</f>
        <v>225632</v>
      </c>
    </row>
    <row r="8" spans="1:10" ht="15.75">
      <c r="A8" s="173"/>
      <c r="B8" s="173"/>
      <c r="C8" s="173"/>
      <c r="D8" s="173"/>
      <c r="E8" s="178"/>
      <c r="F8" s="178"/>
      <c r="G8" s="178"/>
      <c r="H8" s="178"/>
      <c r="I8" s="178"/>
      <c r="J8" s="178"/>
    </row>
    <row r="9" spans="1:10" ht="15.75">
      <c r="A9" s="173"/>
      <c r="B9" s="182" t="str">
        <f>CONCATENATE("",J1-1," Valuation Information for Valuation Adjustments:")</f>
        <v>2012 Valuation Information for Valuation Adjustments:</v>
      </c>
      <c r="C9" s="173"/>
      <c r="D9" s="173"/>
      <c r="E9" s="178"/>
      <c r="F9" s="178"/>
      <c r="G9" s="178"/>
      <c r="H9" s="178"/>
      <c r="I9" s="178"/>
      <c r="J9" s="178"/>
    </row>
    <row r="10" spans="1:10" ht="15.75">
      <c r="A10" s="173"/>
      <c r="B10" s="173"/>
      <c r="C10" s="182"/>
      <c r="D10" s="173"/>
      <c r="E10" s="178"/>
      <c r="F10" s="178"/>
      <c r="G10" s="178"/>
      <c r="H10" s="178"/>
      <c r="I10" s="178"/>
      <c r="J10" s="178"/>
    </row>
    <row r="11" spans="1:10" ht="15.75">
      <c r="A11" s="177" t="s">
        <v>186</v>
      </c>
      <c r="B11" s="182" t="str">
        <f>CONCATENATE("New Improvements for ",J1-1,":")</f>
        <v>New Improvements for 2012:</v>
      </c>
      <c r="C11" s="173"/>
      <c r="D11" s="173"/>
      <c r="E11" s="179"/>
      <c r="F11" s="179" t="s">
        <v>182</v>
      </c>
      <c r="G11" s="184">
        <f>inputOth!E8</f>
        <v>35680</v>
      </c>
      <c r="H11" s="185"/>
      <c r="I11" s="178"/>
      <c r="J11" s="178"/>
    </row>
    <row r="12" spans="1:10" ht="15.75">
      <c r="A12" s="177"/>
      <c r="B12" s="186"/>
      <c r="C12" s="173"/>
      <c r="D12" s="173"/>
      <c r="E12" s="179"/>
      <c r="F12" s="179"/>
      <c r="G12" s="185"/>
      <c r="H12" s="185"/>
      <c r="I12" s="178"/>
      <c r="J12" s="178"/>
    </row>
    <row r="13" spans="1:10" ht="15.75">
      <c r="A13" s="177" t="s">
        <v>187</v>
      </c>
      <c r="B13" s="182" t="str">
        <f>CONCATENATE("Increase in Personal Property for ",J1-1,":")</f>
        <v>Increase in Personal Property for 2012:</v>
      </c>
      <c r="C13" s="173"/>
      <c r="D13" s="173"/>
      <c r="E13" s="179"/>
      <c r="F13" s="179"/>
      <c r="G13" s="185"/>
      <c r="H13" s="185"/>
      <c r="I13" s="178"/>
      <c r="J13" s="178"/>
    </row>
    <row r="14" spans="1:10" ht="15.75">
      <c r="A14" s="187"/>
      <c r="B14" s="173" t="s">
        <v>188</v>
      </c>
      <c r="C14" s="173" t="str">
        <f>CONCATENATE("Personal Property ",J1-1,"")</f>
        <v>Personal Property 2012</v>
      </c>
      <c r="D14" s="186" t="s">
        <v>182</v>
      </c>
      <c r="E14" s="184">
        <f>inputOth!E9</f>
        <v>224719</v>
      </c>
      <c r="F14" s="179"/>
      <c r="G14" s="178"/>
      <c r="H14" s="178"/>
      <c r="I14" s="185"/>
      <c r="J14" s="178"/>
    </row>
    <row r="15" spans="1:10" ht="15.75">
      <c r="A15" s="186"/>
      <c r="B15" s="173" t="s">
        <v>189</v>
      </c>
      <c r="C15" s="173" t="str">
        <f>CONCATENATE("Personal Property ",J1-2,"")</f>
        <v>Personal Property 2011</v>
      </c>
      <c r="D15" s="186" t="s">
        <v>185</v>
      </c>
      <c r="E15" s="188">
        <f>inputOth!E15</f>
        <v>255976</v>
      </c>
      <c r="F15" s="179"/>
      <c r="G15" s="185"/>
      <c r="H15" s="185"/>
      <c r="I15" s="178"/>
      <c r="J15" s="178"/>
    </row>
    <row r="16" spans="1:10" ht="15.75">
      <c r="A16" s="186"/>
      <c r="B16" s="173" t="s">
        <v>190</v>
      </c>
      <c r="C16" s="173" t="s">
        <v>211</v>
      </c>
      <c r="D16" s="173"/>
      <c r="E16" s="178"/>
      <c r="F16" s="178" t="s">
        <v>182</v>
      </c>
      <c r="G16" s="180">
        <f>IF(E14&gt;E15,E14-E15,0)</f>
        <v>0</v>
      </c>
      <c r="H16" s="185"/>
      <c r="I16" s="178"/>
      <c r="J16" s="178"/>
    </row>
    <row r="17" spans="1:10" ht="15.75">
      <c r="A17" s="186"/>
      <c r="B17" s="186"/>
      <c r="C17" s="173"/>
      <c r="D17" s="173"/>
      <c r="E17" s="178"/>
      <c r="F17" s="178"/>
      <c r="G17" s="185" t="s">
        <v>203</v>
      </c>
      <c r="H17" s="185"/>
      <c r="I17" s="178"/>
      <c r="J17" s="178"/>
    </row>
    <row r="18" spans="1:10" ht="15.75">
      <c r="A18" s="186" t="s">
        <v>191</v>
      </c>
      <c r="B18" s="182" t="str">
        <f>CONCATENATE("Valuation of annexed territory for ",J1-1,"")</f>
        <v>Valuation of annexed territory for 2012</v>
      </c>
      <c r="C18" s="173"/>
      <c r="D18" s="173"/>
      <c r="E18" s="185"/>
      <c r="F18" s="178"/>
      <c r="G18" s="178"/>
      <c r="H18" s="178"/>
      <c r="I18" s="178"/>
      <c r="J18" s="178"/>
    </row>
    <row r="19" spans="1:10" ht="15.75">
      <c r="A19" s="186"/>
      <c r="B19" s="173" t="s">
        <v>192</v>
      </c>
      <c r="C19" s="173" t="s">
        <v>213</v>
      </c>
      <c r="D19" s="186" t="s">
        <v>182</v>
      </c>
      <c r="E19" s="184">
        <f>inputOth!E11</f>
        <v>0</v>
      </c>
      <c r="F19" s="178"/>
      <c r="G19" s="178"/>
      <c r="H19" s="178"/>
      <c r="I19" s="178"/>
      <c r="J19" s="178"/>
    </row>
    <row r="20" spans="1:10" ht="15.75">
      <c r="A20" s="186"/>
      <c r="B20" s="173" t="s">
        <v>193</v>
      </c>
      <c r="C20" s="173" t="s">
        <v>214</v>
      </c>
      <c r="D20" s="186" t="s">
        <v>182</v>
      </c>
      <c r="E20" s="184">
        <f>inputOth!E12</f>
        <v>0</v>
      </c>
      <c r="F20" s="178"/>
      <c r="G20" s="185"/>
      <c r="H20" s="185"/>
      <c r="I20" s="178"/>
      <c r="J20" s="178"/>
    </row>
    <row r="21" spans="1:10" ht="15.75">
      <c r="A21" s="186"/>
      <c r="B21" s="173" t="s">
        <v>194</v>
      </c>
      <c r="C21" s="173" t="s">
        <v>210</v>
      </c>
      <c r="D21" s="186" t="s">
        <v>185</v>
      </c>
      <c r="E21" s="184">
        <f>inputOth!E13</f>
        <v>0</v>
      </c>
      <c r="F21" s="178"/>
      <c r="G21" s="185"/>
      <c r="H21" s="185"/>
      <c r="I21" s="178"/>
      <c r="J21" s="178"/>
    </row>
    <row r="22" spans="1:10" ht="15.75">
      <c r="A22" s="186"/>
      <c r="B22" s="173" t="s">
        <v>195</v>
      </c>
      <c r="C22" s="173" t="s">
        <v>215</v>
      </c>
      <c r="D22" s="186"/>
      <c r="E22" s="185"/>
      <c r="F22" s="178" t="s">
        <v>182</v>
      </c>
      <c r="G22" s="180">
        <f>E19+E20-E21</f>
        <v>0</v>
      </c>
      <c r="H22" s="185"/>
      <c r="I22" s="178"/>
      <c r="J22" s="178"/>
    </row>
    <row r="23" spans="1:10" ht="15.75">
      <c r="A23" s="186"/>
      <c r="B23" s="186"/>
      <c r="C23" s="173"/>
      <c r="D23" s="186"/>
      <c r="E23" s="185"/>
      <c r="F23" s="178"/>
      <c r="G23" s="185"/>
      <c r="H23" s="185"/>
      <c r="I23" s="178"/>
      <c r="J23" s="178"/>
    </row>
    <row r="24" spans="1:10" ht="15.75">
      <c r="A24" s="186" t="s">
        <v>196</v>
      </c>
      <c r="B24" s="182" t="str">
        <f>CONCATENATE("Valuation of Property that has Changed in Use during ",J1-1,"")</f>
        <v>Valuation of Property that has Changed in Use during 2012</v>
      </c>
      <c r="C24" s="173"/>
      <c r="D24" s="173"/>
      <c r="E24" s="178"/>
      <c r="F24" s="178"/>
      <c r="G24" s="97">
        <f>inputOth!E14</f>
        <v>0</v>
      </c>
      <c r="H24" s="178"/>
      <c r="I24" s="178"/>
      <c r="J24" s="178"/>
    </row>
    <row r="25" spans="1:10" ht="15.75">
      <c r="A25" s="173" t="s">
        <v>82</v>
      </c>
      <c r="B25" s="173"/>
      <c r="C25" s="173"/>
      <c r="D25" s="186"/>
      <c r="E25" s="185"/>
      <c r="F25" s="178"/>
      <c r="G25" s="189"/>
      <c r="H25" s="185"/>
      <c r="I25" s="178"/>
      <c r="J25" s="178"/>
    </row>
    <row r="26" spans="1:10" ht="15.75">
      <c r="A26" s="186" t="s">
        <v>197</v>
      </c>
      <c r="B26" s="182" t="s">
        <v>216</v>
      </c>
      <c r="C26" s="173"/>
      <c r="D26" s="173"/>
      <c r="E26" s="178"/>
      <c r="F26" s="178"/>
      <c r="G26" s="180">
        <f>G11+G16+G22+G24</f>
        <v>35680</v>
      </c>
      <c r="H26" s="185"/>
      <c r="I26" s="178"/>
      <c r="J26" s="178"/>
    </row>
    <row r="27" spans="1:10" ht="15.75">
      <c r="A27" s="186"/>
      <c r="B27" s="186"/>
      <c r="C27" s="182"/>
      <c r="D27" s="173"/>
      <c r="E27" s="178"/>
      <c r="F27" s="178"/>
      <c r="G27" s="185"/>
      <c r="H27" s="185"/>
      <c r="I27" s="178"/>
      <c r="J27" s="178"/>
    </row>
    <row r="28" spans="1:10" ht="15.75">
      <c r="A28" s="186" t="s">
        <v>198</v>
      </c>
      <c r="B28" s="173" t="str">
        <f>CONCATENATE("Total Estimated Valuation July 1,",J1-1,"")</f>
        <v>Total Estimated Valuation July 1,2012</v>
      </c>
      <c r="C28" s="173"/>
      <c r="D28" s="173"/>
      <c r="E28" s="180">
        <f>inputOth!E7</f>
        <v>3234290</v>
      </c>
      <c r="F28" s="178"/>
      <c r="G28" s="178"/>
      <c r="H28" s="178"/>
      <c r="I28" s="179"/>
      <c r="J28" s="178"/>
    </row>
    <row r="29" spans="1:10" ht="15.75">
      <c r="A29" s="186"/>
      <c r="B29" s="186"/>
      <c r="C29" s="173"/>
      <c r="D29" s="173"/>
      <c r="E29" s="185"/>
      <c r="F29" s="178"/>
      <c r="G29" s="178"/>
      <c r="H29" s="178"/>
      <c r="I29" s="179"/>
      <c r="J29" s="178"/>
    </row>
    <row r="30" spans="1:10" ht="15.75">
      <c r="A30" s="186" t="s">
        <v>199</v>
      </c>
      <c r="B30" s="182" t="s">
        <v>217</v>
      </c>
      <c r="C30" s="173"/>
      <c r="D30" s="173"/>
      <c r="E30" s="178"/>
      <c r="F30" s="178"/>
      <c r="G30" s="180">
        <f>E28-G26</f>
        <v>3198610</v>
      </c>
      <c r="H30" s="185"/>
      <c r="I30" s="179"/>
      <c r="J30" s="178"/>
    </row>
    <row r="31" spans="1:10" ht="15.75">
      <c r="A31" s="186"/>
      <c r="B31" s="186"/>
      <c r="C31" s="182"/>
      <c r="D31" s="173"/>
      <c r="E31" s="173"/>
      <c r="F31" s="173"/>
      <c r="G31" s="190"/>
      <c r="H31" s="191"/>
      <c r="I31" s="186"/>
      <c r="J31" s="173"/>
    </row>
    <row r="32" spans="1:10" ht="15.75">
      <c r="A32" s="186" t="s">
        <v>200</v>
      </c>
      <c r="B32" s="173" t="s">
        <v>218</v>
      </c>
      <c r="C32" s="173"/>
      <c r="D32" s="173"/>
      <c r="E32" s="173"/>
      <c r="F32" s="173"/>
      <c r="G32" s="192">
        <f>IF(G30&gt;0,G26/G30,0)</f>
        <v>0.011154845385964528</v>
      </c>
      <c r="H32" s="191"/>
      <c r="I32" s="173"/>
      <c r="J32" s="173"/>
    </row>
    <row r="33" spans="1:10" ht="15.75">
      <c r="A33" s="186"/>
      <c r="B33" s="186"/>
      <c r="C33" s="173"/>
      <c r="D33" s="173"/>
      <c r="E33" s="173"/>
      <c r="F33" s="173"/>
      <c r="G33" s="191"/>
      <c r="H33" s="191"/>
      <c r="I33" s="173"/>
      <c r="J33" s="173"/>
    </row>
    <row r="34" spans="1:10" ht="15.75">
      <c r="A34" s="186" t="s">
        <v>201</v>
      </c>
      <c r="B34" s="173" t="s">
        <v>219</v>
      </c>
      <c r="C34" s="173"/>
      <c r="D34" s="173"/>
      <c r="E34" s="173"/>
      <c r="F34" s="173"/>
      <c r="G34" s="191"/>
      <c r="H34" s="193" t="s">
        <v>182</v>
      </c>
      <c r="I34" s="173" t="s">
        <v>183</v>
      </c>
      <c r="J34" s="180">
        <f>ROUND(G32*J7,0)</f>
        <v>2517</v>
      </c>
    </row>
    <row r="35" spans="1:10" ht="15.75">
      <c r="A35" s="186"/>
      <c r="B35" s="186"/>
      <c r="C35" s="173"/>
      <c r="D35" s="173"/>
      <c r="E35" s="173"/>
      <c r="F35" s="173"/>
      <c r="G35" s="191"/>
      <c r="H35" s="193"/>
      <c r="I35" s="173"/>
      <c r="J35" s="185"/>
    </row>
    <row r="36" spans="1:10" ht="16.5" thickBot="1">
      <c r="A36" s="186" t="s">
        <v>202</v>
      </c>
      <c r="B36" s="182" t="s">
        <v>225</v>
      </c>
      <c r="C36" s="173"/>
      <c r="D36" s="173"/>
      <c r="E36" s="173"/>
      <c r="F36" s="173"/>
      <c r="G36" s="173"/>
      <c r="H36" s="173"/>
      <c r="I36" s="173" t="s">
        <v>183</v>
      </c>
      <c r="J36" s="194">
        <f>J7+J34</f>
        <v>228149</v>
      </c>
    </row>
    <row r="37" spans="1:10" ht="16.5" thickTop="1">
      <c r="A37" s="173"/>
      <c r="B37" s="173"/>
      <c r="C37" s="173"/>
      <c r="D37" s="173"/>
      <c r="E37" s="173"/>
      <c r="F37" s="173"/>
      <c r="G37" s="173"/>
      <c r="H37" s="173"/>
      <c r="I37" s="173"/>
      <c r="J37" s="173"/>
    </row>
    <row r="38" spans="1:10" ht="15.75">
      <c r="A38" s="186" t="s">
        <v>223</v>
      </c>
      <c r="B38" s="182" t="str">
        <f>CONCATENATE("Debt Service in this ",J1," Budget")</f>
        <v>Debt Service in this 2013 Budget</v>
      </c>
      <c r="C38" s="173"/>
      <c r="D38" s="173"/>
      <c r="E38" s="173"/>
      <c r="F38" s="173"/>
      <c r="G38" s="173"/>
      <c r="H38" s="173"/>
      <c r="I38" s="173"/>
      <c r="J38" s="195">
        <f>'DebtSvs-library'!E40</f>
        <v>0</v>
      </c>
    </row>
    <row r="39" spans="1:10" ht="15.75">
      <c r="A39" s="186"/>
      <c r="B39" s="182"/>
      <c r="C39" s="173"/>
      <c r="D39" s="173"/>
      <c r="E39" s="173"/>
      <c r="F39" s="173"/>
      <c r="G39" s="173"/>
      <c r="H39" s="173"/>
      <c r="I39" s="173"/>
      <c r="J39" s="191"/>
    </row>
    <row r="40" spans="1:10" ht="16.5" thickBot="1">
      <c r="A40" s="186" t="s">
        <v>224</v>
      </c>
      <c r="B40" s="182" t="s">
        <v>226</v>
      </c>
      <c r="C40" s="173"/>
      <c r="D40" s="173"/>
      <c r="E40" s="173"/>
      <c r="F40" s="173"/>
      <c r="G40" s="173"/>
      <c r="H40" s="173"/>
      <c r="I40" s="173"/>
      <c r="J40" s="194">
        <f>J36+J38</f>
        <v>228149</v>
      </c>
    </row>
    <row r="41" spans="1:10" ht="16.5" thickTop="1">
      <c r="A41" s="173"/>
      <c r="B41" s="173"/>
      <c r="C41" s="173"/>
      <c r="D41" s="173"/>
      <c r="E41" s="173"/>
      <c r="F41" s="173"/>
      <c r="G41" s="173"/>
      <c r="H41" s="173"/>
      <c r="I41" s="173"/>
      <c r="J41" s="173"/>
    </row>
    <row r="42" spans="1:10" s="196" customFormat="1" ht="18.75">
      <c r="A42" s="759" t="str">
        <f>CONCATENATE("If the ",J1," budget includes tax levies exceeding the total on line 15, you must")</f>
        <v>If the 2013 budget includes tax levies exceeding the total on line 15, you must</v>
      </c>
      <c r="B42" s="759"/>
      <c r="C42" s="759"/>
      <c r="D42" s="759"/>
      <c r="E42" s="759"/>
      <c r="F42" s="759"/>
      <c r="G42" s="759"/>
      <c r="H42" s="759"/>
      <c r="I42" s="759"/>
      <c r="J42" s="759"/>
    </row>
    <row r="43" spans="1:10" s="196" customFormat="1" ht="18.75">
      <c r="A43" s="759" t="s">
        <v>290</v>
      </c>
      <c r="B43" s="759"/>
      <c r="C43" s="759"/>
      <c r="D43" s="759"/>
      <c r="E43" s="759"/>
      <c r="F43" s="759"/>
      <c r="G43" s="759"/>
      <c r="H43" s="759"/>
      <c r="I43" s="759"/>
      <c r="J43" s="759"/>
    </row>
    <row r="44" spans="1:10" s="196" customFormat="1" ht="18.75">
      <c r="A44" s="759" t="s">
        <v>291</v>
      </c>
      <c r="B44" s="759"/>
      <c r="C44" s="759"/>
      <c r="D44" s="759"/>
      <c r="E44" s="759"/>
      <c r="F44" s="759"/>
      <c r="G44" s="759"/>
      <c r="H44" s="759"/>
      <c r="I44" s="759"/>
      <c r="J44" s="759"/>
    </row>
  </sheetData>
  <sheetProtection sheet="1"/>
  <mergeCells count="5">
    <mergeCell ref="A42:J42"/>
    <mergeCell ref="A44:J44"/>
    <mergeCell ref="A3:J3"/>
    <mergeCell ref="E4:G4"/>
    <mergeCell ref="A43:J43"/>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C11" sqref="C11"/>
    </sheetView>
  </sheetViews>
  <sheetFormatPr defaultColWidth="8.796875" defaultRowHeight="15"/>
  <cols>
    <col min="1" max="1" width="8.8984375" style="45" customWidth="1"/>
    <col min="2" max="2" width="17.8984375" style="45" customWidth="1"/>
    <col min="3" max="3" width="16.09765625" style="45" customWidth="1"/>
    <col min="4" max="6" width="12.796875" style="45" customWidth="1"/>
    <col min="7" max="7" width="10.19921875" style="45" customWidth="1"/>
    <col min="8" max="16384" width="8.8984375" style="45" customWidth="1"/>
  </cols>
  <sheetData>
    <row r="1" spans="1:7" ht="15.75">
      <c r="A1" s="692"/>
      <c r="B1" s="197" t="str">
        <f>inputPrYr!D2</f>
        <v>City of Frankfort</v>
      </c>
      <c r="C1" s="197"/>
      <c r="D1" s="47"/>
      <c r="E1" s="47"/>
      <c r="F1" s="47"/>
      <c r="G1" s="47">
        <f>inputPrYr!C5</f>
        <v>2013</v>
      </c>
    </row>
    <row r="2" spans="1:7" ht="15.75">
      <c r="A2" s="692"/>
      <c r="B2" s="47"/>
      <c r="C2" s="47"/>
      <c r="D2" s="47"/>
      <c r="E2" s="47"/>
      <c r="F2" s="47"/>
      <c r="G2" s="47"/>
    </row>
    <row r="3" spans="1:7" ht="15.75">
      <c r="A3" s="692"/>
      <c r="B3" s="762" t="s">
        <v>8</v>
      </c>
      <c r="C3" s="762"/>
      <c r="D3" s="762"/>
      <c r="E3" s="762"/>
      <c r="F3" s="762"/>
      <c r="G3" s="47"/>
    </row>
    <row r="4" spans="1:7" ht="15.75">
      <c r="A4" s="692"/>
      <c r="B4" s="47"/>
      <c r="C4" s="198"/>
      <c r="D4" s="198"/>
      <c r="E4" s="198"/>
      <c r="F4" s="47"/>
      <c r="G4" s="76"/>
    </row>
    <row r="5" spans="1:8" ht="21" customHeight="1">
      <c r="A5" s="692"/>
      <c r="B5" s="199" t="s">
        <v>289</v>
      </c>
      <c r="C5" s="144" t="s">
        <v>939</v>
      </c>
      <c r="D5" s="763" t="str">
        <f>CONCATENATE("Allocation for Year ",G1,"")</f>
        <v>Allocation for Year 2013</v>
      </c>
      <c r="E5" s="764"/>
      <c r="F5" s="765"/>
      <c r="G5" s="47"/>
      <c r="H5" s="616"/>
    </row>
    <row r="6" spans="1:7" ht="15.75">
      <c r="A6" s="692"/>
      <c r="B6" s="200" t="str">
        <f>CONCATENATE("for ",G1-1,"")</f>
        <v>for 2012</v>
      </c>
      <c r="C6" s="200" t="str">
        <f>CONCATENATE("Amount for ",G1-2,"")</f>
        <v>Amount for 2011</v>
      </c>
      <c r="D6" s="148" t="s">
        <v>176</v>
      </c>
      <c r="E6" s="148" t="s">
        <v>177</v>
      </c>
      <c r="F6" s="148" t="s">
        <v>175</v>
      </c>
      <c r="G6" s="691"/>
    </row>
    <row r="7" spans="1:7" ht="15.75">
      <c r="A7" s="692"/>
      <c r="B7" s="87" t="str">
        <f>(inputPrYr!B17)</f>
        <v>General</v>
      </c>
      <c r="C7" s="151">
        <f>(inputPrYr!E17)</f>
        <v>189024</v>
      </c>
      <c r="D7" s="151">
        <f>IF(inputPrYr!E17=0,0,D22-SUM(D8:D19))</f>
        <v>41864</v>
      </c>
      <c r="E7" s="151">
        <f>IF(inputPrYr!E17=0,0,E23-SUM(E8:E19))</f>
        <v>730</v>
      </c>
      <c r="F7" s="151">
        <f>IF(inputPrYr!E17=0,0,F24-SUM(F8:F19))</f>
        <v>3418</v>
      </c>
      <c r="G7" s="692"/>
    </row>
    <row r="8" spans="1:7" ht="15.75">
      <c r="A8" s="692"/>
      <c r="B8" s="87" t="str">
        <f>IF(inputPrYr!$B18&gt;"  ",(inputPrYr!$B18),"  ")</f>
        <v>Debt Service</v>
      </c>
      <c r="C8" s="151" t="str">
        <f>IF(inputPrYr!$E18&gt;0,(inputPrYr!$E18),"  ")</f>
        <v>  </v>
      </c>
      <c r="D8" s="151" t="str">
        <f>IF(inputPrYr!E18&gt;0,ROUND(C8*$D$26,0),"  ")</f>
        <v>  </v>
      </c>
      <c r="E8" s="151" t="str">
        <f>IF(inputPrYr!E18&gt;0,ROUND(+C8*E$27,0)," ")</f>
        <v> </v>
      </c>
      <c r="F8" s="151" t="str">
        <f>IF(inputPrYr!E18&gt;0,ROUND(C8*F$28,0)," ")</f>
        <v> </v>
      </c>
      <c r="G8" s="692"/>
    </row>
    <row r="9" spans="1:7" ht="15.75">
      <c r="A9" s="692"/>
      <c r="B9" s="87" t="str">
        <f>IF(inputPrYr!$B19&gt;"  ",(inputPrYr!$B19),"  ")</f>
        <v>Library</v>
      </c>
      <c r="C9" s="151">
        <f>IF(inputPrYr!$E19&gt;0,(inputPrYr!$E19),"  ")</f>
        <v>36608</v>
      </c>
      <c r="D9" s="151">
        <f>IF(inputPrYr!E19&gt;0,ROUND(C9*$D$26,0),"  ")</f>
        <v>8108</v>
      </c>
      <c r="E9" s="151">
        <f>IF(inputPrYr!E19&gt;0,ROUND(+C9*E$27,0)," ")</f>
        <v>141</v>
      </c>
      <c r="F9" s="151">
        <f>IF(inputPrYr!E19&gt;0,ROUND(+C9*F$28,0)," ")</f>
        <v>662</v>
      </c>
      <c r="G9" s="692"/>
    </row>
    <row r="10" spans="1:7" ht="15.75">
      <c r="A10" s="692"/>
      <c r="B10" s="87" t="str">
        <f>IF(inputPrYr!$B21&gt;"  ",(inputPrYr!$B21),"  ")</f>
        <v>  </v>
      </c>
      <c r="C10" s="151" t="str">
        <f>IF(inputPrYr!$E21&gt;0,(inputPrYr!$E21),"  ")</f>
        <v>  </v>
      </c>
      <c r="D10" s="151" t="str">
        <f>IF(inputPrYr!E21&gt;0,ROUND(C10*$D$26,0),"  ")</f>
        <v>  </v>
      </c>
      <c r="E10" s="151" t="str">
        <f>IF(inputPrYr!E21&gt;0,ROUND(+C10*E$27,0)," ")</f>
        <v> </v>
      </c>
      <c r="F10" s="151" t="str">
        <f>IF(inputPrYr!E21&gt;0,ROUND(+C10*F$28,0)," ")</f>
        <v> </v>
      </c>
      <c r="G10" s="692"/>
    </row>
    <row r="11" spans="1:7" ht="15.75">
      <c r="A11" s="692"/>
      <c r="B11" s="87" t="str">
        <f>IF(inputPrYr!$B22&gt;"  ",(inputPrYr!$B22),"  ")</f>
        <v>  </v>
      </c>
      <c r="C11" s="151" t="str">
        <f>IF(inputPrYr!$E22&gt;0,(inputPrYr!$E22),"  ")</f>
        <v>  </v>
      </c>
      <c r="D11" s="151" t="str">
        <f>IF(inputPrYr!E22&gt;0,ROUND(C11*$D$26,0),"  ")</f>
        <v>  </v>
      </c>
      <c r="E11" s="151" t="str">
        <f>IF(inputPrYr!E22&gt;0,ROUND(+C11*E$27,0)," ")</f>
        <v> </v>
      </c>
      <c r="F11" s="151" t="str">
        <f>IF(inputPrYr!E22&gt;0,ROUND(+C11*F$28,0)," ")</f>
        <v> </v>
      </c>
      <c r="G11" s="692"/>
    </row>
    <row r="12" spans="1:7" ht="15.75">
      <c r="A12" s="692"/>
      <c r="B12" s="87" t="str">
        <f>IF(inputPrYr!$B23&gt;"  ",(inputPrYr!$B23),"  ")</f>
        <v>  </v>
      </c>
      <c r="C12" s="151" t="str">
        <f>IF(inputPrYr!$E23&gt;0,(inputPrYr!$E23),"  ")</f>
        <v>  </v>
      </c>
      <c r="D12" s="151" t="str">
        <f>IF(inputPrYr!E23&gt;0,ROUND(C12*$D$26,0),"  ")</f>
        <v>  </v>
      </c>
      <c r="E12" s="151" t="str">
        <f>IF(inputPrYr!E23&gt;0,ROUND(+C12*E$27,0)," ")</f>
        <v> </v>
      </c>
      <c r="F12" s="151" t="str">
        <f>IF(inputPrYr!E23&gt;0,ROUND(+C12*F$28,0)," ")</f>
        <v> </v>
      </c>
      <c r="G12" s="692"/>
    </row>
    <row r="13" spans="1:7" ht="15.75">
      <c r="A13" s="692"/>
      <c r="B13" s="87" t="str">
        <f>IF(inputPrYr!$B24&gt;"  ",(inputPrYr!$B24),"  ")</f>
        <v>  </v>
      </c>
      <c r="C13" s="151" t="str">
        <f>IF(inputPrYr!$E24&gt;0,(inputPrYr!$E24),"  ")</f>
        <v>  </v>
      </c>
      <c r="D13" s="151" t="str">
        <f>IF(inputPrYr!E24&gt;0,ROUND(C13*$D$26,0),"  ")</f>
        <v>  </v>
      </c>
      <c r="E13" s="151" t="str">
        <f>IF(inputPrYr!E24&gt;0,ROUND(+C13*E$27,0)," ")</f>
        <v> </v>
      </c>
      <c r="F13" s="151" t="str">
        <f>IF(inputPrYr!E24&gt;0,ROUND(+C13*F$28,0)," ")</f>
        <v> </v>
      </c>
      <c r="G13" s="692"/>
    </row>
    <row r="14" spans="1:7" ht="15.75">
      <c r="A14" s="692"/>
      <c r="B14" s="87" t="str">
        <f>IF(inputPrYr!$B25&gt;"  ",(inputPrYr!$B25),"  ")</f>
        <v>  </v>
      </c>
      <c r="C14" s="151" t="str">
        <f>IF(inputPrYr!$E25&gt;0,(inputPrYr!$E25),"  ")</f>
        <v>  </v>
      </c>
      <c r="D14" s="151" t="str">
        <f>IF(inputPrYr!E25&gt;0,ROUND(C14*$D$26,0),"  ")</f>
        <v>  </v>
      </c>
      <c r="E14" s="151" t="str">
        <f>IF(inputPrYr!E25&gt;0,ROUND(+C14*E$27,0)," ")</f>
        <v> </v>
      </c>
      <c r="F14" s="151" t="str">
        <f>IF(inputPrYr!E25&gt;0,ROUND(+C14*F$28,0)," ")</f>
        <v> </v>
      </c>
      <c r="G14" s="692"/>
    </row>
    <row r="15" spans="1:7" ht="15.75">
      <c r="A15" s="692"/>
      <c r="B15" s="87" t="str">
        <f>IF(inputPrYr!$B26&gt;"  ",(inputPrYr!$B26),"  ")</f>
        <v>  </v>
      </c>
      <c r="C15" s="151" t="str">
        <f>IF(inputPrYr!$E26&gt;0,(inputPrYr!$E26),"  ")</f>
        <v>  </v>
      </c>
      <c r="D15" s="151" t="str">
        <f>IF(inputPrYr!E26&gt;0,ROUND(C15*$D$26,0),"  ")</f>
        <v>  </v>
      </c>
      <c r="E15" s="151" t="str">
        <f>IF(inputPrYr!E26&gt;0,ROUND(+C15*E$27,0)," ")</f>
        <v> </v>
      </c>
      <c r="F15" s="151" t="str">
        <f>IF(inputPrYr!E26&gt;0,ROUND(+C15*F$28,0)," ")</f>
        <v> </v>
      </c>
      <c r="G15" s="692"/>
    </row>
    <row r="16" spans="1:7" ht="15.75">
      <c r="A16" s="692"/>
      <c r="B16" s="87" t="str">
        <f>IF(inputPrYr!$B27&gt;"  ",(inputPrYr!$B27),"  ")</f>
        <v>  </v>
      </c>
      <c r="C16" s="151" t="str">
        <f>IF(inputPrYr!$E27&gt;0,(inputPrYr!$E27),"  ")</f>
        <v>  </v>
      </c>
      <c r="D16" s="151" t="str">
        <f>IF(inputPrYr!E27&gt;0,ROUND(C16*$D$26,0),"  ")</f>
        <v>  </v>
      </c>
      <c r="E16" s="151" t="str">
        <f>IF(inputPrYr!E27&gt;0,ROUND(+C16*E$27,0)," ")</f>
        <v> </v>
      </c>
      <c r="F16" s="151" t="str">
        <f>IF(inputPrYr!E27&gt;0,ROUND(+C16*F$28,0)," ")</f>
        <v> </v>
      </c>
      <c r="G16" s="692"/>
    </row>
    <row r="17" spans="1:7" ht="15.75">
      <c r="A17" s="692"/>
      <c r="B17" s="87" t="str">
        <f>IF(inputPrYr!$B28&gt;"  ",(inputPrYr!$B28),"  ")</f>
        <v>  </v>
      </c>
      <c r="C17" s="151" t="str">
        <f>IF(inputPrYr!$E28&gt;0,(inputPrYr!$E28),"  ")</f>
        <v>  </v>
      </c>
      <c r="D17" s="151" t="str">
        <f>IF(inputPrYr!E28&gt;0,ROUND(C17*$D$26,0),"  ")</f>
        <v>  </v>
      </c>
      <c r="E17" s="151" t="str">
        <f>IF(inputPrYr!E28&gt;0,ROUND(+C17*E$27,0)," ")</f>
        <v> </v>
      </c>
      <c r="F17" s="151" t="str">
        <f>IF(inputPrYr!E28&gt;0,ROUND(+C17*F$28,0)," ")</f>
        <v> </v>
      </c>
      <c r="G17" s="692"/>
    </row>
    <row r="18" spans="1:7" ht="15.75">
      <c r="A18" s="692"/>
      <c r="B18" s="87" t="str">
        <f>IF(inputPrYr!$B29&gt;"  ",(inputPrYr!$B29),"  ")</f>
        <v>  </v>
      </c>
      <c r="C18" s="151" t="str">
        <f>IF(inputPrYr!$E29&gt;0,(inputPrYr!$E29),"  ")</f>
        <v>  </v>
      </c>
      <c r="D18" s="151" t="str">
        <f>IF(inputPrYr!E29&gt;0,ROUND(C18*$D$26,0),"  ")</f>
        <v>  </v>
      </c>
      <c r="E18" s="151" t="str">
        <f>IF(inputPrYr!E29&gt;0,ROUND(+C18*E$27,0)," ")</f>
        <v> </v>
      </c>
      <c r="F18" s="151" t="str">
        <f>IF(inputPrYr!E29&gt;0,ROUND(+C18*F$28,0)," ")</f>
        <v> </v>
      </c>
      <c r="G18" s="692"/>
    </row>
    <row r="19" spans="1:7" ht="15.75">
      <c r="A19" s="692"/>
      <c r="B19" s="87" t="str">
        <f>IF(inputPrYr!B30&gt;"  ",(inputPrYr!B30),"  ")</f>
        <v>  </v>
      </c>
      <c r="C19" s="151" t="str">
        <f>IF(inputPrYr!E30&gt;0,(inputPrYr!E30),"  ")</f>
        <v>  </v>
      </c>
      <c r="D19" s="151" t="str">
        <f>IF(inputPrYr!E30&gt;0,ROUND(C19*$D$26,0),"  ")</f>
        <v>  </v>
      </c>
      <c r="E19" s="151" t="str">
        <f>IF(inputPrYr!E30&gt;0,ROUND(+C19*E$27,0)," ")</f>
        <v> </v>
      </c>
      <c r="F19" s="151" t="str">
        <f>IF(inputPrYr!E30&gt;0,ROUND(+C19*F$28,0)," ")</f>
        <v> </v>
      </c>
      <c r="G19" s="692"/>
    </row>
    <row r="20" spans="1:7" ht="15.75">
      <c r="A20" s="692"/>
      <c r="B20" s="47" t="s">
        <v>100</v>
      </c>
      <c r="C20" s="158">
        <f>SUM(C7:C19)</f>
        <v>225632</v>
      </c>
      <c r="D20" s="158">
        <f>SUM(D7:D19)</f>
        <v>49972</v>
      </c>
      <c r="E20" s="158">
        <f>SUM(E7:E19)</f>
        <v>871</v>
      </c>
      <c r="F20" s="158">
        <f>SUM(F7:F19)</f>
        <v>4080</v>
      </c>
      <c r="G20" s="47"/>
    </row>
    <row r="21" spans="1:7" ht="15.75">
      <c r="A21" s="692"/>
      <c r="B21" s="47"/>
      <c r="C21" s="77"/>
      <c r="D21" s="77"/>
      <c r="E21" s="77"/>
      <c r="F21" s="77"/>
      <c r="G21" s="47"/>
    </row>
    <row r="22" spans="1:7" ht="15.75">
      <c r="A22" s="692"/>
      <c r="B22" s="52" t="s">
        <v>101</v>
      </c>
      <c r="C22" s="201"/>
      <c r="D22" s="202">
        <f>(inputOth!E39)</f>
        <v>49972</v>
      </c>
      <c r="E22" s="201"/>
      <c r="F22" s="47"/>
      <c r="G22" s="47"/>
    </row>
    <row r="23" spans="1:7" ht="15.75">
      <c r="A23" s="692"/>
      <c r="B23" s="52" t="s">
        <v>102</v>
      </c>
      <c r="C23" s="47"/>
      <c r="D23" s="47"/>
      <c r="E23" s="202">
        <f>(inputOth!E40)</f>
        <v>871</v>
      </c>
      <c r="F23" s="47"/>
      <c r="G23" s="47"/>
    </row>
    <row r="24" spans="1:7" ht="15.75">
      <c r="A24" s="692"/>
      <c r="B24" s="52" t="s">
        <v>178</v>
      </c>
      <c r="C24" s="47"/>
      <c r="D24" s="47"/>
      <c r="E24" s="47"/>
      <c r="F24" s="202">
        <f>inputOth!E41</f>
        <v>4080</v>
      </c>
      <c r="G24" s="47"/>
    </row>
    <row r="25" spans="1:7" ht="15.75">
      <c r="A25" s="692"/>
      <c r="B25" s="52"/>
      <c r="C25" s="47"/>
      <c r="D25" s="47"/>
      <c r="E25" s="47"/>
      <c r="F25" s="77"/>
      <c r="G25" s="373"/>
    </row>
    <row r="26" spans="1:7" ht="15.75">
      <c r="A26" s="692"/>
      <c r="B26" s="52" t="s">
        <v>103</v>
      </c>
      <c r="C26" s="47"/>
      <c r="D26" s="203">
        <f>IF(C20=0,0,D22/C20)</f>
        <v>0.22147567720890654</v>
      </c>
      <c r="E26" s="47"/>
      <c r="F26" s="47"/>
      <c r="G26" s="47"/>
    </row>
    <row r="27" spans="1:7" ht="15.75">
      <c r="A27" s="692"/>
      <c r="B27" s="47"/>
      <c r="C27" s="52" t="s">
        <v>104</v>
      </c>
      <c r="D27" s="47"/>
      <c r="E27" s="203">
        <f>IF(C20=0,0,E23/C20)</f>
        <v>0.00386026804708552</v>
      </c>
      <c r="F27" s="47"/>
      <c r="G27" s="47"/>
    </row>
    <row r="28" spans="1:7" ht="15.75">
      <c r="A28" s="692"/>
      <c r="B28" s="47"/>
      <c r="C28" s="47"/>
      <c r="D28" s="52" t="s">
        <v>179</v>
      </c>
      <c r="E28" s="47"/>
      <c r="F28" s="203">
        <f>IF(C20=0,0,F24/C20)</f>
        <v>0.018082541483477522</v>
      </c>
      <c r="G28" s="47"/>
    </row>
    <row r="29" spans="1:7" ht="15.75">
      <c r="A29" s="692"/>
      <c r="B29" s="47"/>
      <c r="C29" s="47"/>
      <c r="D29" s="47"/>
      <c r="E29" s="47"/>
      <c r="F29" s="47"/>
      <c r="G29" s="47"/>
    </row>
    <row r="30" spans="1:7" ht="15.75">
      <c r="A30" s="692"/>
      <c r="B30" s="68"/>
      <c r="C30" s="68"/>
      <c r="D30" s="68"/>
      <c r="E30" s="68"/>
      <c r="F30" s="68"/>
      <c r="G30" s="68"/>
    </row>
  </sheetData>
  <sheetProtection sheet="1"/>
  <mergeCells count="2">
    <mergeCell ref="B3:F3"/>
    <mergeCell ref="D5:F5"/>
  </mergeCells>
  <printOptions/>
  <pageMargins left="0.5" right="0.5" top="1" bottom="0.5" header="0.5" footer="0.5"/>
  <pageSetup blackAndWhite="1" fitToHeight="1" fitToWidth="1" horizontalDpi="120" verticalDpi="120" orientation="portrait" scale="87"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G31"/>
  <sheetViews>
    <sheetView zoomScalePageLayoutView="0" workbookViewId="0" topLeftCell="A1">
      <selection activeCell="F10" sqref="F10"/>
    </sheetView>
  </sheetViews>
  <sheetFormatPr defaultColWidth="8.796875" defaultRowHeight="15"/>
  <cols>
    <col min="1" max="1" width="4.19921875" style="32" customWidth="1"/>
    <col min="2" max="3" width="17.796875" style="32" customWidth="1"/>
    <col min="4" max="7" width="12.796875" style="32" customWidth="1"/>
    <col min="8" max="16384" width="8.8984375" style="32" customWidth="1"/>
  </cols>
  <sheetData>
    <row r="1" spans="2:7" ht="15.75">
      <c r="B1" s="174" t="str">
        <f>inputPrYr!D2</f>
        <v>City of Frankfort</v>
      </c>
      <c r="C1" s="174"/>
      <c r="D1" s="173"/>
      <c r="E1" s="173"/>
      <c r="F1" s="173"/>
      <c r="G1" s="173">
        <f>inputPrYr!$C$5</f>
        <v>2013</v>
      </c>
    </row>
    <row r="2" spans="2:7" ht="15.75">
      <c r="B2" s="173"/>
      <c r="C2" s="173"/>
      <c r="D2" s="173"/>
      <c r="E2" s="173"/>
      <c r="F2" s="173"/>
      <c r="G2" s="173"/>
    </row>
    <row r="3" spans="2:7" ht="15.75">
      <c r="B3" s="766" t="s">
        <v>232</v>
      </c>
      <c r="C3" s="766"/>
      <c r="D3" s="766"/>
      <c r="E3" s="766"/>
      <c r="F3" s="766"/>
      <c r="G3" s="766"/>
    </row>
    <row r="4" spans="2:7" ht="15.75">
      <c r="B4" s="204"/>
      <c r="C4" s="204"/>
      <c r="D4" s="204"/>
      <c r="E4" s="204"/>
      <c r="F4" s="204"/>
      <c r="G4" s="204"/>
    </row>
    <row r="5" spans="2:7" ht="15.75">
      <c r="B5" s="205" t="s">
        <v>651</v>
      </c>
      <c r="C5" s="205" t="s">
        <v>652</v>
      </c>
      <c r="D5" s="205" t="s">
        <v>127</v>
      </c>
      <c r="E5" s="205" t="s">
        <v>246</v>
      </c>
      <c r="F5" s="205" t="s">
        <v>247</v>
      </c>
      <c r="G5" s="205" t="s">
        <v>281</v>
      </c>
    </row>
    <row r="6" spans="2:7" ht="15.75">
      <c r="B6" s="206" t="s">
        <v>653</v>
      </c>
      <c r="C6" s="206" t="s">
        <v>654</v>
      </c>
      <c r="D6" s="206" t="s">
        <v>282</v>
      </c>
      <c r="E6" s="206" t="s">
        <v>282</v>
      </c>
      <c r="F6" s="206" t="s">
        <v>282</v>
      </c>
      <c r="G6" s="206" t="s">
        <v>283</v>
      </c>
    </row>
    <row r="7" spans="2:7" ht="15" customHeight="1">
      <c r="B7" s="207" t="s">
        <v>284</v>
      </c>
      <c r="C7" s="207" t="s">
        <v>285</v>
      </c>
      <c r="D7" s="208">
        <f>G1-2</f>
        <v>2011</v>
      </c>
      <c r="E7" s="208">
        <f>G1-1</f>
        <v>2012</v>
      </c>
      <c r="F7" s="208">
        <f>G1</f>
        <v>2013</v>
      </c>
      <c r="G7" s="207" t="s">
        <v>286</v>
      </c>
    </row>
    <row r="8" spans="2:7" ht="14.25" customHeight="1">
      <c r="B8" s="209" t="s">
        <v>75</v>
      </c>
      <c r="C8" s="209" t="s">
        <v>1000</v>
      </c>
      <c r="D8" s="210">
        <v>30000</v>
      </c>
      <c r="E8" s="210">
        <v>26000</v>
      </c>
      <c r="F8" s="210">
        <v>17500</v>
      </c>
      <c r="G8" s="211" t="s">
        <v>1004</v>
      </c>
    </row>
    <row r="9" spans="2:7" ht="15" customHeight="1">
      <c r="B9" s="212" t="s">
        <v>46</v>
      </c>
      <c r="C9" s="212" t="s">
        <v>75</v>
      </c>
      <c r="D9" s="213">
        <v>7849</v>
      </c>
      <c r="E9" s="213">
        <v>0</v>
      </c>
      <c r="F9" s="213">
        <v>0</v>
      </c>
      <c r="G9" s="211" t="s">
        <v>1005</v>
      </c>
    </row>
    <row r="10" spans="2:7" ht="15" customHeight="1">
      <c r="B10" s="212"/>
      <c r="C10" s="212"/>
      <c r="D10" s="213"/>
      <c r="E10" s="213"/>
      <c r="F10" s="213"/>
      <c r="G10" s="211"/>
    </row>
    <row r="11" spans="2:7" ht="15" customHeight="1">
      <c r="B11" s="212"/>
      <c r="C11" s="212"/>
      <c r="D11" s="213"/>
      <c r="E11" s="213"/>
      <c r="F11" s="213"/>
      <c r="G11" s="211"/>
    </row>
    <row r="12" spans="2:7" ht="15" customHeight="1">
      <c r="B12" s="212"/>
      <c r="C12" s="212"/>
      <c r="D12" s="213"/>
      <c r="E12" s="213"/>
      <c r="F12" s="213"/>
      <c r="G12" s="211"/>
    </row>
    <row r="13" spans="2:7" ht="15" customHeight="1">
      <c r="B13" s="212"/>
      <c r="C13" s="212"/>
      <c r="D13" s="213"/>
      <c r="E13" s="213"/>
      <c r="F13" s="213"/>
      <c r="G13" s="211"/>
    </row>
    <row r="14" spans="2:7" ht="15" customHeight="1">
      <c r="B14" s="212"/>
      <c r="C14" s="212"/>
      <c r="D14" s="213"/>
      <c r="E14" s="213"/>
      <c r="F14" s="213"/>
      <c r="G14" s="211"/>
    </row>
    <row r="15" spans="2:7" ht="15" customHeight="1">
      <c r="B15" s="212"/>
      <c r="C15" s="212"/>
      <c r="D15" s="213"/>
      <c r="E15" s="213"/>
      <c r="F15" s="213"/>
      <c r="G15" s="211"/>
    </row>
    <row r="16" spans="2:7" ht="15" customHeight="1">
      <c r="B16" s="212"/>
      <c r="C16" s="212"/>
      <c r="D16" s="213"/>
      <c r="E16" s="213"/>
      <c r="F16" s="213"/>
      <c r="G16" s="211"/>
    </row>
    <row r="17" spans="2:7" ht="15" customHeight="1">
      <c r="B17" s="212"/>
      <c r="C17" s="212"/>
      <c r="D17" s="213"/>
      <c r="E17" s="213"/>
      <c r="F17" s="213"/>
      <c r="G17" s="211"/>
    </row>
    <row r="18" spans="2:7" ht="15" customHeight="1">
      <c r="B18" s="212"/>
      <c r="C18" s="212"/>
      <c r="D18" s="213"/>
      <c r="E18" s="213"/>
      <c r="F18" s="213"/>
      <c r="G18" s="211"/>
    </row>
    <row r="19" spans="2:7" ht="15" customHeight="1">
      <c r="B19" s="212"/>
      <c r="C19" s="212"/>
      <c r="D19" s="213"/>
      <c r="E19" s="213"/>
      <c r="F19" s="213"/>
      <c r="G19" s="211"/>
    </row>
    <row r="20" spans="2:7" ht="15" customHeight="1">
      <c r="B20" s="212"/>
      <c r="C20" s="212"/>
      <c r="D20" s="213"/>
      <c r="E20" s="213"/>
      <c r="F20" s="213"/>
      <c r="G20" s="211"/>
    </row>
    <row r="21" spans="2:7" ht="15" customHeight="1">
      <c r="B21" s="212"/>
      <c r="C21" s="212"/>
      <c r="D21" s="213"/>
      <c r="E21" s="213"/>
      <c r="F21" s="213"/>
      <c r="G21" s="211"/>
    </row>
    <row r="22" spans="2:7" ht="15" customHeight="1">
      <c r="B22" s="212"/>
      <c r="C22" s="212"/>
      <c r="D22" s="213"/>
      <c r="E22" s="213"/>
      <c r="F22" s="213"/>
      <c r="G22" s="211"/>
    </row>
    <row r="23" spans="2:7" ht="15" customHeight="1">
      <c r="B23" s="212"/>
      <c r="C23" s="212"/>
      <c r="D23" s="213"/>
      <c r="E23" s="213"/>
      <c r="F23" s="213"/>
      <c r="G23" s="211"/>
    </row>
    <row r="24" spans="2:7" ht="15" customHeight="1">
      <c r="B24" s="212"/>
      <c r="C24" s="212"/>
      <c r="D24" s="213"/>
      <c r="E24" s="213"/>
      <c r="F24" s="213"/>
      <c r="G24" s="211"/>
    </row>
    <row r="25" spans="2:7" ht="15" customHeight="1">
      <c r="B25" s="212"/>
      <c r="C25" s="212"/>
      <c r="D25" s="213"/>
      <c r="E25" s="213"/>
      <c r="F25" s="213"/>
      <c r="G25" s="211"/>
    </row>
    <row r="26" spans="2:7" ht="15" customHeight="1">
      <c r="B26" s="98"/>
      <c r="C26" s="214" t="s">
        <v>93</v>
      </c>
      <c r="D26" s="215">
        <f>SUM(D8:D25)</f>
        <v>37849</v>
      </c>
      <c r="E26" s="215">
        <f>SUM(E8:E25)</f>
        <v>26000</v>
      </c>
      <c r="F26" s="215">
        <f>SUM(F8:F25)</f>
        <v>17500</v>
      </c>
      <c r="G26" s="216"/>
    </row>
    <row r="27" spans="2:7" ht="15" customHeight="1">
      <c r="B27" s="98"/>
      <c r="C27" s="217" t="s">
        <v>287</v>
      </c>
      <c r="D27" s="156"/>
      <c r="E27" s="218"/>
      <c r="F27" s="218"/>
      <c r="G27" s="216"/>
    </row>
    <row r="28" spans="2:7" ht="15" customHeight="1">
      <c r="B28" s="98"/>
      <c r="C28" s="214" t="s">
        <v>288</v>
      </c>
      <c r="D28" s="215">
        <f>D26</f>
        <v>37849</v>
      </c>
      <c r="E28" s="215">
        <f>SUM(E26-E27)</f>
        <v>26000</v>
      </c>
      <c r="F28" s="215">
        <f>SUM(F26-F27)</f>
        <v>17500</v>
      </c>
      <c r="G28" s="216"/>
    </row>
    <row r="29" spans="2:7" ht="15" customHeight="1">
      <c r="B29" s="98"/>
      <c r="C29" s="98"/>
      <c r="D29" s="98"/>
      <c r="E29" s="98"/>
      <c r="F29" s="98"/>
      <c r="G29" s="98"/>
    </row>
    <row r="30" spans="2:7" ht="15" customHeight="1">
      <c r="B30" s="98"/>
      <c r="C30" s="98"/>
      <c r="D30" s="98"/>
      <c r="E30" s="98"/>
      <c r="F30" s="98"/>
      <c r="G30" s="98"/>
    </row>
    <row r="31" spans="2:7" ht="15" customHeight="1">
      <c r="B31" s="367" t="s">
        <v>650</v>
      </c>
      <c r="C31" s="368" t="str">
        <f>CONCATENATE("Adjustments are required only if the transfer is being made in ",E7," and/or ",F7," from a non-budgeted fund.")</f>
        <v>Adjustments are required only if the transfer is being made in 2012 and/or 2013 from a non-budgeted fund.</v>
      </c>
      <c r="D31" s="98"/>
      <c r="E31" s="98"/>
      <c r="F31" s="98"/>
      <c r="G31" s="98"/>
    </row>
    <row r="32" ht="15" customHeight="1"/>
  </sheetData>
  <sheetProtection sheet="1"/>
  <mergeCells count="1">
    <mergeCell ref="B3:G3"/>
  </mergeCells>
  <printOptions/>
  <pageMargins left="0.75" right="0.75" top="1" bottom="1" header="0.5" footer="0.5"/>
  <pageSetup blackAndWhite="1" fitToHeight="1" fitToWidth="1" horizontalDpi="600" verticalDpi="600" orientation="landscape"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51" sqref="B51"/>
    </sheetView>
  </sheetViews>
  <sheetFormatPr defaultColWidth="8.796875" defaultRowHeight="15"/>
  <cols>
    <col min="1" max="1" width="70.59765625" style="487" customWidth="1"/>
    <col min="2" max="16384" width="8.8984375" style="487" customWidth="1"/>
  </cols>
  <sheetData>
    <row r="1" ht="18.75">
      <c r="A1" s="488" t="s">
        <v>374</v>
      </c>
    </row>
    <row r="2" ht="18.75">
      <c r="A2" s="488"/>
    </row>
    <row r="3" ht="18.75">
      <c r="A3" s="488"/>
    </row>
    <row r="4" ht="51.75" customHeight="1">
      <c r="A4" s="498" t="s">
        <v>747</v>
      </c>
    </row>
    <row r="5" ht="18.75">
      <c r="A5" s="488"/>
    </row>
    <row r="6" ht="15.75">
      <c r="A6" s="489"/>
    </row>
    <row r="7" ht="47.25">
      <c r="A7" s="490" t="s">
        <v>375</v>
      </c>
    </row>
    <row r="8" ht="15.75">
      <c r="A8" s="489"/>
    </row>
    <row r="9" ht="15.75">
      <c r="A9" s="489"/>
    </row>
    <row r="10" ht="63">
      <c r="A10" s="490" t="s">
        <v>376</v>
      </c>
    </row>
    <row r="11" ht="15.75">
      <c r="A11" s="491"/>
    </row>
    <row r="12" ht="15.75">
      <c r="A12" s="489"/>
    </row>
    <row r="13" ht="47.25">
      <c r="A13" s="490" t="s">
        <v>377</v>
      </c>
    </row>
    <row r="14" ht="15.75">
      <c r="A14" s="491"/>
    </row>
    <row r="15" ht="15.75">
      <c r="A15" s="489"/>
    </row>
    <row r="16" ht="47.25">
      <c r="A16" s="490" t="s">
        <v>378</v>
      </c>
    </row>
    <row r="17" ht="15.75">
      <c r="A17" s="491"/>
    </row>
    <row r="18" ht="15.75">
      <c r="A18" s="491"/>
    </row>
    <row r="19" ht="47.25">
      <c r="A19" s="490" t="s">
        <v>379</v>
      </c>
    </row>
    <row r="20" ht="15.75">
      <c r="A20" s="491"/>
    </row>
    <row r="21" ht="15.75">
      <c r="A21" s="491"/>
    </row>
    <row r="22" ht="47.25">
      <c r="A22" s="490" t="s">
        <v>380</v>
      </c>
    </row>
    <row r="23" ht="15.75">
      <c r="A23" s="491"/>
    </row>
    <row r="24" ht="15.75">
      <c r="A24" s="491"/>
    </row>
    <row r="25" ht="31.5">
      <c r="A25" s="490" t="s">
        <v>381</v>
      </c>
    </row>
    <row r="26" ht="15.75">
      <c r="A26" s="489"/>
    </row>
    <row r="27" ht="15.75">
      <c r="A27" s="489"/>
    </row>
    <row r="28" ht="60">
      <c r="A28" s="492" t="s">
        <v>382</v>
      </c>
    </row>
    <row r="29" ht="15">
      <c r="A29" s="493"/>
    </row>
    <row r="30" ht="15">
      <c r="A30" s="493"/>
    </row>
    <row r="31" ht="47.25">
      <c r="A31" s="490" t="s">
        <v>383</v>
      </c>
    </row>
    <row r="32" ht="15.75">
      <c r="A32" s="489"/>
    </row>
    <row r="33" ht="15.75">
      <c r="A33" s="489"/>
    </row>
    <row r="34" ht="66.75" customHeight="1">
      <c r="A34" s="497" t="s">
        <v>748</v>
      </c>
    </row>
    <row r="35" ht="15.75">
      <c r="A35" s="489"/>
    </row>
    <row r="36" ht="15.75">
      <c r="A36" s="489"/>
    </row>
    <row r="37" ht="63">
      <c r="A37" s="494" t="s">
        <v>384</v>
      </c>
    </row>
    <row r="38" ht="15.75">
      <c r="A38" s="491"/>
    </row>
    <row r="39" ht="15.75">
      <c r="A39" s="489"/>
    </row>
    <row r="40" ht="63">
      <c r="A40" s="490" t="s">
        <v>385</v>
      </c>
    </row>
    <row r="41" ht="15.75">
      <c r="A41" s="491"/>
    </row>
    <row r="42" ht="15.75">
      <c r="A42" s="491"/>
    </row>
    <row r="43" ht="82.5" customHeight="1">
      <c r="A43" s="486" t="s">
        <v>749</v>
      </c>
    </row>
    <row r="44" ht="15.75">
      <c r="A44" s="491"/>
    </row>
    <row r="45" ht="15.75">
      <c r="A45" s="491"/>
    </row>
    <row r="46" ht="69" customHeight="1">
      <c r="A46" s="486" t="s">
        <v>750</v>
      </c>
    </row>
    <row r="47" ht="15.75">
      <c r="A47" s="491"/>
    </row>
    <row r="48" ht="15.75">
      <c r="A48" s="491"/>
    </row>
    <row r="49" ht="69" customHeight="1">
      <c r="A49" s="486" t="s">
        <v>751</v>
      </c>
    </row>
    <row r="50" ht="15.75">
      <c r="A50" s="491"/>
    </row>
    <row r="51" ht="15.75">
      <c r="A51" s="491"/>
    </row>
    <row r="52" ht="53.25" customHeight="1">
      <c r="A52" s="486" t="s">
        <v>814</v>
      </c>
    </row>
    <row r="53" ht="15.75">
      <c r="A53" s="491"/>
    </row>
    <row r="54" ht="15.75">
      <c r="A54" s="491"/>
    </row>
    <row r="55" ht="63">
      <c r="A55" s="490" t="s">
        <v>386</v>
      </c>
    </row>
    <row r="56" ht="15.75">
      <c r="A56" s="491"/>
    </row>
    <row r="57" ht="15.75">
      <c r="A57" s="491"/>
    </row>
    <row r="58" ht="63">
      <c r="A58" s="490" t="s">
        <v>387</v>
      </c>
    </row>
    <row r="59" ht="15.75">
      <c r="A59" s="491"/>
    </row>
    <row r="60" ht="15.75">
      <c r="A60" s="491"/>
    </row>
    <row r="61" ht="47.25">
      <c r="A61" s="490" t="s">
        <v>388</v>
      </c>
    </row>
    <row r="62" ht="15.75">
      <c r="A62" s="491"/>
    </row>
    <row r="63" ht="15.75">
      <c r="A63" s="491"/>
    </row>
    <row r="64" ht="47.25">
      <c r="A64" s="490" t="s">
        <v>389</v>
      </c>
    </row>
    <row r="65" ht="15.75">
      <c r="A65" s="491"/>
    </row>
    <row r="66" ht="15.75">
      <c r="A66" s="491"/>
    </row>
    <row r="67" ht="78.75">
      <c r="A67" s="490" t="s">
        <v>390</v>
      </c>
    </row>
    <row r="68" ht="15">
      <c r="A68" s="495"/>
    </row>
  </sheetData>
  <sheetProtection sheet="1" objects="1" scenario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2012-07-19T16:37:14Z</cp:lastPrinted>
  <dcterms:created xsi:type="dcterms:W3CDTF">1999-08-03T13:11:47Z</dcterms:created>
  <dcterms:modified xsi:type="dcterms:W3CDTF">2014-01-21T16:57:38Z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