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649" activeTab="1"/>
  </bookViews>
  <sheets>
    <sheet name="Cert pdf" sheetId="1" r:id="rId1"/>
    <sheet name="cert" sheetId="2" r:id="rId2"/>
    <sheet name="computation" sheetId="3" r:id="rId3"/>
    <sheet name="mvalloc" sheetId="4" r:id="rId4"/>
    <sheet name="transfers" sheetId="5" r:id="rId5"/>
    <sheet name="debt" sheetId="6" r:id="rId6"/>
    <sheet name="lpform" sheetId="7" r:id="rId7"/>
    <sheet name="general" sheetId="8" r:id="rId8"/>
    <sheet name="DebtSvs-Library" sheetId="9" r:id="rId9"/>
    <sheet name="levy page9" sheetId="10" r:id="rId10"/>
    <sheet name="Sp Hiway" sheetId="11" r:id="rId11"/>
    <sheet name="nolevypage15" sheetId="12" r:id="rId12"/>
    <sheet name="nolevypage16" sheetId="13" r:id="rId13"/>
    <sheet name="NonBudA" sheetId="14" r:id="rId14"/>
    <sheet name="summ pdf" sheetId="15" r:id="rId15"/>
    <sheet name="summ" sheetId="16" r:id="rId16"/>
  </sheets>
  <externalReferences>
    <externalReference r:id="rId19"/>
  </externalReferences>
  <definedNames>
    <definedName name="_xlnm.Print_Area" localSheetId="8">'DebtSvs-Library'!$B$1:$E$85</definedName>
    <definedName name="_xlnm.Print_Area" localSheetId="7">'general'!$B$1:$E$122</definedName>
    <definedName name="_xlnm.Print_Area" localSheetId="9">'levy page9'!$A$1:$E$83</definedName>
    <definedName name="_xlnm.Print_Area" localSheetId="6">'lpform'!$B$1:$I$38</definedName>
    <definedName name="_xlnm.Print_Area" localSheetId="15">'summ'!$A$2:$H$60</definedName>
  </definedNames>
  <calcPr fullCalcOnLoad="1"/>
</workbook>
</file>

<file path=xl/sharedStrings.xml><?xml version="1.0" encoding="utf-8"?>
<sst xmlns="http://schemas.openxmlformats.org/spreadsheetml/2006/main" count="652" uniqueCount="312">
  <si>
    <t>CERTIFICATE</t>
  </si>
  <si>
    <t>We, the undersigned, officers of</t>
  </si>
  <si>
    <t>certify that: (1) the hearing mentioned in the attached publication was held;</t>
  </si>
  <si>
    <t>(2) after the Budget Hearing this budget was duly approved and adopted as the</t>
  </si>
  <si>
    <t xml:space="preserve"> </t>
  </si>
  <si>
    <t>Amount of</t>
  </si>
  <si>
    <t>County</t>
  </si>
  <si>
    <t>Page</t>
  </si>
  <si>
    <t>Budget Authority</t>
  </si>
  <si>
    <t>Clerk's</t>
  </si>
  <si>
    <t>Table of Contents:</t>
  </si>
  <si>
    <t>No.</t>
  </si>
  <si>
    <t>for Expenditures</t>
  </si>
  <si>
    <t>Valorem Tax</t>
  </si>
  <si>
    <t>Use Only</t>
  </si>
  <si>
    <t>Allocation of MVT, RVT, and 16/20M Vehicle Tax</t>
  </si>
  <si>
    <t>Schedule of Transfers</t>
  </si>
  <si>
    <t>Statement of Indebtedness</t>
  </si>
  <si>
    <t>Statement of Lease-Purchases</t>
  </si>
  <si>
    <t>Fund</t>
  </si>
  <si>
    <t>K.S.A.</t>
  </si>
  <si>
    <t xml:space="preserve">Totals </t>
  </si>
  <si>
    <t>x</t>
  </si>
  <si>
    <t>Is an Ordinance required  to be passed, published, and attached to the budget?</t>
  </si>
  <si>
    <t>County Clerk's Use Only</t>
  </si>
  <si>
    <t>Budget Summary</t>
  </si>
  <si>
    <t>Neighborhood Revitalization Rebate</t>
  </si>
  <si>
    <t>Assisted by:</t>
  </si>
  <si>
    <t>________________________    ___________________________</t>
  </si>
  <si>
    <t>Address:</t>
  </si>
  <si>
    <t>Email:</t>
  </si>
  <si>
    <t>Attest: _____________________,</t>
  </si>
  <si>
    <t>County Clerk</t>
  </si>
  <si>
    <t>Governing Body</t>
  </si>
  <si>
    <t>Amount of Levy</t>
  </si>
  <si>
    <t xml:space="preserve"> 1.</t>
  </si>
  <si>
    <t>+</t>
  </si>
  <si>
    <t>$</t>
  </si>
  <si>
    <t xml:space="preserve"> 2.</t>
  </si>
  <si>
    <t>-</t>
  </si>
  <si>
    <t xml:space="preserve">  3.</t>
  </si>
  <si>
    <t>Tax Levy Excluding Debt Service</t>
  </si>
  <si>
    <t xml:space="preserve"> 4.</t>
  </si>
  <si>
    <t xml:space="preserve"> 5.</t>
  </si>
  <si>
    <t>5a.</t>
  </si>
  <si>
    <t>5b.</t>
  </si>
  <si>
    <t>5c.</t>
  </si>
  <si>
    <t>Increase in Personal Property (5a minus 5b)</t>
  </si>
  <si>
    <t>(Use Only if &gt; 0)</t>
  </si>
  <si>
    <t>6.</t>
  </si>
  <si>
    <t>6a.</t>
  </si>
  <si>
    <t>Real Estate</t>
  </si>
  <si>
    <t>6b.</t>
  </si>
  <si>
    <t>State Assessed</t>
  </si>
  <si>
    <t>6c.</t>
  </si>
  <si>
    <t>New Improvements</t>
  </si>
  <si>
    <t>6d.</t>
  </si>
  <si>
    <t>Total Adjustment (Sum of 6a, 6b, and 6c)</t>
  </si>
  <si>
    <t>7.</t>
  </si>
  <si>
    <t>8.</t>
  </si>
  <si>
    <r>
      <t xml:space="preserve">Total Valuation Adjustment </t>
    </r>
    <r>
      <rPr>
        <sz val="12"/>
        <rFont val="Times New Roman"/>
        <family val="1"/>
      </rPr>
      <t>(Sum of 4, 5c, 6d &amp;7)</t>
    </r>
  </si>
  <si>
    <t>9.</t>
  </si>
  <si>
    <t>10.</t>
  </si>
  <si>
    <t>Total Valuation less Valuation Adjustment (9 minus 8)</t>
  </si>
  <si>
    <t>11.</t>
  </si>
  <si>
    <t>Factor for Increase (8 divided by 10)</t>
  </si>
  <si>
    <t>12.</t>
  </si>
  <si>
    <t>Amount of Increase (11 times 3)</t>
  </si>
  <si>
    <t>13.</t>
  </si>
  <si>
    <t>Maximum Tax Levy, excluding debt service, without an Ordinance (3 plus 12)</t>
  </si>
  <si>
    <t>14.</t>
  </si>
  <si>
    <t>15.</t>
  </si>
  <si>
    <t>Maximum levy, including debt service, without an Ordinance (13 plus 14)</t>
  </si>
  <si>
    <t xml:space="preserve">adopt an ordinance to exceed this limit, publish the ordinance, and </t>
  </si>
  <si>
    <t>attach a copy of the published ordinance to this budget.</t>
  </si>
  <si>
    <t xml:space="preserve">Allocation of Motor, Recreational, 16/20M Vehicle Tax </t>
  </si>
  <si>
    <t>Budgeted Funds</t>
  </si>
  <si>
    <t xml:space="preserve">Budget Tax Levy </t>
  </si>
  <si>
    <t>MVT</t>
  </si>
  <si>
    <t>RVT</t>
  </si>
  <si>
    <t>16/20M Veh</t>
  </si>
  <si>
    <t>TOTAL</t>
  </si>
  <si>
    <t>County Treas Motor Vehicle Estimate</t>
  </si>
  <si>
    <t>County Treasurers Recreational Vehicle Estimate</t>
  </si>
  <si>
    <t>County Treasurers 16/20M Vehicle Estimate</t>
  </si>
  <si>
    <t>Motor Vehicle Factor</t>
  </si>
  <si>
    <t>Recreational Vehicle Factor</t>
  </si>
  <si>
    <t>16/20M Vehicle Factor</t>
  </si>
  <si>
    <t>Expenditure</t>
  </si>
  <si>
    <t>Receipt</t>
  </si>
  <si>
    <t>Actual</t>
  </si>
  <si>
    <t>Current</t>
  </si>
  <si>
    <t>Proposed</t>
  </si>
  <si>
    <t>Transfers</t>
  </si>
  <si>
    <t xml:space="preserve">Fund Transferred </t>
  </si>
  <si>
    <t>Fund Transferred</t>
  </si>
  <si>
    <t>Amount for</t>
  </si>
  <si>
    <t>Authorized by</t>
  </si>
  <si>
    <t>From:</t>
  </si>
  <si>
    <t>To:</t>
  </si>
  <si>
    <t xml:space="preserve"> Statute</t>
  </si>
  <si>
    <t>Water Utility</t>
  </si>
  <si>
    <t>Bond &amp; Interest</t>
  </si>
  <si>
    <t>12-825d</t>
  </si>
  <si>
    <t>Water Surplus</t>
  </si>
  <si>
    <t>Sewer Utility</t>
  </si>
  <si>
    <t>Sewer Reserve</t>
  </si>
  <si>
    <t>12-631o</t>
  </si>
  <si>
    <t>Special Law &amp; Ambulance</t>
  </si>
  <si>
    <t>Equipment Reserve</t>
  </si>
  <si>
    <t>12-1-117</t>
  </si>
  <si>
    <t>General Fund-Law Enforcement</t>
  </si>
  <si>
    <t>General Fund - Cap Outlay</t>
  </si>
  <si>
    <t>Totals</t>
  </si>
  <si>
    <r>
      <t>Adjustments</t>
    </r>
    <r>
      <rPr>
        <b/>
        <sz val="12"/>
        <color indexed="10"/>
        <rFont val="Times New Roman"/>
        <family val="1"/>
      </rPr>
      <t>*</t>
    </r>
  </si>
  <si>
    <t>Adjusted Totals</t>
  </si>
  <si>
    <t>*Note:</t>
  </si>
  <si>
    <t>STATEMENT OF INDEBTEDNESS</t>
  </si>
  <si>
    <t>Date</t>
  </si>
  <si>
    <t>Interest</t>
  </si>
  <si>
    <t>Beginning Amount</t>
  </si>
  <si>
    <t xml:space="preserve">   Amount Due</t>
  </si>
  <si>
    <t xml:space="preserve">Type of </t>
  </si>
  <si>
    <t>of</t>
  </si>
  <si>
    <t xml:space="preserve">of </t>
  </si>
  <si>
    <t>Rate</t>
  </si>
  <si>
    <t>Amount</t>
  </si>
  <si>
    <t>Outstanding</t>
  </si>
  <si>
    <t xml:space="preserve">  Date Due</t>
  </si>
  <si>
    <t xml:space="preserve"> Debt</t>
  </si>
  <si>
    <t>Issue</t>
  </si>
  <si>
    <t>Retirement</t>
  </si>
  <si>
    <t>%</t>
  </si>
  <si>
    <t>Issued</t>
  </si>
  <si>
    <t>Principal</t>
  </si>
  <si>
    <t>General Obligation:</t>
  </si>
  <si>
    <t>Sewer/Street</t>
  </si>
  <si>
    <t>Trafficway</t>
  </si>
  <si>
    <t>Refunding Bond</t>
  </si>
  <si>
    <t>2004 GO Bond</t>
  </si>
  <si>
    <t>2006 GO Bond</t>
  </si>
  <si>
    <t>2008 GO Bond</t>
  </si>
  <si>
    <t>2009 GO Bond</t>
  </si>
  <si>
    <t>2011 GO Bond</t>
  </si>
  <si>
    <t>2011 GO Bond Streets</t>
  </si>
  <si>
    <t>Total G.O. Bonds</t>
  </si>
  <si>
    <t>Revenue Bonds:</t>
  </si>
  <si>
    <t>Total Revenue Bonds</t>
  </si>
  <si>
    <t>Other:</t>
  </si>
  <si>
    <t>KWPCRevolving Loan Fund</t>
  </si>
  <si>
    <t xml:space="preserve">Total Other </t>
  </si>
  <si>
    <t>Total Indebtedness</t>
  </si>
  <si>
    <t>STATEMENT OF CONDITIONAL LEASE-PURCHASE AND CERTIFICATE OF PARTICIPATION*</t>
  </si>
  <si>
    <t>Total</t>
  </si>
  <si>
    <t>Term of</t>
  </si>
  <si>
    <t>Payments</t>
  </si>
  <si>
    <t xml:space="preserve">  Contract</t>
  </si>
  <si>
    <t>Contract</t>
  </si>
  <si>
    <t>Financed</t>
  </si>
  <si>
    <t>Balance On</t>
  </si>
  <si>
    <t>Due</t>
  </si>
  <si>
    <t>Item Purchased</t>
  </si>
  <si>
    <t>(Months)</t>
  </si>
  <si>
    <t>(Beginning Principal)</t>
  </si>
  <si>
    <t>2013 Ford Police Interceptor Utility</t>
  </si>
  <si>
    <t>***If you are merely leasing/renting with no intent to purchase, do not list--such transactions are not lease-purchases.</t>
  </si>
  <si>
    <t>FUND PAGE FOR FUNDS WITH A TAX LEVY</t>
  </si>
  <si>
    <t>Adopted Budget</t>
  </si>
  <si>
    <t xml:space="preserve">Prior Year </t>
  </si>
  <si>
    <t xml:space="preserve">Current Year </t>
  </si>
  <si>
    <t xml:space="preserve">Proposed Budget </t>
  </si>
  <si>
    <t>Unencumbered Cash Balance Jan 1</t>
  </si>
  <si>
    <t>Receipts:</t>
  </si>
  <si>
    <t>Ad Valorem Tax</t>
  </si>
  <si>
    <t>Delinquent Tax</t>
  </si>
  <si>
    <t>Motor Vehicle Tax</t>
  </si>
  <si>
    <t>Recreational Vehicle Tax</t>
  </si>
  <si>
    <t>16/20M Vehicle Tax</t>
  </si>
  <si>
    <t>Gross Earning (Intangible) Tax</t>
  </si>
  <si>
    <t>LAVTR</t>
  </si>
  <si>
    <t>City and County Revenue Sharing</t>
  </si>
  <si>
    <t>Mineral Production Tax</t>
  </si>
  <si>
    <t>Local Alcoholic Liquor</t>
  </si>
  <si>
    <t>Compensating Use Tax</t>
  </si>
  <si>
    <t>Local Sales Tax - 1% Sales Tax</t>
  </si>
  <si>
    <t>Franchise Tax</t>
  </si>
  <si>
    <t>CMB/Liquor Licenses</t>
  </si>
  <si>
    <t>Building Permits</t>
  </si>
  <si>
    <t>Zoning/Platting</t>
  </si>
  <si>
    <t>Pool &amp; Park</t>
  </si>
  <si>
    <t>Court</t>
  </si>
  <si>
    <t>In Lieu of Taxes (IRB)</t>
  </si>
  <si>
    <t>Interest on Idle Funds</t>
  </si>
  <si>
    <t>Miscellaneous</t>
  </si>
  <si>
    <t>Does miscellaneous exceed 10% Total Rec</t>
  </si>
  <si>
    <t>Total Receipts</t>
  </si>
  <si>
    <t>Resources Available:</t>
  </si>
  <si>
    <t>Page No.</t>
  </si>
  <si>
    <t>FUND PAGE - GENERAL</t>
  </si>
  <si>
    <t>Expenditures:</t>
  </si>
  <si>
    <t xml:space="preserve"> Sub-Total detail page </t>
  </si>
  <si>
    <t>General Administration</t>
  </si>
  <si>
    <t>Capital Outlay</t>
  </si>
  <si>
    <t>Street Lighting</t>
  </si>
  <si>
    <t>Law Enforcement</t>
  </si>
  <si>
    <t>1% Sales Tax</t>
  </si>
  <si>
    <t xml:space="preserve">    Debt Reduction</t>
  </si>
  <si>
    <t>Noxious Weeds</t>
  </si>
  <si>
    <t>Special Liability</t>
  </si>
  <si>
    <t xml:space="preserve">City Planning </t>
  </si>
  <si>
    <t>Desired Carryover Amount:</t>
  </si>
  <si>
    <t>Estimated Mill Rate Impact:</t>
  </si>
  <si>
    <t>Expenditures Must Be Changed by:</t>
  </si>
  <si>
    <t>Does miscellaneous exceed 10% Total Exp</t>
  </si>
  <si>
    <t>Total Expenditures</t>
  </si>
  <si>
    <t>Unencumbered Cash Balance Dec 31</t>
  </si>
  <si>
    <t>Non-Appropriated Balance</t>
  </si>
  <si>
    <t>Total Expenditure/Non-Appr Balance</t>
  </si>
  <si>
    <t>Tax Required</t>
  </si>
  <si>
    <t>Delinquent Comp Rate:</t>
  </si>
  <si>
    <t>Mill Rate Comparison</t>
  </si>
  <si>
    <t>Special Assessments</t>
  </si>
  <si>
    <t>Delinquent Real Estate Tax - Specials</t>
  </si>
  <si>
    <t>Transfer from Water Utility</t>
  </si>
  <si>
    <t>Transfer from Sewer Utility</t>
  </si>
  <si>
    <t xml:space="preserve">Interest    </t>
  </si>
  <si>
    <t>Fees</t>
  </si>
  <si>
    <t>Cash Basis</t>
  </si>
  <si>
    <t>Does miscellanous exceed 10% of Total Exp</t>
  </si>
  <si>
    <t>Does miscellaneous exceed 10% of Total Exp</t>
  </si>
  <si>
    <t>Services/Contractual</t>
  </si>
  <si>
    <t>Uniform Allowance</t>
  </si>
  <si>
    <t>Commodities/Equipment</t>
  </si>
  <si>
    <t>Mount Hope Ambulance Fund</t>
  </si>
  <si>
    <t>Transfer to Equipment Reserve</t>
  </si>
  <si>
    <t>Social Security/Medicare</t>
  </si>
  <si>
    <t>KPERS</t>
  </si>
  <si>
    <t>Health Insurance</t>
  </si>
  <si>
    <t>W/C Insurance</t>
  </si>
  <si>
    <t>KS Employment Security Fund</t>
  </si>
  <si>
    <t>FUND PAGE FOR FUNDS WITH NO TAX LEVY</t>
  </si>
  <si>
    <t>Current Year</t>
  </si>
  <si>
    <t>Proposed Budget</t>
  </si>
  <si>
    <t>State of Kansas Gas Tax</t>
  </si>
  <si>
    <t>County Transfers Gas</t>
  </si>
  <si>
    <t>Salaries</t>
  </si>
  <si>
    <t>Street Repairs &amp; Maintenance</t>
  </si>
  <si>
    <t>Equipment/Commodities</t>
  </si>
  <si>
    <t>Contractual/Services</t>
  </si>
  <si>
    <t>Capital</t>
  </si>
  <si>
    <t>Charges Paid by Customers</t>
  </si>
  <si>
    <t>Hook-up Fees</t>
  </si>
  <si>
    <t>Delinquent Sewer Charges</t>
  </si>
  <si>
    <t>Services</t>
  </si>
  <si>
    <t>Commodities</t>
  </si>
  <si>
    <t>Contractual</t>
  </si>
  <si>
    <t>Capital/KWPCRevolving Loan</t>
  </si>
  <si>
    <t>Transfer to Sewer Reserve</t>
  </si>
  <si>
    <t>Transfer to Debt Service</t>
  </si>
  <si>
    <t>Hook Up Fees</t>
  </si>
  <si>
    <t>Commodies/Equipment</t>
  </si>
  <si>
    <t>Transfer to Water Surplus</t>
  </si>
  <si>
    <t>Charges Paid By Customers</t>
  </si>
  <si>
    <t>Waste Connections</t>
  </si>
  <si>
    <t>Local Alcoholic Liquor Fund</t>
  </si>
  <si>
    <t>Park Services &amp; Equipment</t>
  </si>
  <si>
    <t>NON-BUDGETED FUNDS (A)</t>
  </si>
  <si>
    <t>Non-Budgeted Funds-A</t>
  </si>
  <si>
    <t>(1) Fund Name:</t>
  </si>
  <si>
    <t>(2) Fund Name:</t>
  </si>
  <si>
    <t>(3) Fund Name:</t>
  </si>
  <si>
    <t>(4) Fund Name:</t>
  </si>
  <si>
    <t>(5) Fund Name:</t>
  </si>
  <si>
    <t xml:space="preserve">Unencumbered </t>
  </si>
  <si>
    <t>Cash Balance Jan 1</t>
  </si>
  <si>
    <t>Transfer from Law Enforcement</t>
  </si>
  <si>
    <t>Transfer from SP LAW &amp; AMB</t>
  </si>
  <si>
    <t>Interest from Emprise Bank</t>
  </si>
  <si>
    <t>KWPCRF Loan Payment</t>
  </si>
  <si>
    <t>Aqua Products-Pool Vacuum</t>
  </si>
  <si>
    <t>Lenova US Inc-Lap Top Law Enf</t>
  </si>
  <si>
    <t>Cash Balance Dec 31</t>
  </si>
  <si>
    <t>**</t>
  </si>
  <si>
    <t>**Note: These two block figures should agree.</t>
  </si>
  <si>
    <t>NOTICE OF BUDGET HEARING</t>
  </si>
  <si>
    <t xml:space="preserve">The governing body of </t>
  </si>
  <si>
    <t>hearing and answering objections of taxpayers relating to the proposed use of all funds and the amount of ad valorem tax.</t>
  </si>
  <si>
    <t>BUDGET SUMMARY</t>
  </si>
  <si>
    <t>Estimated Tax Rate is subject to change depending on the final assessed valuation.</t>
  </si>
  <si>
    <t>Estimate</t>
  </si>
  <si>
    <t xml:space="preserve">     FUND</t>
  </si>
  <si>
    <t xml:space="preserve"> Expenditures</t>
  </si>
  <si>
    <t>Tax Rate *</t>
  </si>
  <si>
    <t>The estimated value of one mill would be:</t>
  </si>
  <si>
    <t>Less: Transfers</t>
  </si>
  <si>
    <t>Net Expenditure</t>
  </si>
  <si>
    <t>Total Tax Levied</t>
  </si>
  <si>
    <t xml:space="preserve">Assessed </t>
  </si>
  <si>
    <t>Change in Ad Valorem Tax Revenue:</t>
  </si>
  <si>
    <t>Valuation</t>
  </si>
  <si>
    <t>Outstanding Indebtedness,</t>
  </si>
  <si>
    <t>What Mill Rate Would Be Desired?</t>
  </si>
  <si>
    <t xml:space="preserve">  January 1,</t>
  </si>
  <si>
    <t>G.O. Bonds</t>
  </si>
  <si>
    <t>Revenue Bonds</t>
  </si>
  <si>
    <t>Other</t>
  </si>
  <si>
    <t>2012 Ad Valorem Tax:</t>
  </si>
  <si>
    <t>Lease Purchase Principal</t>
  </si>
  <si>
    <t xml:space="preserve">     Total</t>
  </si>
  <si>
    <t xml:space="preserve">  *Tax rates are expressed in mills</t>
  </si>
  <si>
    <t>City Official Title:</t>
  </si>
  <si>
    <t xml:space="preserve">Page No.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</si>
</sst>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0.000"/>
    <numFmt numFmtId="166" formatCode="#,##0.000"/>
    <numFmt numFmtId="167" formatCode="_(* #,##0_);_(* \(#,##0\);_(* &quot;-&quot;??_);_(@_)"/>
    <numFmt numFmtId="168" formatCode="0.00000"/>
    <numFmt numFmtId="169" formatCode="0_)"/>
    <numFmt numFmtId="170" formatCode="0.00000_)"/>
    <numFmt numFmtId="171" formatCode="m/d"/>
    <numFmt numFmtId="172" formatCode="m/d/yy"/>
    <numFmt numFmtId="173" formatCode="&quot;$&quot;#,##0"/>
    <numFmt numFmtId="174" formatCode="0.0%"/>
    <numFmt numFmtId="175" formatCode="0.000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urie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Courier"/>
      <family val="3"/>
    </font>
    <font>
      <sz val="12"/>
      <color indexed="10"/>
      <name val="Times New Roman"/>
      <family val="1"/>
    </font>
    <font>
      <sz val="9"/>
      <name val="Times New Roman"/>
      <family val="1"/>
    </font>
    <font>
      <u val="single"/>
      <sz val="12"/>
      <color indexed="12"/>
      <name val="Courier"/>
      <family val="3"/>
    </font>
    <font>
      <sz val="12"/>
      <name val="Courier New"/>
      <family val="3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2"/>
      <name val="Courier"/>
      <family val="3"/>
    </font>
    <font>
      <sz val="10"/>
      <name val="Courier"/>
      <family val="3"/>
    </font>
    <font>
      <b/>
      <u val="single"/>
      <sz val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u val="single"/>
      <sz val="8"/>
      <color indexed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 style="thin"/>
      <top/>
      <bottom/>
    </border>
  </borders>
  <cellStyleXfs count="3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83">
    <xf numFmtId="0" fontId="0" fillId="0" borderId="0" xfId="0" applyFont="1" applyAlignment="1">
      <alignment/>
    </xf>
    <xf numFmtId="0" fontId="3" fillId="33" borderId="0" xfId="125" applyFont="1" applyFill="1" applyAlignment="1" applyProtection="1">
      <alignment vertical="center"/>
      <protection/>
    </xf>
    <xf numFmtId="0" fontId="2" fillId="0" borderId="0" xfId="125" applyAlignment="1">
      <alignment vertical="center"/>
      <protection/>
    </xf>
    <xf numFmtId="37" fontId="4" fillId="33" borderId="0" xfId="125" applyNumberFormat="1" applyFont="1" applyFill="1" applyAlignment="1" applyProtection="1">
      <alignment horizontal="left" vertical="center"/>
      <protection/>
    </xf>
    <xf numFmtId="0" fontId="3" fillId="33" borderId="0" xfId="125" applyFont="1" applyFill="1" applyAlignment="1" applyProtection="1">
      <alignment horizontal="right" vertical="center"/>
      <protection/>
    </xf>
    <xf numFmtId="37" fontId="3" fillId="33" borderId="0" xfId="125" applyNumberFormat="1" applyFont="1" applyFill="1" applyAlignment="1" applyProtection="1">
      <alignment horizontal="centerContinuous" vertical="center"/>
      <protection/>
    </xf>
    <xf numFmtId="0" fontId="3" fillId="33" borderId="0" xfId="125" applyFont="1" applyFill="1" applyAlignment="1" applyProtection="1">
      <alignment horizontal="centerContinuous" vertical="center"/>
      <protection/>
    </xf>
    <xf numFmtId="37" fontId="3" fillId="33" borderId="10" xfId="125" applyNumberFormat="1" applyFont="1" applyFill="1" applyBorder="1" applyAlignment="1" applyProtection="1">
      <alignment horizontal="centerContinuous" vertical="center"/>
      <protection/>
    </xf>
    <xf numFmtId="0" fontId="3" fillId="33" borderId="11" xfId="125" applyFont="1" applyFill="1" applyBorder="1" applyAlignment="1" applyProtection="1">
      <alignment horizontal="centerContinuous" vertical="center"/>
      <protection/>
    </xf>
    <xf numFmtId="0" fontId="3" fillId="33" borderId="12" xfId="125" applyFont="1" applyFill="1" applyBorder="1" applyAlignment="1" applyProtection="1">
      <alignment horizontal="centerContinuous" vertical="center"/>
      <protection/>
    </xf>
    <xf numFmtId="37" fontId="3" fillId="33" borderId="13" xfId="125" applyNumberFormat="1" applyFont="1" applyFill="1" applyBorder="1" applyAlignment="1" applyProtection="1">
      <alignment horizontal="fill" vertical="center"/>
      <protection/>
    </xf>
    <xf numFmtId="37" fontId="3" fillId="33" borderId="14" xfId="125" applyNumberFormat="1" applyFont="1" applyFill="1" applyBorder="1" applyAlignment="1" applyProtection="1">
      <alignment horizontal="left" vertical="center"/>
      <protection/>
    </xf>
    <xf numFmtId="37" fontId="3" fillId="33" borderId="14" xfId="125" applyNumberFormat="1" applyFont="1" applyFill="1" applyBorder="1" applyAlignment="1" applyProtection="1">
      <alignment horizontal="center" vertical="center"/>
      <protection/>
    </xf>
    <xf numFmtId="37" fontId="3" fillId="33" borderId="0" xfId="125" applyNumberFormat="1" applyFont="1" applyFill="1" applyAlignment="1" applyProtection="1">
      <alignment horizontal="left" vertical="center"/>
      <protection/>
    </xf>
    <xf numFmtId="37" fontId="3" fillId="33" borderId="15" xfId="125" applyNumberFormat="1" applyFont="1" applyFill="1" applyBorder="1" applyAlignment="1" applyProtection="1">
      <alignment horizontal="center" vertical="center"/>
      <protection/>
    </xf>
    <xf numFmtId="0" fontId="3" fillId="33" borderId="15" xfId="125" applyFont="1" applyFill="1" applyBorder="1" applyAlignment="1" applyProtection="1">
      <alignment horizontal="center" vertical="center"/>
      <protection/>
    </xf>
    <xf numFmtId="37" fontId="4" fillId="33" borderId="13" xfId="125" applyNumberFormat="1" applyFont="1" applyFill="1" applyBorder="1" applyAlignment="1" applyProtection="1">
      <alignment horizontal="left" vertical="center"/>
      <protection/>
    </xf>
    <xf numFmtId="0" fontId="3" fillId="33" borderId="13" xfId="125" applyFont="1" applyFill="1" applyBorder="1" applyAlignment="1" applyProtection="1">
      <alignment vertical="center"/>
      <protection/>
    </xf>
    <xf numFmtId="37" fontId="3" fillId="33" borderId="16" xfId="125" applyNumberFormat="1" applyFont="1" applyFill="1" applyBorder="1" applyAlignment="1" applyProtection="1">
      <alignment horizontal="center" vertical="center"/>
      <protection/>
    </xf>
    <xf numFmtId="0" fontId="3" fillId="33" borderId="16" xfId="125" applyFont="1" applyFill="1" applyBorder="1" applyAlignment="1" applyProtection="1">
      <alignment horizontal="center" vertical="center"/>
      <protection/>
    </xf>
    <xf numFmtId="37" fontId="3" fillId="33" borderId="10" xfId="125" applyNumberFormat="1" applyFont="1" applyFill="1" applyBorder="1" applyAlignment="1" applyProtection="1">
      <alignment horizontal="left" vertical="center"/>
      <protection/>
    </xf>
    <xf numFmtId="0" fontId="3" fillId="33" borderId="12" xfId="125" applyFont="1" applyFill="1" applyBorder="1" applyAlignment="1" applyProtection="1">
      <alignment vertical="center"/>
      <protection/>
    </xf>
    <xf numFmtId="37" fontId="3" fillId="33" borderId="17" xfId="125" applyNumberFormat="1" applyFont="1" applyFill="1" applyBorder="1" applyAlignment="1" applyProtection="1">
      <alignment horizontal="center" vertical="center"/>
      <protection/>
    </xf>
    <xf numFmtId="0" fontId="3" fillId="33" borderId="14" xfId="125" applyFont="1" applyFill="1" applyBorder="1" applyAlignment="1" applyProtection="1">
      <alignment vertical="center"/>
      <protection/>
    </xf>
    <xf numFmtId="0" fontId="3" fillId="33" borderId="15" xfId="125" applyFont="1" applyFill="1" applyBorder="1" applyAlignment="1" applyProtection="1">
      <alignment vertical="center"/>
      <protection/>
    </xf>
    <xf numFmtId="37" fontId="3" fillId="33" borderId="18" xfId="125" applyNumberFormat="1" applyFont="1" applyFill="1" applyBorder="1" applyAlignment="1" applyProtection="1">
      <alignment horizontal="left" vertical="center"/>
      <protection/>
    </xf>
    <xf numFmtId="37" fontId="3" fillId="33" borderId="12" xfId="125" applyNumberFormat="1" applyFont="1" applyFill="1" applyBorder="1" applyAlignment="1" applyProtection="1">
      <alignment horizontal="center" vertical="center"/>
      <protection/>
    </xf>
    <xf numFmtId="37" fontId="5" fillId="33" borderId="10" xfId="125" applyNumberFormat="1" applyFont="1" applyFill="1" applyBorder="1" applyAlignment="1" applyProtection="1">
      <alignment horizontal="left" vertical="center"/>
      <protection/>
    </xf>
    <xf numFmtId="37" fontId="5" fillId="33" borderId="12" xfId="125" applyNumberFormat="1" applyFont="1" applyFill="1" applyBorder="1" applyAlignment="1" applyProtection="1">
      <alignment horizontal="center" vertical="center"/>
      <protection/>
    </xf>
    <xf numFmtId="0" fontId="3" fillId="33" borderId="17" xfId="125" applyFont="1" applyFill="1" applyBorder="1" applyAlignment="1" applyProtection="1">
      <alignment horizontal="center" vertical="center"/>
      <protection/>
    </xf>
    <xf numFmtId="0" fontId="3" fillId="33" borderId="16" xfId="125" applyFont="1" applyFill="1" applyBorder="1" applyAlignment="1" applyProtection="1">
      <alignment vertical="center"/>
      <protection/>
    </xf>
    <xf numFmtId="37" fontId="3" fillId="33" borderId="17" xfId="125" applyNumberFormat="1" applyFont="1" applyFill="1" applyBorder="1" applyAlignment="1" applyProtection="1">
      <alignment horizontal="left" vertical="center"/>
      <protection/>
    </xf>
    <xf numFmtId="37" fontId="3" fillId="34" borderId="17" xfId="125" applyNumberFormat="1" applyFont="1" applyFill="1" applyBorder="1" applyAlignment="1" applyProtection="1">
      <alignment horizontal="center" vertical="center"/>
      <protection/>
    </xf>
    <xf numFmtId="3" fontId="3" fillId="33" borderId="17" xfId="125" applyNumberFormat="1" applyFont="1" applyFill="1" applyBorder="1" applyAlignment="1" applyProtection="1">
      <alignment horizontal="right" vertical="center"/>
      <protection/>
    </xf>
    <xf numFmtId="164" fontId="3" fillId="33" borderId="17" xfId="125" applyNumberFormat="1" applyFont="1" applyFill="1" applyBorder="1" applyAlignment="1" applyProtection="1">
      <alignment horizontal="right" vertical="center"/>
      <protection/>
    </xf>
    <xf numFmtId="165" fontId="3" fillId="33" borderId="17" xfId="125" applyNumberFormat="1" applyFont="1" applyFill="1" applyBorder="1" applyAlignment="1" applyProtection="1">
      <alignment horizontal="right" vertical="center"/>
      <protection/>
    </xf>
    <xf numFmtId="37" fontId="3" fillId="33" borderId="17" xfId="125" applyNumberFormat="1" applyFont="1" applyFill="1" applyBorder="1" applyAlignment="1" applyProtection="1">
      <alignment vertical="center"/>
      <protection/>
    </xf>
    <xf numFmtId="37" fontId="3" fillId="33" borderId="10" xfId="125" applyNumberFormat="1" applyFont="1" applyFill="1" applyBorder="1" applyAlignment="1" applyProtection="1">
      <alignment vertical="center"/>
      <protection/>
    </xf>
    <xf numFmtId="0" fontId="3" fillId="33" borderId="17" xfId="125" applyFont="1" applyFill="1" applyBorder="1" applyAlignment="1" applyProtection="1">
      <alignment horizontal="right" vertical="center"/>
      <protection/>
    </xf>
    <xf numFmtId="37" fontId="3" fillId="33" borderId="18" xfId="125" applyNumberFormat="1" applyFont="1" applyFill="1" applyBorder="1" applyAlignment="1" applyProtection="1">
      <alignment vertical="center"/>
      <protection/>
    </xf>
    <xf numFmtId="0" fontId="3" fillId="33" borderId="19" xfId="125" applyFont="1" applyFill="1" applyBorder="1" applyAlignment="1" applyProtection="1">
      <alignment vertical="center"/>
      <protection/>
    </xf>
    <xf numFmtId="37" fontId="4" fillId="33" borderId="18" xfId="125" applyNumberFormat="1" applyFont="1" applyFill="1" applyBorder="1" applyAlignment="1" applyProtection="1">
      <alignment horizontal="left" vertical="center"/>
      <protection/>
    </xf>
    <xf numFmtId="37" fontId="3" fillId="33" borderId="17" xfId="125" applyNumberFormat="1" applyFont="1" applyFill="1" applyBorder="1" applyAlignment="1" applyProtection="1">
      <alignment horizontal="fill" vertical="center"/>
      <protection/>
    </xf>
    <xf numFmtId="3" fontId="3" fillId="35" borderId="20" xfId="125" applyNumberFormat="1" applyFont="1" applyFill="1" applyBorder="1" applyAlignment="1" applyProtection="1">
      <alignment horizontal="right" vertical="center"/>
      <protection/>
    </xf>
    <xf numFmtId="166" fontId="3" fillId="34" borderId="21" xfId="125" applyNumberFormat="1" applyFont="1" applyFill="1" applyBorder="1" applyAlignment="1" applyProtection="1">
      <alignment horizontal="right" vertical="center"/>
      <protection/>
    </xf>
    <xf numFmtId="37" fontId="3" fillId="36" borderId="17" xfId="125" applyNumberFormat="1" applyFont="1" applyFill="1" applyBorder="1" applyAlignment="1" applyProtection="1">
      <alignment horizontal="left" vertical="center"/>
      <protection/>
    </xf>
    <xf numFmtId="0" fontId="3" fillId="36" borderId="17" xfId="125" applyFont="1" applyFill="1" applyBorder="1" applyAlignment="1" applyProtection="1">
      <alignment vertical="center"/>
      <protection/>
    </xf>
    <xf numFmtId="37" fontId="3" fillId="36" borderId="17" xfId="125" applyNumberFormat="1" applyFont="1" applyFill="1" applyBorder="1" applyAlignment="1" applyProtection="1">
      <alignment vertical="center"/>
      <protection/>
    </xf>
    <xf numFmtId="0" fontId="2" fillId="36" borderId="16" xfId="125" applyFill="1" applyBorder="1" applyAlignment="1" applyProtection="1">
      <alignment vertical="center"/>
      <protection/>
    </xf>
    <xf numFmtId="0" fontId="7" fillId="36" borderId="19" xfId="125" applyFont="1" applyFill="1" applyBorder="1" applyAlignment="1" applyProtection="1">
      <alignment horizontal="center" vertical="center"/>
      <protection/>
    </xf>
    <xf numFmtId="0" fontId="8" fillId="37" borderId="17" xfId="125" applyFont="1" applyFill="1" applyBorder="1" applyAlignment="1" applyProtection="1">
      <alignment vertical="center" shrinkToFit="1"/>
      <protection/>
    </xf>
    <xf numFmtId="0" fontId="8" fillId="33" borderId="0" xfId="125" applyFont="1" applyFill="1" applyBorder="1" applyAlignment="1" applyProtection="1">
      <alignment vertical="center" shrinkToFit="1"/>
      <protection/>
    </xf>
    <xf numFmtId="167" fontId="3" fillId="38" borderId="17" xfId="48" applyNumberFormat="1" applyFont="1" applyFill="1" applyBorder="1" applyAlignment="1" applyProtection="1">
      <alignment vertical="center"/>
      <protection locked="0"/>
    </xf>
    <xf numFmtId="37" fontId="3" fillId="39" borderId="0" xfId="125" applyNumberFormat="1" applyFont="1" applyFill="1" applyBorder="1" applyAlignment="1" applyProtection="1">
      <alignment horizontal="left" vertical="center"/>
      <protection/>
    </xf>
    <xf numFmtId="0" fontId="3" fillId="39" borderId="0" xfId="125" applyFont="1" applyFill="1" applyBorder="1" applyAlignment="1" applyProtection="1">
      <alignment vertical="center"/>
      <protection/>
    </xf>
    <xf numFmtId="37" fontId="3" fillId="39" borderId="0" xfId="125" applyNumberFormat="1" applyFont="1" applyFill="1" applyBorder="1" applyAlignment="1" applyProtection="1">
      <alignment vertical="center"/>
      <protection/>
    </xf>
    <xf numFmtId="0" fontId="2" fillId="39" borderId="0" xfId="125" applyFill="1" applyBorder="1" applyAlignment="1" applyProtection="1">
      <alignment vertical="center"/>
      <protection/>
    </xf>
    <xf numFmtId="0" fontId="7" fillId="39" borderId="0" xfId="125" applyFont="1" applyFill="1" applyBorder="1" applyAlignment="1" applyProtection="1">
      <alignment horizontal="center" vertical="center"/>
      <protection/>
    </xf>
    <xf numFmtId="0" fontId="8" fillId="39" borderId="0" xfId="125" applyFont="1" applyFill="1" applyAlignment="1" applyProtection="1">
      <alignment vertical="center" shrinkToFit="1"/>
      <protection/>
    </xf>
    <xf numFmtId="0" fontId="3" fillId="38" borderId="11" xfId="125" applyFont="1" applyFill="1" applyBorder="1" applyAlignment="1" applyProtection="1">
      <alignment vertical="center"/>
      <protection locked="0"/>
    </xf>
    <xf numFmtId="167" fontId="3" fillId="39" borderId="0" xfId="48" applyNumberFormat="1" applyFont="1" applyFill="1" applyBorder="1" applyAlignment="1" applyProtection="1">
      <alignment vertical="center"/>
      <protection/>
    </xf>
    <xf numFmtId="0" fontId="3" fillId="38" borderId="13" xfId="125" applyFont="1" applyFill="1" applyBorder="1" applyAlignment="1" applyProtection="1">
      <alignment vertical="center"/>
      <protection locked="0"/>
    </xf>
    <xf numFmtId="0" fontId="8" fillId="39" borderId="0" xfId="125" applyFont="1" applyFill="1" applyBorder="1" applyAlignment="1" applyProtection="1">
      <alignment vertical="center" wrapText="1" shrinkToFit="1"/>
      <protection/>
    </xf>
    <xf numFmtId="0" fontId="2" fillId="39" borderId="0" xfId="125" applyFill="1" applyBorder="1" applyAlignment="1" applyProtection="1">
      <alignment vertical="center" wrapText="1"/>
      <protection/>
    </xf>
    <xf numFmtId="37" fontId="3" fillId="33" borderId="0" xfId="125" applyNumberFormat="1" applyFont="1" applyFill="1" applyBorder="1" applyAlignment="1" applyProtection="1">
      <alignment horizontal="fill" vertical="center"/>
      <protection/>
    </xf>
    <xf numFmtId="37" fontId="3" fillId="33" borderId="0" xfId="125" applyNumberFormat="1" applyFont="1" applyFill="1" applyAlignment="1" applyProtection="1">
      <alignment horizontal="right" vertical="center"/>
      <protection/>
    </xf>
    <xf numFmtId="0" fontId="3" fillId="33" borderId="0" xfId="125" applyFont="1" applyFill="1" applyBorder="1" applyAlignment="1" applyProtection="1">
      <alignment horizontal="right" vertical="center"/>
      <protection/>
    </xf>
    <xf numFmtId="37" fontId="3" fillId="33" borderId="0" xfId="125" applyNumberFormat="1" applyFont="1" applyFill="1" applyAlignment="1" applyProtection="1">
      <alignment horizontal="left" vertical="center"/>
      <protection locked="0"/>
    </xf>
    <xf numFmtId="0" fontId="3" fillId="33" borderId="0" xfId="125" applyFont="1" applyFill="1" applyAlignment="1" applyProtection="1">
      <alignment horizontal="left" vertical="center"/>
      <protection/>
    </xf>
    <xf numFmtId="37" fontId="3" fillId="33" borderId="13" xfId="125" applyNumberFormat="1" applyFont="1" applyFill="1" applyBorder="1" applyAlignment="1" applyProtection="1">
      <alignment vertical="center"/>
      <protection locked="0"/>
    </xf>
    <xf numFmtId="37" fontId="3" fillId="33" borderId="0" xfId="125" applyNumberFormat="1" applyFont="1" applyFill="1" applyAlignment="1" applyProtection="1">
      <alignment horizontal="center" vertical="center"/>
      <protection/>
    </xf>
    <xf numFmtId="0" fontId="3" fillId="0" borderId="0" xfId="125" applyFont="1" applyAlignment="1">
      <alignment vertical="center"/>
      <protection/>
    </xf>
    <xf numFmtId="0" fontId="3" fillId="0" borderId="0" xfId="125" applyFont="1" applyAlignment="1" applyProtection="1">
      <alignment vertical="center"/>
      <protection locked="0"/>
    </xf>
    <xf numFmtId="37" fontId="3" fillId="33" borderId="0" xfId="125" applyNumberFormat="1" applyFont="1" applyFill="1" applyAlignment="1" applyProtection="1">
      <alignment vertical="center"/>
      <protection/>
    </xf>
    <xf numFmtId="0" fontId="4" fillId="33" borderId="0" xfId="125" applyFont="1" applyFill="1" applyAlignment="1" applyProtection="1">
      <alignment horizontal="center" vertical="center"/>
      <protection/>
    </xf>
    <xf numFmtId="0" fontId="4" fillId="33" borderId="0" xfId="125" applyFont="1" applyFill="1" applyAlignment="1" applyProtection="1">
      <alignment horizontal="center" vertical="center" wrapText="1"/>
      <protection/>
    </xf>
    <xf numFmtId="0" fontId="3" fillId="33" borderId="0" xfId="125" applyFont="1" applyFill="1" applyAlignment="1" applyProtection="1" quotePrefix="1">
      <alignment horizontal="right" vertical="center"/>
      <protection/>
    </xf>
    <xf numFmtId="3" fontId="3" fillId="33" borderId="0" xfId="125" applyNumberFormat="1" applyFont="1" applyFill="1" applyAlignment="1" applyProtection="1">
      <alignment vertical="center"/>
      <protection/>
    </xf>
    <xf numFmtId="3" fontId="3" fillId="33" borderId="0" xfId="125" applyNumberFormat="1" applyFont="1" applyFill="1" applyAlignment="1" applyProtection="1" quotePrefix="1">
      <alignment vertical="center"/>
      <protection/>
    </xf>
    <xf numFmtId="3" fontId="3" fillId="33" borderId="13" xfId="125" applyNumberFormat="1" applyFont="1" applyFill="1" applyBorder="1" applyAlignment="1" applyProtection="1">
      <alignment vertical="center"/>
      <protection/>
    </xf>
    <xf numFmtId="3" fontId="3" fillId="33" borderId="11" xfId="125" applyNumberFormat="1" applyFont="1" applyFill="1" applyBorder="1" applyAlignment="1" applyProtection="1">
      <alignment vertical="center"/>
      <protection/>
    </xf>
    <xf numFmtId="0" fontId="4" fillId="33" borderId="0" xfId="125" applyFont="1" applyFill="1" applyAlignment="1" applyProtection="1">
      <alignment vertical="center"/>
      <protection/>
    </xf>
    <xf numFmtId="3" fontId="3" fillId="33" borderId="0" xfId="125" applyNumberFormat="1" applyFont="1" applyFill="1" applyBorder="1" applyAlignment="1" applyProtection="1">
      <alignment vertical="center"/>
      <protection/>
    </xf>
    <xf numFmtId="0" fontId="3" fillId="33" borderId="0" xfId="125" applyFont="1" applyFill="1" applyAlignment="1" applyProtection="1" quotePrefix="1">
      <alignment vertical="center"/>
      <protection/>
    </xf>
    <xf numFmtId="3" fontId="3" fillId="33" borderId="22" xfId="125" applyNumberFormat="1" applyFont="1" applyFill="1" applyBorder="1" applyAlignment="1" applyProtection="1">
      <alignment vertical="center"/>
      <protection/>
    </xf>
    <xf numFmtId="0" fontId="3" fillId="33" borderId="22" xfId="125" applyFont="1" applyFill="1" applyBorder="1" applyAlignment="1" applyProtection="1">
      <alignment vertical="center"/>
      <protection/>
    </xf>
    <xf numFmtId="168" fontId="3" fillId="33" borderId="13" xfId="125" applyNumberFormat="1" applyFont="1" applyFill="1" applyBorder="1" applyAlignment="1" applyProtection="1">
      <alignment vertical="center"/>
      <protection/>
    </xf>
    <xf numFmtId="0" fontId="3" fillId="33" borderId="0" xfId="125" applyFont="1" applyFill="1" applyBorder="1" applyAlignment="1" applyProtection="1" quotePrefix="1">
      <alignment vertical="center"/>
      <protection/>
    </xf>
    <xf numFmtId="3" fontId="3" fillId="33" borderId="23" xfId="125" applyNumberFormat="1" applyFont="1" applyFill="1" applyBorder="1" applyAlignment="1" applyProtection="1">
      <alignment vertical="center"/>
      <protection/>
    </xf>
    <xf numFmtId="3" fontId="3" fillId="33" borderId="13" xfId="44" applyNumberFormat="1" applyFont="1" applyFill="1" applyBorder="1" applyAlignment="1" applyProtection="1">
      <alignment vertical="center"/>
      <protection/>
    </xf>
    <xf numFmtId="0" fontId="11" fillId="0" borderId="0" xfId="125" applyFont="1" applyAlignment="1">
      <alignment vertical="center"/>
      <protection/>
    </xf>
    <xf numFmtId="0" fontId="3" fillId="39" borderId="0" xfId="125" applyFont="1" applyFill="1" applyAlignment="1" applyProtection="1">
      <alignment vertical="center"/>
      <protection locked="0"/>
    </xf>
    <xf numFmtId="0" fontId="3" fillId="33" borderId="13" xfId="125" applyFont="1" applyFill="1" applyBorder="1" applyAlignment="1" applyProtection="1">
      <alignment horizontal="centerContinuous" vertical="center"/>
      <protection/>
    </xf>
    <xf numFmtId="0" fontId="3" fillId="33" borderId="0" xfId="125" applyFont="1" applyFill="1" applyBorder="1" applyAlignment="1" applyProtection="1">
      <alignment horizontal="centerContinuous" vertical="center"/>
      <protection/>
    </xf>
    <xf numFmtId="0" fontId="3" fillId="33" borderId="14" xfId="125" applyFont="1" applyFill="1" applyBorder="1" applyAlignment="1" applyProtection="1">
      <alignment horizontal="center" vertical="center"/>
      <protection/>
    </xf>
    <xf numFmtId="37" fontId="3" fillId="33" borderId="24" xfId="125" applyNumberFormat="1" applyFont="1" applyFill="1" applyBorder="1" applyAlignment="1" applyProtection="1">
      <alignment horizontal="center" vertical="center"/>
      <protection/>
    </xf>
    <xf numFmtId="37" fontId="3" fillId="39" borderId="0" xfId="125" applyNumberFormat="1" applyFont="1" applyFill="1" applyBorder="1" applyAlignment="1" applyProtection="1">
      <alignment horizontal="center" vertical="center"/>
      <protection/>
    </xf>
    <xf numFmtId="0" fontId="3" fillId="33" borderId="15" xfId="125" applyNumberFormat="1" applyFont="1" applyFill="1" applyBorder="1" applyAlignment="1" applyProtection="1">
      <alignment horizontal="center" vertical="center"/>
      <protection/>
    </xf>
    <xf numFmtId="0" fontId="3" fillId="33" borderId="0" xfId="125" applyFont="1" applyFill="1" applyBorder="1" applyAlignment="1" applyProtection="1">
      <alignment horizontal="center" vertical="center"/>
      <protection/>
    </xf>
    <xf numFmtId="0" fontId="3" fillId="33" borderId="18" xfId="125" applyFont="1" applyFill="1" applyBorder="1" applyAlignment="1" applyProtection="1">
      <alignment vertical="center"/>
      <protection/>
    </xf>
    <xf numFmtId="169" fontId="3" fillId="33" borderId="0" xfId="125" applyNumberFormat="1" applyFont="1" applyFill="1" applyAlignment="1" applyProtection="1">
      <alignment vertical="center"/>
      <protection/>
    </xf>
    <xf numFmtId="37" fontId="3" fillId="33" borderId="13" xfId="125" applyNumberFormat="1" applyFont="1" applyFill="1" applyBorder="1" applyAlignment="1" applyProtection="1">
      <alignment vertical="center"/>
      <protection/>
    </xf>
    <xf numFmtId="170" fontId="3" fillId="34" borderId="13" xfId="125" applyNumberFormat="1" applyFont="1" applyFill="1" applyBorder="1" applyAlignment="1" applyProtection="1">
      <alignment vertical="center"/>
      <protection/>
    </xf>
    <xf numFmtId="0" fontId="2" fillId="33" borderId="0" xfId="125" applyFill="1" applyAlignment="1">
      <alignment vertical="center"/>
      <protection/>
    </xf>
    <xf numFmtId="0" fontId="3" fillId="0" borderId="0" xfId="125" applyFont="1" applyAlignment="1" applyProtection="1">
      <alignment horizontal="center" vertical="center"/>
      <protection locked="0"/>
    </xf>
    <xf numFmtId="37" fontId="3" fillId="33" borderId="0" xfId="125" applyNumberFormat="1" applyFont="1" applyFill="1" applyAlignment="1">
      <alignment vertical="center"/>
      <protection/>
    </xf>
    <xf numFmtId="0" fontId="3" fillId="33" borderId="0" xfId="125" applyFont="1" applyFill="1" applyAlignment="1">
      <alignment vertical="center"/>
      <protection/>
    </xf>
    <xf numFmtId="0" fontId="4" fillId="33" borderId="13" xfId="125" applyFont="1" applyFill="1" applyBorder="1" applyAlignment="1" applyProtection="1">
      <alignment horizontal="center" vertical="center"/>
      <protection/>
    </xf>
    <xf numFmtId="0" fontId="4" fillId="33" borderId="14" xfId="125" applyFont="1" applyFill="1" applyBorder="1" applyAlignment="1" applyProtection="1">
      <alignment horizontal="center" vertical="center"/>
      <protection/>
    </xf>
    <xf numFmtId="0" fontId="4" fillId="33" borderId="15" xfId="125" applyFont="1" applyFill="1" applyBorder="1" applyAlignment="1" applyProtection="1">
      <alignment horizontal="center" vertical="center"/>
      <protection/>
    </xf>
    <xf numFmtId="0" fontId="4" fillId="33" borderId="16" xfId="125" applyFont="1" applyFill="1" applyBorder="1" applyAlignment="1" applyProtection="1">
      <alignment horizontal="center" vertical="center"/>
      <protection/>
    </xf>
    <xf numFmtId="1" fontId="3" fillId="33" borderId="16" xfId="125" applyNumberFormat="1" applyFont="1" applyFill="1" applyBorder="1" applyAlignment="1" applyProtection="1">
      <alignment horizontal="center" vertical="center"/>
      <protection/>
    </xf>
    <xf numFmtId="0" fontId="3" fillId="38" borderId="16" xfId="125" applyFont="1" applyFill="1" applyBorder="1" applyAlignment="1" applyProtection="1">
      <alignment horizontal="center" vertical="center"/>
      <protection locked="0"/>
    </xf>
    <xf numFmtId="3" fontId="3" fillId="38" borderId="16" xfId="44" applyNumberFormat="1" applyFont="1" applyFill="1" applyBorder="1" applyAlignment="1" applyProtection="1">
      <alignment horizontal="right" vertical="center"/>
      <protection locked="0"/>
    </xf>
    <xf numFmtId="0" fontId="3" fillId="38" borderId="17" xfId="125" applyFont="1" applyFill="1" applyBorder="1" applyAlignment="1" applyProtection="1">
      <alignment horizontal="center" vertical="center"/>
      <protection locked="0"/>
    </xf>
    <xf numFmtId="3" fontId="3" fillId="38" borderId="17" xfId="44" applyNumberFormat="1" applyFont="1" applyFill="1" applyBorder="1" applyAlignment="1" applyProtection="1">
      <alignment horizontal="right" vertical="center"/>
      <protection locked="0"/>
    </xf>
    <xf numFmtId="0" fontId="3" fillId="33" borderId="0" xfId="125" applyFont="1" applyFill="1" applyAlignment="1" applyProtection="1">
      <alignment horizontal="center" vertical="center"/>
      <protection locked="0"/>
    </xf>
    <xf numFmtId="0" fontId="4" fillId="33" borderId="17" xfId="125" applyFont="1" applyFill="1" applyBorder="1" applyAlignment="1" applyProtection="1">
      <alignment horizontal="center" vertical="center"/>
      <protection/>
    </xf>
    <xf numFmtId="37" fontId="4" fillId="33" borderId="17" xfId="125" applyNumberFormat="1" applyFont="1" applyFill="1" applyBorder="1" applyAlignment="1" applyProtection="1">
      <alignment horizontal="center" vertical="center"/>
      <protection/>
    </xf>
    <xf numFmtId="0" fontId="62" fillId="33" borderId="0" xfId="125" applyFont="1" applyFill="1" applyAlignment="1" applyProtection="1">
      <alignment horizontal="right" vertical="center"/>
      <protection locked="0"/>
    </xf>
    <xf numFmtId="0" fontId="13" fillId="33" borderId="0" xfId="125" applyFont="1" applyFill="1" applyAlignment="1" applyProtection="1">
      <alignment horizontal="left" vertical="center"/>
      <protection locked="0"/>
    </xf>
    <xf numFmtId="1" fontId="3" fillId="33" borderId="0" xfId="125" applyNumberFormat="1" applyFont="1" applyFill="1" applyBorder="1" applyAlignment="1" applyProtection="1">
      <alignment horizontal="right" vertical="center"/>
      <protection/>
    </xf>
    <xf numFmtId="0" fontId="4" fillId="33" borderId="0" xfId="352" applyFont="1" applyFill="1" applyAlignment="1" applyProtection="1">
      <alignment horizontal="centerContinuous" vertical="center"/>
      <protection/>
    </xf>
    <xf numFmtId="0" fontId="3" fillId="33" borderId="13" xfId="125" applyFont="1" applyFill="1" applyBorder="1" applyAlignment="1" applyProtection="1">
      <alignment horizontal="fill" vertical="center"/>
      <protection/>
    </xf>
    <xf numFmtId="0" fontId="3" fillId="33" borderId="25" xfId="125" applyFont="1" applyFill="1" applyBorder="1" applyAlignment="1" applyProtection="1">
      <alignment horizontal="centerContinuous" vertical="center"/>
      <protection/>
    </xf>
    <xf numFmtId="0" fontId="3" fillId="33" borderId="24" xfId="125" applyFont="1" applyFill="1" applyBorder="1" applyAlignment="1" applyProtection="1">
      <alignment horizontal="centerContinuous" vertical="center"/>
      <protection/>
    </xf>
    <xf numFmtId="1" fontId="3" fillId="33" borderId="18" xfId="125" applyNumberFormat="1" applyFont="1" applyFill="1" applyBorder="1" applyAlignment="1" applyProtection="1">
      <alignment horizontal="center" vertical="center"/>
      <protection/>
    </xf>
    <xf numFmtId="0" fontId="3" fillId="33" borderId="17" xfId="125" applyFont="1" applyFill="1" applyBorder="1" applyAlignment="1" applyProtection="1">
      <alignment horizontal="left" vertical="center"/>
      <protection/>
    </xf>
    <xf numFmtId="0" fontId="3" fillId="33" borderId="17" xfId="125" applyFont="1" applyFill="1" applyBorder="1" applyAlignment="1" applyProtection="1">
      <alignment vertical="center"/>
      <protection/>
    </xf>
    <xf numFmtId="2" fontId="3" fillId="33" borderId="17" xfId="125" applyNumberFormat="1" applyFont="1" applyFill="1" applyBorder="1" applyAlignment="1" applyProtection="1">
      <alignment vertical="center"/>
      <protection/>
    </xf>
    <xf numFmtId="3" fontId="3" fillId="33" borderId="17" xfId="125" applyNumberFormat="1" applyFont="1" applyFill="1" applyBorder="1" applyAlignment="1" applyProtection="1">
      <alignment vertical="center"/>
      <protection/>
    </xf>
    <xf numFmtId="0" fontId="3" fillId="38" borderId="17" xfId="125" applyFont="1" applyFill="1" applyBorder="1" applyAlignment="1" applyProtection="1">
      <alignment vertical="center"/>
      <protection locked="0"/>
    </xf>
    <xf numFmtId="14" fontId="3" fillId="38" borderId="17" xfId="125" applyNumberFormat="1" applyFont="1" applyFill="1" applyBorder="1" applyAlignment="1" applyProtection="1">
      <alignment horizontal="center" vertical="center"/>
      <protection locked="0"/>
    </xf>
    <xf numFmtId="2" fontId="3" fillId="38" borderId="17" xfId="125" applyNumberFormat="1" applyFont="1" applyFill="1" applyBorder="1" applyAlignment="1" applyProtection="1">
      <alignment horizontal="center" vertical="center"/>
      <protection locked="0"/>
    </xf>
    <xf numFmtId="3" fontId="3" fillId="38" borderId="17" xfId="125" applyNumberFormat="1" applyFont="1" applyFill="1" applyBorder="1" applyAlignment="1" applyProtection="1">
      <alignment horizontal="center" vertical="center"/>
      <protection locked="0"/>
    </xf>
    <xf numFmtId="37" fontId="3" fillId="38" borderId="17" xfId="125" applyNumberFormat="1" applyFont="1" applyFill="1" applyBorder="1" applyAlignment="1" applyProtection="1">
      <alignment horizontal="center" vertical="center"/>
      <protection locked="0"/>
    </xf>
    <xf numFmtId="171" fontId="3" fillId="38" borderId="17" xfId="125" applyNumberFormat="1" applyFont="1" applyFill="1" applyBorder="1" applyAlignment="1" applyProtection="1">
      <alignment horizontal="center" vertical="center"/>
      <protection locked="0"/>
    </xf>
    <xf numFmtId="0" fontId="4" fillId="33" borderId="17" xfId="125" applyFont="1" applyFill="1" applyBorder="1" applyAlignment="1" applyProtection="1">
      <alignment horizontal="left" vertical="center"/>
      <protection/>
    </xf>
    <xf numFmtId="172" fontId="4" fillId="33" borderId="17" xfId="125" applyNumberFormat="1" applyFont="1" applyFill="1" applyBorder="1" applyAlignment="1" applyProtection="1">
      <alignment horizontal="center" vertical="center"/>
      <protection/>
    </xf>
    <xf numFmtId="2" fontId="4" fillId="33" borderId="17" xfId="125" applyNumberFormat="1" applyFont="1" applyFill="1" applyBorder="1" applyAlignment="1" applyProtection="1">
      <alignment horizontal="center" vertical="center"/>
      <protection/>
    </xf>
    <xf numFmtId="3" fontId="4" fillId="33" borderId="17" xfId="125" applyNumberFormat="1" applyFont="1" applyFill="1" applyBorder="1" applyAlignment="1" applyProtection="1">
      <alignment horizontal="center" vertical="center"/>
      <protection/>
    </xf>
    <xf numFmtId="37" fontId="4" fillId="34" borderId="17" xfId="125" applyNumberFormat="1" applyFont="1" applyFill="1" applyBorder="1" applyAlignment="1" applyProtection="1">
      <alignment horizontal="center" vertical="center"/>
      <protection/>
    </xf>
    <xf numFmtId="171" fontId="4" fillId="33" borderId="17" xfId="125" applyNumberFormat="1" applyFont="1" applyFill="1" applyBorder="1" applyAlignment="1" applyProtection="1">
      <alignment horizontal="center" vertical="center"/>
      <protection/>
    </xf>
    <xf numFmtId="172" fontId="3" fillId="33" borderId="17" xfId="125" applyNumberFormat="1" applyFont="1" applyFill="1" applyBorder="1" applyAlignment="1" applyProtection="1">
      <alignment horizontal="center" vertical="center"/>
      <protection/>
    </xf>
    <xf numFmtId="2" fontId="3" fillId="33" borderId="17" xfId="125" applyNumberFormat="1" applyFont="1" applyFill="1" applyBorder="1" applyAlignment="1" applyProtection="1">
      <alignment horizontal="center" vertical="center"/>
      <protection/>
    </xf>
    <xf numFmtId="3" fontId="3" fillId="33" borderId="17" xfId="125" applyNumberFormat="1" applyFont="1" applyFill="1" applyBorder="1" applyAlignment="1" applyProtection="1">
      <alignment horizontal="center" vertical="center"/>
      <protection/>
    </xf>
    <xf numFmtId="171" fontId="3" fillId="33" borderId="17" xfId="125" applyNumberFormat="1" applyFont="1" applyFill="1" applyBorder="1" applyAlignment="1" applyProtection="1">
      <alignment horizontal="center" vertical="center"/>
      <protection/>
    </xf>
    <xf numFmtId="1" fontId="4" fillId="33" borderId="17" xfId="125" applyNumberFormat="1" applyFont="1" applyFill="1" applyBorder="1" applyAlignment="1" applyProtection="1">
      <alignment horizontal="center" vertical="center"/>
      <protection/>
    </xf>
    <xf numFmtId="3" fontId="4" fillId="34" borderId="17" xfId="125" applyNumberFormat="1" applyFont="1" applyFill="1" applyBorder="1" applyAlignment="1" applyProtection="1">
      <alignment horizontal="center" vertical="center"/>
      <protection/>
    </xf>
    <xf numFmtId="1" fontId="3" fillId="33" borderId="17" xfId="125" applyNumberFormat="1" applyFont="1" applyFill="1" applyBorder="1" applyAlignment="1" applyProtection="1">
      <alignment horizontal="center" vertical="center"/>
      <protection/>
    </xf>
    <xf numFmtId="37" fontId="3" fillId="0" borderId="0" xfId="125" applyNumberFormat="1" applyFont="1" applyAlignment="1" applyProtection="1">
      <alignment vertical="center"/>
      <protection locked="0"/>
    </xf>
    <xf numFmtId="0" fontId="3" fillId="0" borderId="0" xfId="125" applyFont="1" applyAlignment="1" applyProtection="1">
      <alignment horizontal="left" vertical="center"/>
      <protection locked="0"/>
    </xf>
    <xf numFmtId="0" fontId="3" fillId="33" borderId="0" xfId="125" applyNumberFormat="1" applyFont="1" applyFill="1" applyAlignment="1" applyProtection="1">
      <alignment horizontal="right" vertical="center"/>
      <protection/>
    </xf>
    <xf numFmtId="0" fontId="13" fillId="33" borderId="16" xfId="125" applyFont="1" applyFill="1" applyBorder="1" applyAlignment="1" applyProtection="1">
      <alignment horizontal="center" vertical="center"/>
      <protection/>
    </xf>
    <xf numFmtId="14" fontId="3" fillId="33" borderId="16" xfId="125" applyNumberFormat="1" applyFont="1" applyFill="1" applyBorder="1" applyAlignment="1" applyProtection="1" quotePrefix="1">
      <alignment horizontal="center" vertical="center"/>
      <protection/>
    </xf>
    <xf numFmtId="1" fontId="3" fillId="38" borderId="17" xfId="125" applyNumberFormat="1" applyFont="1" applyFill="1" applyBorder="1" applyAlignment="1" applyProtection="1">
      <alignment horizontal="center" vertical="center"/>
      <protection locked="0"/>
    </xf>
    <xf numFmtId="0" fontId="3" fillId="38" borderId="17" xfId="125" applyFont="1" applyFill="1" applyBorder="1" applyAlignment="1" applyProtection="1">
      <alignment horizontal="center" vertical="center"/>
      <protection locked="0"/>
    </xf>
    <xf numFmtId="0" fontId="4" fillId="33" borderId="0" xfId="125" applyFont="1" applyFill="1" applyAlignment="1" applyProtection="1">
      <alignment horizontal="left" vertical="center"/>
      <protection/>
    </xf>
    <xf numFmtId="0" fontId="3" fillId="33" borderId="0" xfId="125" applyFont="1" applyFill="1" applyAlignment="1" applyProtection="1">
      <alignment horizontal="center" vertical="center"/>
      <protection/>
    </xf>
    <xf numFmtId="3" fontId="4" fillId="34" borderId="26" xfId="125" applyNumberFormat="1" applyFont="1" applyFill="1" applyBorder="1" applyAlignment="1" applyProtection="1">
      <alignment horizontal="center" vertical="center"/>
      <protection/>
    </xf>
    <xf numFmtId="0" fontId="3" fillId="40" borderId="0" xfId="351" applyFont="1" applyFill="1" applyAlignment="1" applyProtection="1">
      <alignment vertical="center"/>
      <protection/>
    </xf>
    <xf numFmtId="0" fontId="3" fillId="40" borderId="0" xfId="125" applyFont="1" applyFill="1" applyAlignment="1" applyProtection="1">
      <alignment vertical="center"/>
      <protection/>
    </xf>
    <xf numFmtId="0" fontId="3" fillId="33" borderId="0" xfId="125" applyFont="1" applyFill="1" applyBorder="1" applyAlignment="1" applyProtection="1">
      <alignment horizontal="fill" vertical="center"/>
      <protection/>
    </xf>
    <xf numFmtId="1" fontId="3" fillId="33" borderId="25" xfId="125" applyNumberFormat="1" applyFont="1" applyFill="1" applyBorder="1" applyAlignment="1" applyProtection="1">
      <alignment horizontal="center" vertical="center"/>
      <protection/>
    </xf>
    <xf numFmtId="37" fontId="3" fillId="33" borderId="25" xfId="125" applyNumberFormat="1" applyFont="1" applyFill="1" applyBorder="1" applyAlignment="1" applyProtection="1">
      <alignment horizontal="center" vertical="center"/>
      <protection/>
    </xf>
    <xf numFmtId="37" fontId="4" fillId="33" borderId="0" xfId="125" applyNumberFormat="1" applyFont="1" applyFill="1" applyBorder="1" applyAlignment="1" applyProtection="1">
      <alignment vertical="center"/>
      <protection/>
    </xf>
    <xf numFmtId="0" fontId="3" fillId="33" borderId="18" xfId="125" applyNumberFormat="1" applyFont="1" applyFill="1" applyBorder="1" applyAlignment="1" applyProtection="1">
      <alignment horizontal="center" vertical="center"/>
      <protection/>
    </xf>
    <xf numFmtId="0" fontId="3" fillId="33" borderId="16" xfId="125" applyNumberFormat="1" applyFont="1" applyFill="1" applyBorder="1" applyAlignment="1" applyProtection="1">
      <alignment horizontal="center" vertical="center"/>
      <protection/>
    </xf>
    <xf numFmtId="0" fontId="3" fillId="33" borderId="10" xfId="125" applyFont="1" applyFill="1" applyBorder="1" applyAlignment="1" applyProtection="1">
      <alignment horizontal="left" vertical="center"/>
      <protection/>
    </xf>
    <xf numFmtId="3" fontId="3" fillId="38" borderId="10" xfId="125" applyNumberFormat="1" applyFont="1" applyFill="1" applyBorder="1" applyAlignment="1" applyProtection="1">
      <alignment vertical="center"/>
      <protection locked="0"/>
    </xf>
    <xf numFmtId="3" fontId="3" fillId="33" borderId="10" xfId="125" applyNumberFormat="1" applyFont="1" applyFill="1" applyBorder="1" applyAlignment="1" applyProtection="1">
      <alignment vertical="center"/>
      <protection/>
    </xf>
    <xf numFmtId="0" fontId="3" fillId="33" borderId="18" xfId="125" applyFont="1" applyFill="1" applyBorder="1" applyAlignment="1" applyProtection="1">
      <alignment horizontal="left" vertical="center"/>
      <protection/>
    </xf>
    <xf numFmtId="37" fontId="3" fillId="38" borderId="17" xfId="125" applyNumberFormat="1" applyFont="1" applyFill="1" applyBorder="1" applyAlignment="1" applyProtection="1">
      <alignment vertical="center"/>
      <protection locked="0"/>
    </xf>
    <xf numFmtId="37" fontId="3" fillId="38" borderId="10" xfId="125" applyNumberFormat="1" applyFont="1" applyFill="1" applyBorder="1" applyAlignment="1" applyProtection="1">
      <alignment vertical="center"/>
      <protection locked="0"/>
    </xf>
    <xf numFmtId="3" fontId="3" fillId="38" borderId="17" xfId="125" applyNumberFormat="1" applyFont="1" applyFill="1" applyBorder="1" applyAlignment="1" applyProtection="1">
      <alignment vertical="center"/>
      <protection locked="0"/>
    </xf>
    <xf numFmtId="0" fontId="3" fillId="38" borderId="10" xfId="74" applyNumberFormat="1" applyFont="1" applyFill="1" applyBorder="1" applyAlignment="1" applyProtection="1">
      <alignment horizontal="left" vertical="center"/>
      <protection locked="0"/>
    </xf>
    <xf numFmtId="0" fontId="3" fillId="38" borderId="10" xfId="125" applyNumberFormat="1" applyFont="1" applyFill="1" applyBorder="1" applyAlignment="1" applyProtection="1">
      <alignment horizontal="left" vertical="center"/>
      <protection locked="0"/>
    </xf>
    <xf numFmtId="37" fontId="3" fillId="38" borderId="10" xfId="65" applyNumberFormat="1" applyFont="1" applyFill="1" applyBorder="1" applyAlignment="1" applyProtection="1">
      <alignment vertical="center"/>
      <protection locked="0"/>
    </xf>
    <xf numFmtId="0" fontId="3" fillId="38" borderId="10" xfId="125" applyFont="1" applyFill="1" applyBorder="1" applyAlignment="1" applyProtection="1">
      <alignment horizontal="left" vertical="center"/>
      <protection locked="0"/>
    </xf>
    <xf numFmtId="3" fontId="3" fillId="38" borderId="12" xfId="125" applyNumberFormat="1" applyFont="1" applyFill="1" applyBorder="1" applyAlignment="1" applyProtection="1">
      <alignment vertical="center"/>
      <protection locked="0"/>
    </xf>
    <xf numFmtId="37" fontId="7" fillId="36" borderId="10" xfId="125" applyNumberFormat="1" applyFont="1" applyFill="1" applyBorder="1" applyAlignment="1" applyProtection="1">
      <alignment horizontal="center" vertical="center"/>
      <protection/>
    </xf>
    <xf numFmtId="37" fontId="7" fillId="36" borderId="17" xfId="125" applyNumberFormat="1" applyFont="1" applyFill="1" applyBorder="1" applyAlignment="1" applyProtection="1">
      <alignment horizontal="center" vertical="center"/>
      <protection/>
    </xf>
    <xf numFmtId="37" fontId="7" fillId="36" borderId="12" xfId="125" applyNumberFormat="1" applyFont="1" applyFill="1" applyBorder="1" applyAlignment="1" applyProtection="1">
      <alignment horizontal="center" vertical="center"/>
      <protection/>
    </xf>
    <xf numFmtId="37" fontId="4" fillId="33" borderId="10" xfId="125" applyNumberFormat="1" applyFont="1" applyFill="1" applyBorder="1" applyAlignment="1" applyProtection="1">
      <alignment horizontal="left" vertical="center"/>
      <protection/>
    </xf>
    <xf numFmtId="3" fontId="4" fillId="34" borderId="10" xfId="125" applyNumberFormat="1" applyFont="1" applyFill="1" applyBorder="1" applyAlignment="1" applyProtection="1">
      <alignment vertical="center"/>
      <protection/>
    </xf>
    <xf numFmtId="3" fontId="4" fillId="34" borderId="17" xfId="125" applyNumberFormat="1" applyFont="1" applyFill="1" applyBorder="1" applyAlignment="1" applyProtection="1">
      <alignment vertical="center"/>
      <protection/>
    </xf>
    <xf numFmtId="0" fontId="4" fillId="33" borderId="10" xfId="125" applyFont="1" applyFill="1" applyBorder="1" applyAlignment="1" applyProtection="1">
      <alignment horizontal="left" vertical="center"/>
      <protection/>
    </xf>
    <xf numFmtId="0" fontId="3" fillId="34" borderId="10" xfId="125" applyFont="1" applyFill="1" applyBorder="1" applyAlignment="1" applyProtection="1">
      <alignment horizontal="left" vertical="center"/>
      <protection/>
    </xf>
    <xf numFmtId="3" fontId="3" fillId="34" borderId="10" xfId="125" applyNumberFormat="1" applyFont="1" applyFill="1" applyBorder="1" applyAlignment="1" applyProtection="1">
      <alignment vertical="center"/>
      <protection/>
    </xf>
    <xf numFmtId="3" fontId="3" fillId="34" borderId="17" xfId="125" applyNumberFormat="1" applyFont="1" applyFill="1" applyBorder="1" applyAlignment="1" applyProtection="1">
      <alignment vertical="center"/>
      <protection/>
    </xf>
    <xf numFmtId="0" fontId="3" fillId="34" borderId="10" xfId="125" applyFont="1" applyFill="1" applyBorder="1" applyAlignment="1" applyProtection="1">
      <alignment vertical="center"/>
      <protection/>
    </xf>
    <xf numFmtId="3" fontId="3" fillId="36" borderId="10" xfId="125" applyNumberFormat="1" applyFont="1" applyFill="1" applyBorder="1" applyAlignment="1" applyProtection="1">
      <alignment vertical="center"/>
      <protection/>
    </xf>
    <xf numFmtId="3" fontId="3" fillId="36" borderId="17" xfId="125" applyNumberFormat="1" applyFont="1" applyFill="1" applyBorder="1" applyAlignment="1" applyProtection="1">
      <alignment vertical="center"/>
      <protection/>
    </xf>
    <xf numFmtId="37" fontId="3" fillId="0" borderId="0" xfId="125" applyNumberFormat="1" applyFont="1" applyFill="1" applyBorder="1" applyAlignment="1" applyProtection="1">
      <alignment vertical="center"/>
      <protection locked="0"/>
    </xf>
    <xf numFmtId="0" fontId="3" fillId="38" borderId="10" xfId="125" applyFont="1" applyFill="1" applyBorder="1" applyAlignment="1" applyProtection="1">
      <alignment vertical="center"/>
      <protection locked="0"/>
    </xf>
    <xf numFmtId="0" fontId="3" fillId="39" borderId="27" xfId="70" applyFont="1" applyFill="1" applyBorder="1" applyAlignment="1" applyProtection="1">
      <alignment vertical="center"/>
      <protection/>
    </xf>
    <xf numFmtId="0" fontId="3" fillId="39" borderId="0" xfId="70" applyFont="1" applyFill="1" applyBorder="1" applyAlignment="1" applyProtection="1">
      <alignment vertical="center"/>
      <protection/>
    </xf>
    <xf numFmtId="0" fontId="3" fillId="39" borderId="28" xfId="70" applyFont="1" applyFill="1" applyBorder="1" applyAlignment="1" applyProtection="1">
      <alignment vertical="center"/>
      <protection/>
    </xf>
    <xf numFmtId="0" fontId="15" fillId="39" borderId="27" xfId="70" applyFont="1" applyFill="1" applyBorder="1" applyAlignment="1" applyProtection="1">
      <alignment horizontal="left" vertical="center"/>
      <protection/>
    </xf>
    <xf numFmtId="0" fontId="15" fillId="39" borderId="0" xfId="70" applyFont="1" applyFill="1" applyBorder="1" applyAlignment="1" applyProtection="1">
      <alignment vertical="center"/>
      <protection/>
    </xf>
    <xf numFmtId="173" fontId="15" fillId="41" borderId="17" xfId="70" applyNumberFormat="1" applyFont="1" applyFill="1" applyBorder="1" applyAlignment="1" applyProtection="1">
      <alignment horizontal="center" vertical="center"/>
      <protection locked="0"/>
    </xf>
    <xf numFmtId="0" fontId="15" fillId="39" borderId="27" xfId="70" applyFont="1" applyFill="1" applyBorder="1" applyAlignment="1" applyProtection="1">
      <alignment vertical="center"/>
      <protection/>
    </xf>
    <xf numFmtId="0" fontId="3" fillId="39" borderId="0" xfId="70" applyFont="1" applyFill="1" applyBorder="1" applyAlignment="1" applyProtection="1">
      <alignment vertical="center"/>
      <protection locked="0"/>
    </xf>
    <xf numFmtId="0" fontId="15" fillId="39" borderId="0" xfId="70" applyFont="1" applyFill="1" applyBorder="1" applyAlignment="1" applyProtection="1">
      <alignment vertical="center"/>
      <protection locked="0"/>
    </xf>
    <xf numFmtId="166" fontId="15" fillId="39" borderId="12" xfId="70" applyNumberFormat="1" applyFont="1" applyFill="1" applyBorder="1" applyAlignment="1" applyProtection="1">
      <alignment horizontal="center" vertical="center"/>
      <protection locked="0"/>
    </xf>
    <xf numFmtId="0" fontId="16" fillId="42" borderId="27" xfId="70" applyFont="1" applyFill="1" applyBorder="1" applyAlignment="1" applyProtection="1">
      <alignment vertical="center"/>
      <protection locked="0"/>
    </xf>
    <xf numFmtId="0" fontId="3" fillId="42" borderId="0" xfId="70" applyFont="1" applyFill="1" applyBorder="1" applyAlignment="1" applyProtection="1">
      <alignment vertical="center"/>
      <protection locked="0"/>
    </xf>
    <xf numFmtId="0" fontId="15" fillId="42" borderId="0" xfId="70" applyFont="1" applyFill="1" applyBorder="1" applyAlignment="1" applyProtection="1">
      <alignment vertical="center"/>
      <protection locked="0"/>
    </xf>
    <xf numFmtId="173" fontId="16" fillId="42" borderId="12" xfId="70" applyNumberFormat="1" applyFont="1" applyFill="1" applyBorder="1" applyAlignment="1" applyProtection="1">
      <alignment horizontal="center" vertical="center"/>
      <protection locked="0"/>
    </xf>
    <xf numFmtId="37" fontId="15" fillId="33" borderId="18" xfId="125" applyNumberFormat="1" applyFont="1" applyFill="1" applyBorder="1" applyAlignment="1" applyProtection="1">
      <alignment horizontal="left" vertical="center"/>
      <protection/>
    </xf>
    <xf numFmtId="0" fontId="3" fillId="39" borderId="13" xfId="125" applyFont="1" applyFill="1" applyBorder="1" applyAlignment="1" applyProtection="1">
      <alignment vertical="center"/>
      <protection locked="0"/>
    </xf>
    <xf numFmtId="173" fontId="16" fillId="42" borderId="19" xfId="125" applyNumberFormat="1" applyFont="1" applyFill="1" applyBorder="1" applyAlignment="1" applyProtection="1">
      <alignment horizontal="center" vertical="center"/>
      <protection locked="0"/>
    </xf>
    <xf numFmtId="0" fontId="3" fillId="33" borderId="10" xfId="125" applyFont="1" applyFill="1" applyBorder="1" applyAlignment="1" applyProtection="1">
      <alignment vertical="center"/>
      <protection/>
    </xf>
    <xf numFmtId="3" fontId="7" fillId="36" borderId="12" xfId="125" applyNumberFormat="1" applyFont="1" applyFill="1" applyBorder="1" applyAlignment="1" applyProtection="1">
      <alignment horizontal="center" vertical="center"/>
      <protection/>
    </xf>
    <xf numFmtId="173" fontId="15" fillId="39" borderId="27" xfId="70" applyNumberFormat="1" applyFont="1" applyFill="1" applyBorder="1" applyAlignment="1" applyProtection="1">
      <alignment horizontal="center" vertical="center"/>
      <protection/>
    </xf>
    <xf numFmtId="0" fontId="15" fillId="39" borderId="0" xfId="70" applyFont="1" applyFill="1" applyBorder="1" applyAlignment="1" applyProtection="1">
      <alignment horizontal="left" vertical="center"/>
      <protection/>
    </xf>
    <xf numFmtId="0" fontId="15" fillId="39" borderId="28" xfId="70" applyFont="1" applyFill="1" applyBorder="1" applyAlignment="1" applyProtection="1">
      <alignment vertical="center"/>
      <protection/>
    </xf>
    <xf numFmtId="3" fontId="3" fillId="33" borderId="17" xfId="125" applyNumberFormat="1" applyFont="1" applyFill="1" applyBorder="1" applyAlignment="1" applyProtection="1">
      <alignment horizontal="fill" vertical="center"/>
      <protection/>
    </xf>
    <xf numFmtId="173" fontId="15" fillId="39" borderId="18" xfId="70" applyNumberFormat="1" applyFont="1" applyFill="1" applyBorder="1" applyAlignment="1" applyProtection="1">
      <alignment horizontal="center" vertical="center"/>
      <protection/>
    </xf>
    <xf numFmtId="0" fontId="63" fillId="0" borderId="0" xfId="125" applyFont="1" applyProtection="1">
      <alignment/>
      <protection locked="0"/>
    </xf>
    <xf numFmtId="3" fontId="3" fillId="33" borderId="0" xfId="125" applyNumberFormat="1" applyFont="1" applyFill="1" applyAlignment="1" applyProtection="1">
      <alignment horizontal="center" vertical="center"/>
      <protection/>
    </xf>
    <xf numFmtId="0" fontId="7" fillId="0" borderId="0" xfId="125" applyFont="1" applyAlignment="1" applyProtection="1">
      <alignment vertical="center"/>
      <protection/>
    </xf>
    <xf numFmtId="0" fontId="17" fillId="0" borderId="0" xfId="125" applyFont="1" applyAlignment="1" applyProtection="1">
      <alignment vertical="center"/>
      <protection/>
    </xf>
    <xf numFmtId="173" fontId="15" fillId="39" borderId="27" xfId="70" applyNumberFormat="1" applyFont="1" applyFill="1" applyBorder="1" applyAlignment="1" applyProtection="1">
      <alignment vertical="center"/>
      <protection/>
    </xf>
    <xf numFmtId="0" fontId="64" fillId="33" borderId="0" xfId="125" applyFont="1" applyFill="1" applyAlignment="1" applyProtection="1">
      <alignment horizontal="center" vertical="center"/>
      <protection/>
    </xf>
    <xf numFmtId="0" fontId="18" fillId="33" borderId="0" xfId="125" applyFont="1" applyFill="1" applyAlignment="1" applyProtection="1">
      <alignment horizontal="center" vertical="center"/>
      <protection/>
    </xf>
    <xf numFmtId="173" fontId="16" fillId="42" borderId="18" xfId="70" applyNumberFormat="1" applyFont="1" applyFill="1" applyBorder="1" applyAlignment="1" applyProtection="1">
      <alignment horizontal="center" vertical="center"/>
      <protection/>
    </xf>
    <xf numFmtId="0" fontId="16" fillId="42" borderId="13" xfId="70" applyFont="1" applyFill="1" applyBorder="1" applyAlignment="1" applyProtection="1">
      <alignment vertical="center"/>
      <protection/>
    </xf>
    <xf numFmtId="0" fontId="15" fillId="42" borderId="19" xfId="70" applyFont="1" applyFill="1" applyBorder="1" applyAlignment="1" applyProtection="1">
      <alignment vertical="center"/>
      <protection/>
    </xf>
    <xf numFmtId="0" fontId="3" fillId="42" borderId="19" xfId="70" applyFont="1" applyFill="1" applyBorder="1" applyAlignment="1" applyProtection="1">
      <alignment vertical="center"/>
      <protection/>
    </xf>
    <xf numFmtId="0" fontId="3" fillId="33" borderId="0" xfId="74" applyFont="1" applyFill="1" applyAlignment="1" applyProtection="1">
      <alignment horizontal="right" vertical="center"/>
      <protection/>
    </xf>
    <xf numFmtId="174" fontId="3" fillId="33" borderId="0" xfId="125" applyNumberFormat="1" applyFont="1" applyFill="1" applyAlignment="1" applyProtection="1">
      <alignment horizontal="center" vertical="center"/>
      <protection/>
    </xf>
    <xf numFmtId="3" fontId="3" fillId="43" borderId="26" xfId="125" applyNumberFormat="1" applyFont="1" applyFill="1" applyBorder="1" applyAlignment="1" applyProtection="1">
      <alignment vertical="center"/>
      <protection/>
    </xf>
    <xf numFmtId="166" fontId="3" fillId="39" borderId="0" xfId="125" applyNumberFormat="1" applyFont="1" applyFill="1" applyBorder="1" applyAlignment="1" applyProtection="1">
      <alignment horizontal="right" vertical="center"/>
      <protection locked="0"/>
    </xf>
    <xf numFmtId="166" fontId="15" fillId="39" borderId="27" xfId="125" applyNumberFormat="1" applyFont="1" applyFill="1" applyBorder="1" applyAlignment="1" applyProtection="1">
      <alignment horizontal="center" vertical="center"/>
      <protection/>
    </xf>
    <xf numFmtId="0" fontId="15" fillId="39" borderId="0" xfId="125" applyFont="1" applyFill="1" applyBorder="1" applyAlignment="1" applyProtection="1">
      <alignment horizontal="left" vertical="center"/>
      <protection/>
    </xf>
    <xf numFmtId="0" fontId="14" fillId="39" borderId="0" xfId="125" applyFont="1" applyFill="1" applyBorder="1" applyAlignment="1" applyProtection="1">
      <alignment horizontal="center" vertical="center"/>
      <protection/>
    </xf>
    <xf numFmtId="0" fontId="2" fillId="39" borderId="28" xfId="125" applyFill="1" applyBorder="1" applyAlignment="1" applyProtection="1">
      <alignment vertical="center"/>
      <protection/>
    </xf>
    <xf numFmtId="166" fontId="15" fillId="42" borderId="18" xfId="125" applyNumberFormat="1" applyFont="1" applyFill="1" applyBorder="1" applyAlignment="1" applyProtection="1">
      <alignment horizontal="center" vertical="center"/>
      <protection/>
    </xf>
    <xf numFmtId="166" fontId="15" fillId="39" borderId="10" xfId="125" applyNumberFormat="1" applyFont="1" applyFill="1" applyBorder="1" applyAlignment="1" applyProtection="1">
      <alignment horizontal="center" vertical="center"/>
      <protection/>
    </xf>
    <xf numFmtId="166" fontId="15" fillId="42" borderId="10" xfId="125" applyNumberFormat="1" applyFont="1" applyFill="1" applyBorder="1" applyAlignment="1" applyProtection="1">
      <alignment horizontal="center" vertical="center"/>
      <protection/>
    </xf>
    <xf numFmtId="0" fontId="15" fillId="39" borderId="13" xfId="125" applyFont="1" applyFill="1" applyBorder="1" applyAlignment="1" applyProtection="1">
      <alignment horizontal="left" vertical="center"/>
      <protection/>
    </xf>
    <xf numFmtId="0" fontId="14" fillId="39" borderId="13" xfId="125" applyFont="1" applyFill="1" applyBorder="1" applyAlignment="1" applyProtection="1">
      <alignment horizontal="center" vertical="center"/>
      <protection/>
    </xf>
    <xf numFmtId="0" fontId="2" fillId="39" borderId="19" xfId="125" applyFill="1" applyBorder="1" applyAlignment="1" applyProtection="1">
      <alignment vertical="center"/>
      <protection/>
    </xf>
    <xf numFmtId="0" fontId="3" fillId="0" borderId="0" xfId="125" applyFont="1" applyFill="1" applyAlignment="1" applyProtection="1">
      <alignment vertical="center"/>
      <protection locked="0"/>
    </xf>
    <xf numFmtId="37" fontId="3" fillId="33" borderId="0" xfId="125" applyNumberFormat="1" applyFont="1" applyFill="1" applyAlignment="1" applyProtection="1">
      <alignment horizontal="fill" vertical="center"/>
      <protection/>
    </xf>
    <xf numFmtId="37" fontId="3" fillId="33" borderId="0" xfId="125" applyNumberFormat="1" applyFont="1" applyFill="1" applyAlignment="1" applyProtection="1" quotePrefix="1">
      <alignment horizontal="right" vertical="center"/>
      <protection/>
    </xf>
    <xf numFmtId="37" fontId="4" fillId="33" borderId="13" xfId="125" applyNumberFormat="1" applyFont="1" applyFill="1" applyBorder="1" applyAlignment="1" applyProtection="1">
      <alignment vertical="center"/>
      <protection/>
    </xf>
    <xf numFmtId="3" fontId="3" fillId="38" borderId="10" xfId="125" applyNumberFormat="1" applyFont="1" applyFill="1" applyBorder="1" applyAlignment="1" applyProtection="1">
      <alignment vertical="center"/>
      <protection locked="0"/>
    </xf>
    <xf numFmtId="3" fontId="3" fillId="38" borderId="10" xfId="125" applyNumberFormat="1" applyFont="1" applyFill="1" applyBorder="1" applyAlignment="1" applyProtection="1">
      <alignment horizontal="right" vertical="center"/>
      <protection locked="0"/>
    </xf>
    <xf numFmtId="37" fontId="3" fillId="38" borderId="10" xfId="125" applyNumberFormat="1" applyFont="1" applyFill="1" applyBorder="1" applyAlignment="1" applyProtection="1">
      <alignment horizontal="left" vertical="center"/>
      <protection locked="0"/>
    </xf>
    <xf numFmtId="3" fontId="7" fillId="36" borderId="10" xfId="125" applyNumberFormat="1" applyFont="1" applyFill="1" applyBorder="1" applyAlignment="1" applyProtection="1">
      <alignment horizontal="center" vertical="center"/>
      <protection/>
    </xf>
    <xf numFmtId="3" fontId="7" fillId="36" borderId="17" xfId="125" applyNumberFormat="1" applyFont="1" applyFill="1" applyBorder="1" applyAlignment="1" applyProtection="1">
      <alignment horizontal="center" vertical="center"/>
      <protection/>
    </xf>
    <xf numFmtId="3" fontId="4" fillId="33" borderId="10" xfId="125" applyNumberFormat="1" applyFont="1" applyFill="1" applyBorder="1" applyAlignment="1" applyProtection="1">
      <alignment vertical="center"/>
      <protection/>
    </xf>
    <xf numFmtId="3" fontId="4" fillId="33" borderId="17" xfId="125" applyNumberFormat="1" applyFont="1" applyFill="1" applyBorder="1" applyAlignment="1" applyProtection="1">
      <alignment vertical="center"/>
      <protection/>
    </xf>
    <xf numFmtId="37" fontId="3" fillId="38" borderId="10" xfId="125" applyNumberFormat="1" applyFont="1" applyFill="1" applyBorder="1" applyAlignment="1" applyProtection="1">
      <alignment horizontal="right" vertical="center"/>
      <protection locked="0"/>
    </xf>
    <xf numFmtId="0" fontId="15" fillId="39" borderId="27" xfId="125" applyFont="1" applyFill="1" applyBorder="1" applyAlignment="1" applyProtection="1">
      <alignment vertical="center"/>
      <protection/>
    </xf>
    <xf numFmtId="0" fontId="15" fillId="39" borderId="0" xfId="125" applyFont="1" applyFill="1" applyBorder="1" applyAlignment="1" applyProtection="1">
      <alignment vertical="center"/>
      <protection/>
    </xf>
    <xf numFmtId="173" fontId="15" fillId="39" borderId="28" xfId="125" applyNumberFormat="1" applyFont="1" applyFill="1" applyBorder="1" applyAlignment="1" applyProtection="1">
      <alignment horizontal="center" vertical="center"/>
      <protection/>
    </xf>
    <xf numFmtId="0" fontId="15" fillId="39" borderId="27" xfId="125" applyFont="1" applyFill="1" applyBorder="1" applyAlignment="1" applyProtection="1">
      <alignment horizontal="left" vertical="center"/>
      <protection/>
    </xf>
    <xf numFmtId="173" fontId="15" fillId="41" borderId="17" xfId="125" applyNumberFormat="1" applyFont="1" applyFill="1" applyBorder="1" applyAlignment="1" applyProtection="1">
      <alignment horizontal="center" vertical="center"/>
      <protection locked="0"/>
    </xf>
    <xf numFmtId="166" fontId="16" fillId="39" borderId="12" xfId="62" applyNumberFormat="1" applyFont="1" applyFill="1" applyBorder="1" applyAlignment="1" applyProtection="1">
      <alignment horizontal="center" vertical="center"/>
      <protection/>
    </xf>
    <xf numFmtId="0" fontId="16" fillId="42" borderId="27" xfId="125" applyFont="1" applyFill="1" applyBorder="1" applyAlignment="1" applyProtection="1">
      <alignment vertical="center"/>
      <protection/>
    </xf>
    <xf numFmtId="0" fontId="3" fillId="42" borderId="0" xfId="125" applyFont="1" applyFill="1" applyBorder="1" applyAlignment="1" applyProtection="1">
      <alignment vertical="center"/>
      <protection/>
    </xf>
    <xf numFmtId="0" fontId="15" fillId="42" borderId="0" xfId="125" applyFont="1" applyFill="1" applyBorder="1" applyAlignment="1" applyProtection="1">
      <alignment vertical="center"/>
      <protection/>
    </xf>
    <xf numFmtId="173" fontId="16" fillId="42" borderId="12" xfId="125" applyNumberFormat="1" applyFont="1" applyFill="1" applyBorder="1" applyAlignment="1" applyProtection="1">
      <alignment horizontal="center" vertical="center"/>
      <protection/>
    </xf>
    <xf numFmtId="0" fontId="20" fillId="39" borderId="13" xfId="125" applyFont="1" applyFill="1" applyBorder="1" applyAlignment="1">
      <alignment horizontal="left" vertical="center"/>
      <protection/>
    </xf>
    <xf numFmtId="0" fontId="3" fillId="33" borderId="10" xfId="125" applyFont="1" applyFill="1" applyBorder="1" applyAlignment="1" applyProtection="1">
      <alignment vertical="center"/>
      <protection locked="0"/>
    </xf>
    <xf numFmtId="3" fontId="7" fillId="43" borderId="10" xfId="125" applyNumberFormat="1" applyFont="1" applyFill="1" applyBorder="1" applyAlignment="1" applyProtection="1">
      <alignment horizontal="center" vertical="center"/>
      <protection/>
    </xf>
    <xf numFmtId="3" fontId="7" fillId="43" borderId="17" xfId="125" applyNumberFormat="1" applyFont="1" applyFill="1" applyBorder="1" applyAlignment="1" applyProtection="1">
      <alignment horizontal="center" vertical="center"/>
      <protection/>
    </xf>
    <xf numFmtId="3" fontId="7" fillId="43" borderId="12" xfId="125" applyNumberFormat="1" applyFont="1" applyFill="1" applyBorder="1" applyAlignment="1" applyProtection="1">
      <alignment horizontal="center" vertical="center"/>
      <protection/>
    </xf>
    <xf numFmtId="0" fontId="3" fillId="33" borderId="28" xfId="57" applyNumberFormat="1" applyFont="1" applyFill="1" applyBorder="1" applyAlignment="1" applyProtection="1">
      <alignment horizontal="right" vertical="center"/>
      <protection/>
    </xf>
    <xf numFmtId="173" fontId="22" fillId="39" borderId="27" xfId="70" applyNumberFormat="1" applyFont="1" applyFill="1" applyBorder="1" applyAlignment="1" applyProtection="1">
      <alignment horizontal="center" vertical="center"/>
      <protection/>
    </xf>
    <xf numFmtId="0" fontId="22" fillId="39" borderId="0" xfId="70" applyFont="1" applyFill="1" applyBorder="1" applyAlignment="1" applyProtection="1">
      <alignment horizontal="left" vertical="center"/>
      <protection/>
    </xf>
    <xf numFmtId="0" fontId="22" fillId="39" borderId="0" xfId="70" applyFont="1" applyFill="1" applyBorder="1" applyAlignment="1" applyProtection="1">
      <alignment vertical="center"/>
      <protection/>
    </xf>
    <xf numFmtId="173" fontId="22" fillId="39" borderId="18" xfId="70" applyNumberFormat="1" applyFont="1" applyFill="1" applyBorder="1" applyAlignment="1" applyProtection="1">
      <alignment horizontal="center" vertical="center"/>
      <protection/>
    </xf>
    <xf numFmtId="0" fontId="63" fillId="0" borderId="0" xfId="125" applyFont="1" applyAlignment="1" applyProtection="1">
      <alignment vertical="center"/>
      <protection locked="0"/>
    </xf>
    <xf numFmtId="173" fontId="22" fillId="39" borderId="27" xfId="70" applyNumberFormat="1" applyFont="1" applyFill="1" applyBorder="1" applyAlignment="1" applyProtection="1">
      <alignment vertical="center"/>
      <protection/>
    </xf>
    <xf numFmtId="173" fontId="22" fillId="42" borderId="18" xfId="70" applyNumberFormat="1" applyFont="1" applyFill="1" applyBorder="1" applyAlignment="1" applyProtection="1">
      <alignment horizontal="center" vertical="center"/>
      <protection/>
    </xf>
    <xf numFmtId="0" fontId="22" fillId="42" borderId="13" xfId="70" applyFont="1" applyFill="1" applyBorder="1" applyAlignment="1" applyProtection="1">
      <alignment vertical="center"/>
      <protection/>
    </xf>
    <xf numFmtId="0" fontId="3" fillId="42" borderId="19" xfId="125" applyFont="1" applyFill="1" applyBorder="1" applyAlignment="1" applyProtection="1">
      <alignment vertical="center"/>
      <protection locked="0"/>
    </xf>
    <xf numFmtId="3" fontId="3" fillId="36" borderId="26" xfId="125" applyNumberFormat="1" applyFont="1" applyFill="1" applyBorder="1" applyAlignment="1" applyProtection="1">
      <alignment vertical="center"/>
      <protection/>
    </xf>
    <xf numFmtId="0" fontId="3" fillId="33" borderId="0" xfId="57" applyNumberFormat="1" applyFont="1" applyFill="1" applyBorder="1" applyAlignment="1" applyProtection="1">
      <alignment horizontal="right" vertical="center"/>
      <protection/>
    </xf>
    <xf numFmtId="0" fontId="15" fillId="39" borderId="27" xfId="62" applyFont="1" applyFill="1" applyBorder="1" applyAlignment="1" applyProtection="1">
      <alignment vertical="center"/>
      <protection/>
    </xf>
    <xf numFmtId="0" fontId="3" fillId="39" borderId="0" xfId="62" applyFont="1" applyFill="1" applyBorder="1" applyAlignment="1" applyProtection="1">
      <alignment vertical="center"/>
      <protection/>
    </xf>
    <xf numFmtId="0" fontId="15" fillId="39" borderId="0" xfId="62" applyFont="1" applyFill="1" applyBorder="1" applyAlignment="1" applyProtection="1">
      <alignment vertical="center"/>
      <protection/>
    </xf>
    <xf numFmtId="173" fontId="15" fillId="39" borderId="28" xfId="62" applyNumberFormat="1" applyFont="1" applyFill="1" applyBorder="1" applyAlignment="1" applyProtection="1">
      <alignment horizontal="center" vertical="center"/>
      <protection/>
    </xf>
    <xf numFmtId="0" fontId="15" fillId="39" borderId="27" xfId="62" applyFont="1" applyFill="1" applyBorder="1" applyAlignment="1" applyProtection="1">
      <alignment horizontal="left" vertical="center"/>
      <protection/>
    </xf>
    <xf numFmtId="173" fontId="15" fillId="41" borderId="17" xfId="62" applyNumberFormat="1" applyFont="1" applyFill="1" applyBorder="1" applyAlignment="1" applyProtection="1">
      <alignment horizontal="center" vertical="center"/>
      <protection locked="0"/>
    </xf>
    <xf numFmtId="0" fontId="16" fillId="42" borderId="27" xfId="62" applyFont="1" applyFill="1" applyBorder="1" applyAlignment="1" applyProtection="1">
      <alignment vertical="center"/>
      <protection/>
    </xf>
    <xf numFmtId="0" fontId="3" fillId="42" borderId="0" xfId="62" applyFont="1" applyFill="1" applyBorder="1" applyAlignment="1" applyProtection="1">
      <alignment vertical="center"/>
      <protection/>
    </xf>
    <xf numFmtId="0" fontId="15" fillId="42" borderId="0" xfId="62" applyFont="1" applyFill="1" applyBorder="1" applyAlignment="1" applyProtection="1">
      <alignment vertical="center"/>
      <protection/>
    </xf>
    <xf numFmtId="173" fontId="16" fillId="42" borderId="12" xfId="62" applyNumberFormat="1" applyFont="1" applyFill="1" applyBorder="1" applyAlignment="1" applyProtection="1">
      <alignment horizontal="center" vertical="center"/>
      <protection/>
    </xf>
    <xf numFmtId="37" fontId="15" fillId="33" borderId="18" xfId="62" applyNumberFormat="1" applyFont="1" applyFill="1" applyBorder="1" applyAlignment="1" applyProtection="1">
      <alignment horizontal="left" vertical="center"/>
      <protection/>
    </xf>
    <xf numFmtId="0" fontId="20" fillId="39" borderId="13" xfId="62" applyFont="1" applyFill="1" applyBorder="1" applyAlignment="1">
      <alignment horizontal="left" vertical="center"/>
      <protection/>
    </xf>
    <xf numFmtId="173" fontId="16" fillId="42" borderId="19" xfId="62" applyNumberFormat="1" applyFont="1" applyFill="1" applyBorder="1" applyAlignment="1" applyProtection="1">
      <alignment horizontal="center" vertical="center"/>
      <protection locked="0"/>
    </xf>
    <xf numFmtId="0" fontId="3" fillId="39" borderId="27" xfId="62" applyFont="1" applyFill="1" applyBorder="1" applyAlignment="1" applyProtection="1">
      <alignment vertical="center"/>
      <protection/>
    </xf>
    <xf numFmtId="37" fontId="3" fillId="33" borderId="28" xfId="125" applyNumberFormat="1" applyFont="1" applyFill="1" applyBorder="1" applyAlignment="1" applyProtection="1">
      <alignment horizontal="right" vertical="center"/>
      <protection/>
    </xf>
    <xf numFmtId="173" fontId="15" fillId="39" borderId="27" xfId="62" applyNumberFormat="1" applyFont="1" applyFill="1" applyBorder="1" applyAlignment="1" applyProtection="1">
      <alignment horizontal="center" vertical="center"/>
      <protection/>
    </xf>
    <xf numFmtId="0" fontId="15" fillId="39" borderId="0" xfId="62" applyFont="1" applyFill="1" applyBorder="1" applyAlignment="1" applyProtection="1">
      <alignment horizontal="left" vertical="center"/>
      <protection/>
    </xf>
    <xf numFmtId="0" fontId="15" fillId="39" borderId="28" xfId="62" applyFont="1" applyFill="1" applyBorder="1" applyAlignment="1" applyProtection="1">
      <alignment vertical="center"/>
      <protection/>
    </xf>
    <xf numFmtId="173" fontId="15" fillId="39" borderId="18" xfId="62" applyNumberFormat="1" applyFont="1" applyFill="1" applyBorder="1" applyAlignment="1" applyProtection="1">
      <alignment horizontal="center" vertical="center"/>
      <protection/>
    </xf>
    <xf numFmtId="0" fontId="23" fillId="0" borderId="0" xfId="125" applyFont="1" applyAlignment="1" applyProtection="1">
      <alignment vertical="center"/>
      <protection/>
    </xf>
    <xf numFmtId="173" fontId="22" fillId="39" borderId="27" xfId="62" applyNumberFormat="1" applyFont="1" applyFill="1" applyBorder="1" applyAlignment="1" applyProtection="1">
      <alignment horizontal="center" vertical="center"/>
      <protection/>
    </xf>
    <xf numFmtId="0" fontId="3" fillId="39" borderId="28" xfId="62" applyFont="1" applyFill="1" applyBorder="1" applyAlignment="1" applyProtection="1">
      <alignment vertical="center"/>
      <protection/>
    </xf>
    <xf numFmtId="173" fontId="22" fillId="39" borderId="27" xfId="62" applyNumberFormat="1" applyFont="1" applyFill="1" applyBorder="1" applyAlignment="1" applyProtection="1">
      <alignment vertical="center"/>
      <protection/>
    </xf>
    <xf numFmtId="0" fontId="22" fillId="39" borderId="0" xfId="62" applyFont="1" applyFill="1" applyBorder="1" applyAlignment="1" applyProtection="1">
      <alignment vertical="center"/>
      <protection/>
    </xf>
    <xf numFmtId="173" fontId="22" fillId="39" borderId="18" xfId="62" applyNumberFormat="1" applyFont="1" applyFill="1" applyBorder="1" applyAlignment="1" applyProtection="1">
      <alignment horizontal="center" vertical="center"/>
      <protection/>
    </xf>
    <xf numFmtId="173" fontId="22" fillId="42" borderId="18" xfId="62" applyNumberFormat="1" applyFont="1" applyFill="1" applyBorder="1" applyAlignment="1" applyProtection="1">
      <alignment horizontal="center" vertical="center"/>
      <protection/>
    </xf>
    <xf numFmtId="0" fontId="22" fillId="42" borderId="13" xfId="62" applyFont="1" applyFill="1" applyBorder="1" applyAlignment="1" applyProtection="1">
      <alignment vertical="center"/>
      <protection/>
    </xf>
    <xf numFmtId="0" fontId="3" fillId="42" borderId="19" xfId="62" applyFont="1" applyFill="1" applyBorder="1" applyAlignment="1" applyProtection="1">
      <alignment vertical="center"/>
      <protection/>
    </xf>
    <xf numFmtId="0" fontId="65" fillId="0" borderId="0" xfId="125" applyFont="1" applyAlignment="1" applyProtection="1">
      <alignment vertical="center"/>
      <protection locked="0"/>
    </xf>
    <xf numFmtId="37" fontId="3" fillId="38" borderId="0" xfId="125" applyNumberFormat="1" applyFont="1" applyFill="1" applyAlignment="1" applyProtection="1">
      <alignment horizontal="left" vertical="center"/>
      <protection locked="0"/>
    </xf>
    <xf numFmtId="37" fontId="3" fillId="0" borderId="0" xfId="125" applyNumberFormat="1" applyFont="1" applyFill="1" applyAlignment="1" applyProtection="1">
      <alignment horizontal="right" vertical="center"/>
      <protection/>
    </xf>
    <xf numFmtId="1" fontId="3" fillId="33" borderId="0" xfId="125" applyNumberFormat="1" applyFont="1" applyFill="1" applyAlignment="1" applyProtection="1">
      <alignment horizontal="right" vertical="center"/>
      <protection/>
    </xf>
    <xf numFmtId="166" fontId="16" fillId="39" borderId="12" xfId="125" applyNumberFormat="1" applyFont="1" applyFill="1" applyBorder="1" applyAlignment="1" applyProtection="1">
      <alignment horizontal="center" vertical="center"/>
      <protection/>
    </xf>
    <xf numFmtId="0" fontId="3" fillId="0" borderId="0" xfId="125" applyFont="1" applyProtection="1">
      <alignment/>
      <protection locked="0"/>
    </xf>
    <xf numFmtId="0" fontId="3" fillId="39" borderId="28" xfId="125" applyFont="1" applyFill="1" applyBorder="1" applyProtection="1">
      <alignment/>
      <protection locked="0"/>
    </xf>
    <xf numFmtId="173" fontId="15" fillId="39" borderId="27" xfId="125" applyNumberFormat="1" applyFont="1" applyFill="1" applyBorder="1" applyAlignment="1" applyProtection="1">
      <alignment horizontal="center" vertical="center"/>
      <protection/>
    </xf>
    <xf numFmtId="0" fontId="15" fillId="39" borderId="28" xfId="125" applyFont="1" applyFill="1" applyBorder="1" applyAlignment="1" applyProtection="1">
      <alignment vertical="center"/>
      <protection/>
    </xf>
    <xf numFmtId="173" fontId="15" fillId="39" borderId="18" xfId="125" applyNumberFormat="1" applyFont="1" applyFill="1" applyBorder="1" applyAlignment="1" applyProtection="1">
      <alignment horizontal="center" vertical="center"/>
      <protection/>
    </xf>
    <xf numFmtId="0" fontId="3" fillId="39" borderId="28" xfId="125" applyFont="1" applyFill="1" applyBorder="1" applyAlignment="1" applyProtection="1">
      <alignment vertical="center"/>
      <protection locked="0"/>
    </xf>
    <xf numFmtId="173" fontId="15" fillId="39" borderId="27" xfId="125" applyNumberFormat="1" applyFont="1" applyFill="1" applyBorder="1" applyAlignment="1" applyProtection="1">
      <alignment vertical="center"/>
      <protection/>
    </xf>
    <xf numFmtId="173" fontId="15" fillId="42" borderId="18" xfId="125" applyNumberFormat="1" applyFont="1" applyFill="1" applyBorder="1" applyAlignment="1" applyProtection="1">
      <alignment horizontal="center" vertical="center"/>
      <protection/>
    </xf>
    <xf numFmtId="0" fontId="15" fillId="42" borderId="13" xfId="125" applyFont="1" applyFill="1" applyBorder="1" applyAlignment="1" applyProtection="1">
      <alignment vertical="center"/>
      <protection/>
    </xf>
    <xf numFmtId="0" fontId="15" fillId="42" borderId="19" xfId="125" applyFont="1" applyFill="1" applyBorder="1" applyAlignment="1" applyProtection="1">
      <alignment vertical="center"/>
      <protection/>
    </xf>
    <xf numFmtId="0" fontId="3" fillId="42" borderId="19" xfId="125" applyFont="1" applyFill="1" applyBorder="1" applyProtection="1">
      <alignment/>
      <protection locked="0"/>
    </xf>
    <xf numFmtId="0" fontId="3" fillId="39" borderId="27" xfId="125" applyFont="1" applyFill="1" applyBorder="1" applyAlignment="1" applyProtection="1">
      <alignment vertical="center"/>
      <protection/>
    </xf>
    <xf numFmtId="0" fontId="3" fillId="33" borderId="28" xfId="125" applyFont="1" applyFill="1" applyBorder="1" applyAlignment="1" applyProtection="1">
      <alignment vertical="center"/>
      <protection/>
    </xf>
    <xf numFmtId="173" fontId="22" fillId="39" borderId="27" xfId="125" applyNumberFormat="1" applyFont="1" applyFill="1" applyBorder="1" applyAlignment="1" applyProtection="1">
      <alignment horizontal="center" vertical="center"/>
      <protection/>
    </xf>
    <xf numFmtId="0" fontId="3" fillId="39" borderId="28" xfId="125" applyFont="1" applyFill="1" applyBorder="1" applyAlignment="1" applyProtection="1">
      <alignment vertical="center"/>
      <protection/>
    </xf>
    <xf numFmtId="173" fontId="22" fillId="39" borderId="27" xfId="125" applyNumberFormat="1" applyFont="1" applyFill="1" applyBorder="1" applyAlignment="1" applyProtection="1">
      <alignment vertical="center"/>
      <protection/>
    </xf>
    <xf numFmtId="0" fontId="22" fillId="39" borderId="0" xfId="125" applyFont="1" applyFill="1" applyBorder="1" applyAlignment="1" applyProtection="1">
      <alignment vertical="center"/>
      <protection/>
    </xf>
    <xf numFmtId="173" fontId="22" fillId="39" borderId="18" xfId="125" applyNumberFormat="1" applyFont="1" applyFill="1" applyBorder="1" applyAlignment="1" applyProtection="1">
      <alignment horizontal="center" vertical="center"/>
      <protection/>
    </xf>
    <xf numFmtId="173" fontId="22" fillId="42" borderId="18" xfId="125" applyNumberFormat="1" applyFont="1" applyFill="1" applyBorder="1" applyAlignment="1" applyProtection="1">
      <alignment horizontal="center" vertical="center"/>
      <protection/>
    </xf>
    <xf numFmtId="0" fontId="22" fillId="42" borderId="13" xfId="125" applyFont="1" applyFill="1" applyBorder="1" applyAlignment="1" applyProtection="1">
      <alignment vertical="center"/>
      <protection/>
    </xf>
    <xf numFmtId="0" fontId="3" fillId="42" borderId="19" xfId="125" applyFont="1" applyFill="1" applyBorder="1" applyAlignment="1" applyProtection="1">
      <alignment vertical="center"/>
      <protection/>
    </xf>
    <xf numFmtId="0" fontId="3" fillId="33" borderId="0" xfId="125" applyNumberFormat="1" applyFont="1" applyFill="1" applyBorder="1" applyAlignment="1" applyProtection="1">
      <alignment horizontal="right" vertical="center"/>
      <protection/>
    </xf>
    <xf numFmtId="0" fontId="3" fillId="38" borderId="0" xfId="125" applyFont="1" applyFill="1" applyAlignment="1" applyProtection="1">
      <alignment horizontal="left" vertical="center"/>
      <protection locked="0"/>
    </xf>
    <xf numFmtId="0" fontId="64" fillId="0" borderId="0" xfId="125" applyFont="1" applyAlignment="1" applyProtection="1">
      <alignment vertical="center"/>
      <protection locked="0"/>
    </xf>
    <xf numFmtId="37" fontId="18" fillId="33" borderId="17" xfId="125" applyNumberFormat="1" applyFont="1" applyFill="1" applyBorder="1" applyAlignment="1" applyProtection="1">
      <alignment horizontal="center" vertical="center"/>
      <protection/>
    </xf>
    <xf numFmtId="3" fontId="3" fillId="33" borderId="13" xfId="125" applyNumberFormat="1" applyFont="1" applyFill="1" applyBorder="1" applyAlignment="1" applyProtection="1">
      <alignment horizontal="fill" vertical="center"/>
      <protection/>
    </xf>
    <xf numFmtId="1" fontId="3" fillId="33" borderId="14" xfId="125" applyNumberFormat="1" applyFont="1" applyFill="1" applyBorder="1" applyAlignment="1" applyProtection="1">
      <alignment horizontal="center" vertical="center"/>
      <protection/>
    </xf>
    <xf numFmtId="0" fontId="3" fillId="33" borderId="0" xfId="125" applyFont="1" applyFill="1" applyAlignment="1">
      <alignment horizontal="center" vertical="center"/>
      <protection/>
    </xf>
    <xf numFmtId="0" fontId="4" fillId="33" borderId="0" xfId="125" applyFont="1" applyFill="1" applyAlignment="1">
      <alignment horizontal="center" vertical="center"/>
      <protection/>
    </xf>
    <xf numFmtId="0" fontId="24" fillId="33" borderId="0" xfId="125" applyFont="1" applyFill="1" applyAlignment="1">
      <alignment horizontal="center" vertical="center"/>
      <protection/>
    </xf>
    <xf numFmtId="0" fontId="3" fillId="33" borderId="13" xfId="125" applyFont="1" applyFill="1" applyBorder="1" applyAlignment="1">
      <alignment vertical="center"/>
      <protection/>
    </xf>
    <xf numFmtId="0" fontId="22" fillId="33" borderId="14" xfId="125" applyFont="1" applyFill="1" applyBorder="1" applyAlignment="1">
      <alignment vertical="center"/>
      <protection/>
    </xf>
    <xf numFmtId="0" fontId="22" fillId="33" borderId="12" xfId="125" applyFont="1" applyFill="1" applyBorder="1" applyAlignment="1">
      <alignment horizontal="center" vertical="center"/>
      <protection/>
    </xf>
    <xf numFmtId="0" fontId="22" fillId="33" borderId="24" xfId="125" applyFont="1" applyFill="1" applyBorder="1" applyAlignment="1">
      <alignment vertical="center"/>
      <protection/>
    </xf>
    <xf numFmtId="0" fontId="22" fillId="33" borderId="17" xfId="125" applyFont="1" applyFill="1" applyBorder="1" applyAlignment="1">
      <alignment horizontal="center" vertical="center"/>
      <protection/>
    </xf>
    <xf numFmtId="0" fontId="3" fillId="33" borderId="12" xfId="125" applyFont="1" applyFill="1" applyBorder="1" applyAlignment="1">
      <alignment horizontal="center" vertical="center"/>
      <protection/>
    </xf>
    <xf numFmtId="0" fontId="3" fillId="33" borderId="12" xfId="125" applyFont="1" applyFill="1" applyBorder="1" applyAlignment="1">
      <alignment vertical="center"/>
      <protection/>
    </xf>
    <xf numFmtId="0" fontId="3" fillId="33" borderId="17" xfId="125" applyFont="1" applyFill="1" applyBorder="1" applyAlignment="1">
      <alignment horizontal="center" vertical="center"/>
      <protection/>
    </xf>
    <xf numFmtId="0" fontId="22" fillId="33" borderId="18" xfId="125" applyFont="1" applyFill="1" applyBorder="1" applyAlignment="1">
      <alignment vertical="center"/>
      <protection/>
    </xf>
    <xf numFmtId="3" fontId="22" fillId="38" borderId="17" xfId="125" applyNumberFormat="1" applyFont="1" applyFill="1" applyBorder="1" applyAlignment="1" applyProtection="1">
      <alignment horizontal="center" vertical="center"/>
      <protection locked="0"/>
    </xf>
    <xf numFmtId="0" fontId="22" fillId="33" borderId="13" xfId="125" applyFont="1" applyFill="1" applyBorder="1" applyAlignment="1">
      <alignment vertical="center"/>
      <protection/>
    </xf>
    <xf numFmtId="3" fontId="22" fillId="34" borderId="17" xfId="125" applyNumberFormat="1" applyFont="1" applyFill="1" applyBorder="1" applyAlignment="1">
      <alignment horizontal="center" vertical="center"/>
      <protection/>
    </xf>
    <xf numFmtId="0" fontId="22" fillId="33" borderId="0" xfId="125" applyFont="1" applyFill="1" applyAlignment="1">
      <alignment vertical="center"/>
      <protection/>
    </xf>
    <xf numFmtId="3" fontId="22" fillId="33" borderId="0" xfId="125" applyNumberFormat="1" applyFont="1" applyFill="1" applyAlignment="1">
      <alignment horizontal="center" vertical="center"/>
      <protection/>
    </xf>
    <xf numFmtId="0" fontId="22" fillId="33" borderId="0" xfId="125" applyFont="1" applyFill="1" applyAlignment="1">
      <alignment horizontal="center" vertical="center"/>
      <protection/>
    </xf>
    <xf numFmtId="0" fontId="22" fillId="38" borderId="17" xfId="125" applyFont="1" applyFill="1" applyBorder="1" applyAlignment="1" applyProtection="1">
      <alignment vertical="center"/>
      <protection locked="0"/>
    </xf>
    <xf numFmtId="0" fontId="22" fillId="38" borderId="24" xfId="125" applyFont="1" applyFill="1" applyBorder="1" applyAlignment="1" applyProtection="1">
      <alignment vertical="center"/>
      <protection locked="0"/>
    </xf>
    <xf numFmtId="3" fontId="22" fillId="38" borderId="24" xfId="125" applyNumberFormat="1" applyFont="1" applyFill="1" applyBorder="1" applyAlignment="1" applyProtection="1">
      <alignment horizontal="center" vertical="center"/>
      <protection locked="0"/>
    </xf>
    <xf numFmtId="0" fontId="22" fillId="38" borderId="0" xfId="125" applyFont="1" applyFill="1" applyAlignment="1" applyProtection="1">
      <alignment vertical="center"/>
      <protection locked="0"/>
    </xf>
    <xf numFmtId="3" fontId="22" fillId="38" borderId="19" xfId="125" applyNumberFormat="1" applyFont="1" applyFill="1" applyBorder="1" applyAlignment="1" applyProtection="1">
      <alignment horizontal="center" vertical="center"/>
      <protection locked="0"/>
    </xf>
    <xf numFmtId="3" fontId="22" fillId="38" borderId="12" xfId="125" applyNumberFormat="1" applyFont="1" applyFill="1" applyBorder="1" applyAlignment="1" applyProtection="1">
      <alignment horizontal="center" vertical="center"/>
      <protection locked="0"/>
    </xf>
    <xf numFmtId="0" fontId="22" fillId="38" borderId="12" xfId="125" applyFont="1" applyFill="1" applyBorder="1" applyAlignment="1" applyProtection="1">
      <alignment vertical="center"/>
      <protection locked="0"/>
    </xf>
    <xf numFmtId="0" fontId="22" fillId="38" borderId="16" xfId="125" applyFont="1" applyFill="1" applyBorder="1" applyAlignment="1" applyProtection="1">
      <alignment vertical="center"/>
      <protection locked="0"/>
    </xf>
    <xf numFmtId="3" fontId="22" fillId="38" borderId="28" xfId="125" applyNumberFormat="1" applyFont="1" applyFill="1" applyBorder="1" applyAlignment="1" applyProtection="1">
      <alignment horizontal="center" vertical="center"/>
      <protection locked="0"/>
    </xf>
    <xf numFmtId="0" fontId="22" fillId="38" borderId="28" xfId="125" applyFont="1" applyFill="1" applyBorder="1" applyAlignment="1" applyProtection="1">
      <alignment vertical="center"/>
      <protection locked="0"/>
    </xf>
    <xf numFmtId="0" fontId="22" fillId="34" borderId="17" xfId="125" applyFont="1" applyFill="1" applyBorder="1" applyAlignment="1">
      <alignment horizontal="center" vertical="center"/>
      <protection/>
    </xf>
    <xf numFmtId="0" fontId="22" fillId="34" borderId="16" xfId="125" applyFont="1" applyFill="1" applyBorder="1" applyAlignment="1">
      <alignment horizontal="center" vertical="center"/>
      <protection/>
    </xf>
    <xf numFmtId="3" fontId="22" fillId="38" borderId="16" xfId="125" applyNumberFormat="1" applyFont="1" applyFill="1" applyBorder="1" applyAlignment="1" applyProtection="1">
      <alignment horizontal="center" vertical="center"/>
      <protection locked="0"/>
    </xf>
    <xf numFmtId="3" fontId="22" fillId="38" borderId="15" xfId="125" applyNumberFormat="1" applyFont="1" applyFill="1" applyBorder="1" applyAlignment="1" applyProtection="1">
      <alignment horizontal="center" vertical="center"/>
      <protection locked="0"/>
    </xf>
    <xf numFmtId="3" fontId="22" fillId="34" borderId="16" xfId="125" applyNumberFormat="1" applyFont="1" applyFill="1" applyBorder="1" applyAlignment="1">
      <alignment horizontal="center" vertical="center"/>
      <protection/>
    </xf>
    <xf numFmtId="3" fontId="25" fillId="36" borderId="17" xfId="125" applyNumberFormat="1" applyFont="1" applyFill="1" applyBorder="1" applyAlignment="1">
      <alignment horizontal="center" vertical="center"/>
      <protection/>
    </xf>
    <xf numFmtId="0" fontId="7" fillId="0" borderId="0" xfId="125" applyFont="1" applyAlignment="1">
      <alignment vertical="center"/>
      <protection/>
    </xf>
    <xf numFmtId="3" fontId="26" fillId="36" borderId="0" xfId="125" applyNumberFormat="1" applyFont="1" applyFill="1" applyAlignment="1">
      <alignment horizontal="center" vertical="center"/>
      <protection/>
    </xf>
    <xf numFmtId="3" fontId="3" fillId="33" borderId="0" xfId="125" applyNumberFormat="1" applyFont="1" applyFill="1" applyAlignment="1">
      <alignment vertical="center"/>
      <protection/>
    </xf>
    <xf numFmtId="0" fontId="3" fillId="40" borderId="0" xfId="125" applyFont="1" applyFill="1" applyAlignment="1">
      <alignment vertical="center"/>
      <protection/>
    </xf>
    <xf numFmtId="0" fontId="3" fillId="33" borderId="0" xfId="125" applyFont="1" applyFill="1" applyAlignment="1">
      <alignment horizontal="right" vertical="center"/>
      <protection/>
    </xf>
    <xf numFmtId="3" fontId="3" fillId="0" borderId="0" xfId="125" applyNumberFormat="1" applyFont="1" applyAlignment="1">
      <alignment vertical="center"/>
      <protection/>
    </xf>
    <xf numFmtId="0" fontId="3" fillId="0" borderId="0" xfId="125" applyFont="1" applyAlignment="1">
      <alignment horizontal="centerContinuous" vertical="center"/>
      <protection/>
    </xf>
    <xf numFmtId="37" fontId="4" fillId="33" borderId="0" xfId="125" applyNumberFormat="1" applyFont="1" applyFill="1" applyAlignment="1" applyProtection="1">
      <alignment horizontal="centerContinuous" vertical="center"/>
      <protection/>
    </xf>
    <xf numFmtId="1" fontId="3" fillId="33" borderId="10" xfId="125" applyNumberFormat="1" applyFont="1" applyFill="1" applyBorder="1" applyAlignment="1" applyProtection="1">
      <alignment horizontal="centerContinuous" vertical="center"/>
      <protection/>
    </xf>
    <xf numFmtId="37" fontId="3" fillId="33" borderId="14" xfId="70" applyNumberFormat="1" applyFont="1" applyFill="1" applyBorder="1" applyAlignment="1" applyProtection="1">
      <alignment horizontal="center"/>
      <protection/>
    </xf>
    <xf numFmtId="37" fontId="3" fillId="33" borderId="16" xfId="70" applyNumberFormat="1" applyFont="1" applyFill="1" applyBorder="1" applyAlignment="1" applyProtection="1">
      <alignment horizontal="center"/>
      <protection/>
    </xf>
    <xf numFmtId="175" fontId="3" fillId="33" borderId="17" xfId="125" applyNumberFormat="1" applyFont="1" applyFill="1" applyBorder="1" applyAlignment="1" applyProtection="1">
      <alignment vertical="center"/>
      <protection/>
    </xf>
    <xf numFmtId="0" fontId="15" fillId="39" borderId="27" xfId="71" applyFont="1" applyFill="1" applyBorder="1" applyProtection="1">
      <alignment/>
      <protection/>
    </xf>
    <xf numFmtId="0" fontId="3" fillId="39" borderId="0" xfId="71" applyFont="1" applyFill="1" applyBorder="1" applyProtection="1">
      <alignment/>
      <protection/>
    </xf>
    <xf numFmtId="173" fontId="3" fillId="39" borderId="28" xfId="71" applyNumberFormat="1" applyFont="1" applyFill="1" applyBorder="1" applyAlignment="1" applyProtection="1">
      <alignment horizontal="center"/>
      <protection/>
    </xf>
    <xf numFmtId="0" fontId="3" fillId="39" borderId="18" xfId="71" applyFont="1" applyFill="1" applyBorder="1" applyProtection="1">
      <alignment/>
      <protection/>
    </xf>
    <xf numFmtId="0" fontId="3" fillId="39" borderId="13" xfId="71" applyFont="1" applyFill="1" applyBorder="1" applyProtection="1">
      <alignment/>
      <protection/>
    </xf>
    <xf numFmtId="173" fontId="3" fillId="42" borderId="19" xfId="71" applyNumberFormat="1" applyFont="1" applyFill="1" applyBorder="1" applyAlignment="1" applyProtection="1">
      <alignment horizontal="center"/>
      <protection/>
    </xf>
    <xf numFmtId="0" fontId="3" fillId="39" borderId="27" xfId="71" applyFont="1" applyFill="1" applyBorder="1" applyProtection="1">
      <alignment/>
      <protection/>
    </xf>
    <xf numFmtId="0" fontId="3" fillId="39" borderId="28" xfId="71" applyFont="1" applyFill="1" applyBorder="1" applyProtection="1">
      <alignment/>
      <protection/>
    </xf>
    <xf numFmtId="165" fontId="3" fillId="39" borderId="28" xfId="71" applyNumberFormat="1" applyFont="1" applyFill="1" applyBorder="1" applyAlignment="1" applyProtection="1">
      <alignment horizontal="center"/>
      <protection/>
    </xf>
    <xf numFmtId="0" fontId="3" fillId="42" borderId="27" xfId="71" applyFont="1" applyFill="1" applyBorder="1" applyProtection="1">
      <alignment/>
      <protection/>
    </xf>
    <xf numFmtId="0" fontId="3" fillId="42" borderId="0" xfId="71" applyFont="1" applyFill="1" applyBorder="1" applyProtection="1">
      <alignment/>
      <protection/>
    </xf>
    <xf numFmtId="173" fontId="3" fillId="42" borderId="28" xfId="71" applyNumberFormat="1" applyFont="1" applyFill="1" applyBorder="1" applyAlignment="1" applyProtection="1">
      <alignment horizontal="center"/>
      <protection/>
    </xf>
    <xf numFmtId="0" fontId="3" fillId="42" borderId="18" xfId="125" applyFont="1" applyFill="1" applyBorder="1" applyAlignment="1">
      <alignment vertical="center"/>
      <protection/>
    </xf>
    <xf numFmtId="0" fontId="3" fillId="42" borderId="13" xfId="125" applyFont="1" applyFill="1" applyBorder="1" applyAlignment="1">
      <alignment vertical="center"/>
      <protection/>
    </xf>
    <xf numFmtId="173" fontId="3" fillId="42" borderId="19" xfId="125" applyNumberFormat="1" applyFont="1" applyFill="1" applyBorder="1" applyAlignment="1">
      <alignment horizontal="center" vertical="center"/>
      <protection/>
    </xf>
    <xf numFmtId="3" fontId="3" fillId="33" borderId="14" xfId="125" applyNumberFormat="1" applyFont="1" applyFill="1" applyBorder="1" applyAlignment="1" applyProtection="1">
      <alignment vertical="center"/>
      <protection/>
    </xf>
    <xf numFmtId="0" fontId="3" fillId="0" borderId="0" xfId="71" applyFont="1" applyProtection="1">
      <alignment/>
      <protection/>
    </xf>
    <xf numFmtId="3" fontId="3" fillId="35" borderId="17" xfId="125" applyNumberFormat="1" applyFont="1" applyFill="1" applyBorder="1" applyAlignment="1" applyProtection="1">
      <alignment vertical="center"/>
      <protection/>
    </xf>
    <xf numFmtId="175" fontId="3" fillId="35" borderId="17" xfId="125" applyNumberFormat="1" applyFont="1" applyFill="1" applyBorder="1" applyAlignment="1" applyProtection="1">
      <alignment vertical="center"/>
      <protection/>
    </xf>
    <xf numFmtId="165" fontId="3" fillId="35" borderId="17" xfId="125" applyNumberFormat="1" applyFont="1" applyFill="1" applyBorder="1" applyAlignment="1" applyProtection="1">
      <alignment vertical="center"/>
      <protection/>
    </xf>
    <xf numFmtId="3" fontId="3" fillId="33" borderId="16" xfId="125" applyNumberFormat="1" applyFont="1" applyFill="1" applyBorder="1" applyAlignment="1" applyProtection="1">
      <alignment vertical="center"/>
      <protection/>
    </xf>
    <xf numFmtId="175" fontId="3" fillId="33" borderId="0" xfId="125" applyNumberFormat="1" applyFont="1" applyFill="1" applyBorder="1" applyAlignment="1" applyProtection="1">
      <alignment vertical="center"/>
      <protection/>
    </xf>
    <xf numFmtId="165" fontId="3" fillId="33" borderId="0" xfId="125" applyNumberFormat="1" applyFont="1" applyFill="1" applyBorder="1" applyAlignment="1" applyProtection="1">
      <alignment vertical="center"/>
      <protection/>
    </xf>
    <xf numFmtId="0" fontId="66" fillId="0" borderId="0" xfId="125" applyFont="1" applyAlignment="1">
      <alignment vertical="center"/>
      <protection/>
    </xf>
    <xf numFmtId="3" fontId="3" fillId="35" borderId="26" xfId="125" applyNumberFormat="1" applyFont="1" applyFill="1" applyBorder="1" applyAlignment="1" applyProtection="1">
      <alignment vertical="center"/>
      <protection/>
    </xf>
    <xf numFmtId="37" fontId="3" fillId="33" borderId="16" xfId="125" applyNumberFormat="1" applyFont="1" applyFill="1" applyBorder="1" applyAlignment="1" applyProtection="1">
      <alignment horizontal="fill" vertical="center"/>
      <protection/>
    </xf>
    <xf numFmtId="173" fontId="3" fillId="39" borderId="19" xfId="71" applyNumberFormat="1" applyFont="1" applyFill="1" applyBorder="1" applyAlignment="1" applyProtection="1">
      <alignment horizontal="center"/>
      <protection/>
    </xf>
    <xf numFmtId="0" fontId="3" fillId="42" borderId="18" xfId="71" applyFont="1" applyFill="1" applyBorder="1" applyProtection="1">
      <alignment/>
      <protection/>
    </xf>
    <xf numFmtId="0" fontId="3" fillId="42" borderId="13" xfId="71" applyFont="1" applyFill="1" applyBorder="1" applyProtection="1">
      <alignment/>
      <protection/>
    </xf>
    <xf numFmtId="0" fontId="3" fillId="0" borderId="0" xfId="71" applyFont="1" applyFill="1" applyBorder="1" applyProtection="1">
      <alignment/>
      <protection/>
    </xf>
    <xf numFmtId="1" fontId="27" fillId="33" borderId="0" xfId="125" applyNumberFormat="1" applyFont="1" applyFill="1" applyAlignment="1" applyProtection="1">
      <alignment horizontal="center" vertical="center"/>
      <protection/>
    </xf>
    <xf numFmtId="166" fontId="3" fillId="41" borderId="28" xfId="71" applyNumberFormat="1" applyFont="1" applyFill="1" applyBorder="1" applyAlignment="1" applyProtection="1">
      <alignment horizontal="center"/>
      <protection locked="0"/>
    </xf>
    <xf numFmtId="3" fontId="3" fillId="35" borderId="26" xfId="125" applyNumberFormat="1" applyFont="1" applyFill="1" applyBorder="1" applyAlignment="1" applyProtection="1">
      <alignment horizontal="center" vertical="center"/>
      <protection/>
    </xf>
    <xf numFmtId="49" fontId="3" fillId="33" borderId="0" xfId="125" applyNumberFormat="1" applyFont="1" applyFill="1" applyAlignment="1" applyProtection="1">
      <alignment horizontal="center" vertical="center"/>
      <protection/>
    </xf>
    <xf numFmtId="0" fontId="2" fillId="39" borderId="0" xfId="125" applyFill="1" applyAlignment="1" applyProtection="1">
      <alignment vertical="center"/>
      <protection locked="0"/>
    </xf>
    <xf numFmtId="37" fontId="3" fillId="33" borderId="0" xfId="125" applyNumberFormat="1" applyFont="1" applyFill="1" applyAlignment="1" applyProtection="1">
      <alignment horizontal="center" vertical="center"/>
      <protection/>
    </xf>
    <xf numFmtId="0" fontId="2" fillId="0" borderId="0" xfId="125" applyAlignment="1" applyProtection="1">
      <alignment horizontal="center" vertical="center"/>
      <protection/>
    </xf>
    <xf numFmtId="37" fontId="5" fillId="33" borderId="0" xfId="125" applyNumberFormat="1" applyFont="1" applyFill="1" applyAlignment="1" applyProtection="1">
      <alignment horizontal="center" vertical="center"/>
      <protection/>
    </xf>
    <xf numFmtId="0" fontId="6" fillId="33" borderId="0" xfId="125" applyFont="1" applyFill="1" applyAlignment="1" applyProtection="1">
      <alignment horizontal="center" vertical="center"/>
      <protection/>
    </xf>
    <xf numFmtId="0" fontId="8" fillId="37" borderId="14" xfId="125" applyFont="1" applyFill="1" applyBorder="1" applyAlignment="1" applyProtection="1">
      <alignment horizontal="center" vertical="center" wrapText="1" shrinkToFit="1"/>
      <protection/>
    </xf>
    <xf numFmtId="0" fontId="2" fillId="0" borderId="16" xfId="125" applyBorder="1" applyAlignment="1">
      <alignment horizontal="center" vertical="center" wrapText="1"/>
      <protection/>
    </xf>
    <xf numFmtId="0" fontId="3" fillId="33" borderId="0" xfId="125" applyFont="1" applyFill="1" applyAlignment="1" applyProtection="1">
      <alignment horizontal="center" vertical="center"/>
      <protection/>
    </xf>
    <xf numFmtId="0" fontId="2" fillId="0" borderId="0" xfId="125" applyAlignment="1">
      <alignment vertical="center"/>
      <protection/>
    </xf>
    <xf numFmtId="37" fontId="4" fillId="33" borderId="0" xfId="125" applyNumberFormat="1" applyFont="1" applyFill="1" applyAlignment="1" applyProtection="1">
      <alignment horizontal="center" vertical="center"/>
      <protection/>
    </xf>
    <xf numFmtId="0" fontId="4" fillId="33" borderId="0" xfId="125" applyFont="1" applyFill="1" applyAlignment="1" applyProtection="1">
      <alignment horizontal="center" vertical="center"/>
      <protection/>
    </xf>
    <xf numFmtId="0" fontId="11" fillId="33" borderId="0" xfId="125" applyFont="1" applyFill="1" applyAlignment="1" applyProtection="1">
      <alignment horizontal="center" vertical="center"/>
      <protection/>
    </xf>
    <xf numFmtId="0" fontId="11" fillId="33" borderId="0" xfId="125" applyFont="1" applyFill="1" applyAlignment="1" applyProtection="1">
      <alignment horizontal="center" vertical="center" wrapText="1"/>
      <protection/>
    </xf>
    <xf numFmtId="0" fontId="3" fillId="0" borderId="0" xfId="125" applyFont="1" applyAlignment="1" applyProtection="1">
      <alignment horizontal="center" vertical="center"/>
      <protection/>
    </xf>
    <xf numFmtId="37" fontId="3" fillId="33" borderId="10" xfId="125" applyNumberFormat="1" applyFont="1" applyFill="1" applyBorder="1" applyAlignment="1" applyProtection="1">
      <alignment horizontal="center" vertical="center"/>
      <protection/>
    </xf>
    <xf numFmtId="0" fontId="2" fillId="0" borderId="11" xfId="125" applyBorder="1" applyAlignment="1">
      <alignment horizontal="center" vertical="center"/>
      <protection/>
    </xf>
    <xf numFmtId="0" fontId="2" fillId="0" borderId="12" xfId="125" applyBorder="1" applyAlignment="1">
      <alignment horizontal="center" vertical="center"/>
      <protection/>
    </xf>
    <xf numFmtId="0" fontId="3" fillId="33" borderId="18" xfId="125" applyFont="1" applyFill="1" applyBorder="1" applyAlignment="1" applyProtection="1">
      <alignment horizontal="center" vertical="center"/>
      <protection/>
    </xf>
    <xf numFmtId="0" fontId="2" fillId="0" borderId="19" xfId="125" applyBorder="1" applyAlignment="1" applyProtection="1">
      <alignment vertical="center"/>
      <protection/>
    </xf>
    <xf numFmtId="1" fontId="3" fillId="33" borderId="18" xfId="125" applyNumberFormat="1" applyFont="1" applyFill="1" applyBorder="1" applyAlignment="1" applyProtection="1">
      <alignment horizontal="center" vertical="center"/>
      <protection/>
    </xf>
    <xf numFmtId="0" fontId="2" fillId="0" borderId="19" xfId="125" applyBorder="1" applyAlignment="1" applyProtection="1">
      <alignment horizontal="center" vertical="center"/>
      <protection/>
    </xf>
    <xf numFmtId="0" fontId="3" fillId="33" borderId="0" xfId="125" applyNumberFormat="1" applyFont="1" applyFill="1" applyBorder="1" applyAlignment="1" applyProtection="1">
      <alignment horizontal="right" vertical="center"/>
      <protection/>
    </xf>
    <xf numFmtId="0" fontId="2" fillId="0" borderId="0" xfId="125" applyBorder="1" applyAlignment="1">
      <alignment horizontal="right" vertical="center"/>
      <protection/>
    </xf>
    <xf numFmtId="0" fontId="14" fillId="39" borderId="25" xfId="70" applyFont="1" applyFill="1" applyBorder="1" applyAlignment="1" applyProtection="1">
      <alignment horizontal="center" vertical="center"/>
      <protection/>
    </xf>
    <xf numFmtId="0" fontId="14" fillId="39" borderId="22" xfId="70" applyFont="1" applyFill="1" applyBorder="1" applyAlignment="1" applyProtection="1">
      <alignment horizontal="center" vertical="center"/>
      <protection/>
    </xf>
    <xf numFmtId="0" fontId="2" fillId="0" borderId="24" xfId="70" applyBorder="1" applyAlignment="1" applyProtection="1">
      <alignment vertical="center"/>
      <protection/>
    </xf>
    <xf numFmtId="0" fontId="2" fillId="0" borderId="22" xfId="125" applyBorder="1" applyAlignment="1">
      <alignment vertical="center"/>
      <protection/>
    </xf>
    <xf numFmtId="0" fontId="2" fillId="0" borderId="24" xfId="125" applyBorder="1" applyAlignment="1">
      <alignment vertical="center"/>
      <protection/>
    </xf>
    <xf numFmtId="3" fontId="3" fillId="33" borderId="22" xfId="74" applyNumberFormat="1" applyFont="1" applyFill="1" applyBorder="1" applyAlignment="1" applyProtection="1">
      <alignment horizontal="right" vertical="center"/>
      <protection/>
    </xf>
    <xf numFmtId="0" fontId="2" fillId="0" borderId="24" xfId="74" applyBorder="1" applyAlignment="1">
      <alignment horizontal="right" vertical="center"/>
      <protection/>
    </xf>
    <xf numFmtId="0" fontId="3" fillId="33" borderId="0" xfId="74" applyFont="1" applyFill="1" applyAlignment="1" applyProtection="1">
      <alignment horizontal="right" vertical="center"/>
      <protection/>
    </xf>
    <xf numFmtId="0" fontId="3" fillId="0" borderId="28" xfId="74" applyFont="1" applyBorder="1" applyAlignment="1">
      <alignment horizontal="right" vertical="center"/>
      <protection/>
    </xf>
    <xf numFmtId="0" fontId="2" fillId="0" borderId="0" xfId="125" applyAlignment="1">
      <alignment horizontal="right" vertical="center"/>
      <protection/>
    </xf>
    <xf numFmtId="166" fontId="14" fillId="39" borderId="25" xfId="125" applyNumberFormat="1" applyFont="1" applyFill="1" applyBorder="1" applyAlignment="1" applyProtection="1">
      <alignment horizontal="center"/>
      <protection/>
    </xf>
    <xf numFmtId="0" fontId="19" fillId="0" borderId="22" xfId="125" applyFont="1" applyBorder="1" applyAlignment="1">
      <alignment/>
      <protection/>
    </xf>
    <xf numFmtId="0" fontId="19" fillId="0" borderId="24" xfId="125" applyFont="1" applyBorder="1" applyAlignment="1">
      <alignment/>
      <protection/>
    </xf>
    <xf numFmtId="0" fontId="14" fillId="39" borderId="25" xfId="62" applyFont="1" applyFill="1" applyBorder="1" applyAlignment="1" applyProtection="1">
      <alignment horizontal="center" vertical="center"/>
      <protection/>
    </xf>
    <xf numFmtId="0" fontId="2" fillId="0" borderId="22" xfId="62" applyBorder="1" applyAlignment="1">
      <alignment vertical="center"/>
      <protection/>
    </xf>
    <xf numFmtId="0" fontId="2" fillId="0" borderId="24" xfId="62" applyBorder="1" applyAlignment="1">
      <alignment vertical="center"/>
      <protection/>
    </xf>
    <xf numFmtId="0" fontId="14" fillId="39" borderId="25" xfId="125" applyFont="1" applyFill="1" applyBorder="1" applyAlignment="1" applyProtection="1">
      <alignment horizontal="center" vertical="center"/>
      <protection/>
    </xf>
    <xf numFmtId="0" fontId="21" fillId="39" borderId="25" xfId="70" applyFont="1" applyFill="1" applyBorder="1" applyAlignment="1" applyProtection="1">
      <alignment horizontal="center" vertical="center"/>
      <protection/>
    </xf>
    <xf numFmtId="0" fontId="2" fillId="0" borderId="22" xfId="125" applyBorder="1" applyAlignment="1">
      <alignment horizontal="center" vertical="center"/>
      <protection/>
    </xf>
    <xf numFmtId="0" fontId="3" fillId="33" borderId="0" xfId="57" applyNumberFormat="1" applyFont="1" applyFill="1" applyBorder="1" applyAlignment="1" applyProtection="1">
      <alignment horizontal="right" vertical="center"/>
      <protection/>
    </xf>
    <xf numFmtId="0" fontId="3" fillId="0" borderId="0" xfId="57" applyFont="1" applyAlignment="1" applyProtection="1">
      <alignment horizontal="right" vertical="center"/>
      <protection/>
    </xf>
    <xf numFmtId="0" fontId="20" fillId="0" borderId="22" xfId="62" applyFont="1" applyBorder="1" applyAlignment="1">
      <alignment horizontal="center" vertical="center"/>
      <protection/>
    </xf>
    <xf numFmtId="0" fontId="2" fillId="0" borderId="24" xfId="125" applyBorder="1" applyAlignment="1">
      <alignment/>
      <protection/>
    </xf>
    <xf numFmtId="0" fontId="20" fillId="0" borderId="22" xfId="125" applyFont="1" applyBorder="1" applyAlignment="1">
      <alignment horizontal="center" vertical="center"/>
      <protection/>
    </xf>
    <xf numFmtId="0" fontId="4" fillId="33" borderId="10" xfId="125" applyFont="1" applyFill="1" applyBorder="1" applyAlignment="1">
      <alignment vertical="center"/>
      <protection/>
    </xf>
    <xf numFmtId="0" fontId="4" fillId="33" borderId="12" xfId="125" applyFont="1" applyFill="1" applyBorder="1" applyAlignment="1">
      <alignment vertical="center"/>
      <protection/>
    </xf>
    <xf numFmtId="37" fontId="3" fillId="39" borderId="0" xfId="99" applyNumberFormat="1" applyFont="1" applyFill="1" applyAlignment="1" applyProtection="1">
      <alignment horizontal="center"/>
      <protection/>
    </xf>
    <xf numFmtId="0" fontId="5" fillId="39" borderId="25" xfId="71" applyFont="1" applyFill="1" applyBorder="1" applyAlignment="1" applyProtection="1">
      <alignment horizontal="center"/>
      <protection/>
    </xf>
    <xf numFmtId="0" fontId="2" fillId="0" borderId="22" xfId="125" applyBorder="1" applyAlignment="1">
      <alignment horizontal="center"/>
      <protection/>
    </xf>
    <xf numFmtId="0" fontId="2" fillId="0" borderId="24" xfId="125" applyBorder="1" applyAlignment="1">
      <alignment horizontal="center"/>
      <protection/>
    </xf>
    <xf numFmtId="0" fontId="5" fillId="39" borderId="22" xfId="71" applyFont="1" applyFill="1" applyBorder="1" applyAlignment="1" applyProtection="1">
      <alignment horizontal="center"/>
      <protection/>
    </xf>
    <xf numFmtId="0" fontId="5" fillId="39" borderId="24" xfId="71" applyFont="1" applyFill="1" applyBorder="1" applyAlignment="1" applyProtection="1">
      <alignment horizontal="center"/>
      <protection/>
    </xf>
    <xf numFmtId="0" fontId="2" fillId="0" borderId="22" xfId="71" applyBorder="1" applyAlignment="1" applyProtection="1">
      <alignment horizontal="center"/>
      <protection/>
    </xf>
    <xf numFmtId="0" fontId="2" fillId="0" borderId="24" xfId="71" applyBorder="1" applyAlignment="1" applyProtection="1">
      <alignment horizontal="center"/>
      <protection/>
    </xf>
    <xf numFmtId="49" fontId="4" fillId="33" borderId="13" xfId="125" applyNumberFormat="1" applyFont="1" applyFill="1" applyBorder="1" applyAlignment="1" applyProtection="1">
      <alignment horizontal="center" vertical="center"/>
      <protection locked="0"/>
    </xf>
    <xf numFmtId="0" fontId="4" fillId="33" borderId="13" xfId="125" applyNumberFormat="1" applyFont="1" applyFill="1" applyBorder="1" applyAlignment="1" applyProtection="1">
      <alignment horizontal="center" vertical="center"/>
      <protection locked="0"/>
    </xf>
    <xf numFmtId="37" fontId="3" fillId="39" borderId="0" xfId="125" applyNumberFormat="1" applyFont="1" applyFill="1" applyAlignment="1" applyProtection="1">
      <alignment horizontal="center" vertical="center"/>
      <protection/>
    </xf>
  </cellXfs>
  <cellStyles count="3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 2" xfId="44"/>
    <cellStyle name="Comma 16" xfId="45"/>
    <cellStyle name="Comma 16 2" xfId="46"/>
    <cellStyle name="Comma 16 3" xfId="47"/>
    <cellStyle name="Comma 2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 7 2" xfId="57"/>
    <cellStyle name="Input" xfId="58"/>
    <cellStyle name="Linked Cell" xfId="59"/>
    <cellStyle name="Neutral" xfId="60"/>
    <cellStyle name="Normal 10 2" xfId="61"/>
    <cellStyle name="Normal 10 2 2" xfId="62"/>
    <cellStyle name="Normal 10 3" xfId="63"/>
    <cellStyle name="Normal 10 4" xfId="64"/>
    <cellStyle name="Normal 10 5" xfId="65"/>
    <cellStyle name="Normal 10 6" xfId="66"/>
    <cellStyle name="Normal 11 2" xfId="67"/>
    <cellStyle name="Normal 11 3" xfId="68"/>
    <cellStyle name="Normal 11 4" xfId="69"/>
    <cellStyle name="Normal 12" xfId="70"/>
    <cellStyle name="Normal 12 10" xfId="71"/>
    <cellStyle name="Normal 12 11" xfId="72"/>
    <cellStyle name="Normal 12 12" xfId="73"/>
    <cellStyle name="Normal 12 2" xfId="74"/>
    <cellStyle name="Normal 12 2 2" xfId="75"/>
    <cellStyle name="Normal 12 3" xfId="76"/>
    <cellStyle name="Normal 12 4" xfId="77"/>
    <cellStyle name="Normal 12 5" xfId="78"/>
    <cellStyle name="Normal 12 6" xfId="79"/>
    <cellStyle name="Normal 12 7" xfId="80"/>
    <cellStyle name="Normal 12 8" xfId="81"/>
    <cellStyle name="Normal 12 9" xfId="82"/>
    <cellStyle name="Normal 13" xfId="83"/>
    <cellStyle name="Normal 13 10" xfId="84"/>
    <cellStyle name="Normal 13 11" xfId="85"/>
    <cellStyle name="Normal 13 12" xfId="86"/>
    <cellStyle name="Normal 13 2" xfId="87"/>
    <cellStyle name="Normal 13 2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3 9" xfId="95"/>
    <cellStyle name="Normal 14 2" xfId="96"/>
    <cellStyle name="Normal 14 3" xfId="97"/>
    <cellStyle name="Normal 14 4" xfId="98"/>
    <cellStyle name="Normal 14 5" xfId="99"/>
    <cellStyle name="Normal 14 6" xfId="100"/>
    <cellStyle name="Normal 15 2" xfId="101"/>
    <cellStyle name="Normal 15 3" xfId="102"/>
    <cellStyle name="Normal 15 4" xfId="103"/>
    <cellStyle name="Normal 16 2" xfId="104"/>
    <cellStyle name="Normal 16 3" xfId="105"/>
    <cellStyle name="Normal 16 4" xfId="106"/>
    <cellStyle name="Normal 17 2" xfId="107"/>
    <cellStyle name="Normal 17 3" xfId="108"/>
    <cellStyle name="Normal 17 4" xfId="109"/>
    <cellStyle name="Normal 18 2" xfId="110"/>
    <cellStyle name="Normal 18 2 2" xfId="111"/>
    <cellStyle name="Normal 18 2 3" xfId="112"/>
    <cellStyle name="Normal 18 3" xfId="113"/>
    <cellStyle name="Normal 18 4" xfId="114"/>
    <cellStyle name="Normal 18 5" xfId="115"/>
    <cellStyle name="Normal 18 6" xfId="116"/>
    <cellStyle name="Normal 18 7" xfId="117"/>
    <cellStyle name="Normal 19 2" xfId="118"/>
    <cellStyle name="Normal 19 2 2" xfId="119"/>
    <cellStyle name="Normal 19 2 3" xfId="120"/>
    <cellStyle name="Normal 19 3" xfId="121"/>
    <cellStyle name="Normal 19 4" xfId="122"/>
    <cellStyle name="Normal 19 5" xfId="123"/>
    <cellStyle name="Normal 19 6" xfId="124"/>
    <cellStyle name="Normal 2" xfId="125"/>
    <cellStyle name="Normal 2 10" xfId="126"/>
    <cellStyle name="Normal 2 10 10" xfId="127"/>
    <cellStyle name="Normal 2 10 2" xfId="128"/>
    <cellStyle name="Normal 2 10 2 2" xfId="129"/>
    <cellStyle name="Normal 2 10 3" xfId="130"/>
    <cellStyle name="Normal 2 10 3 2" xfId="131"/>
    <cellStyle name="Normal 2 10 4" xfId="132"/>
    <cellStyle name="Normal 2 10 4 2" xfId="133"/>
    <cellStyle name="Normal 2 10 5" xfId="134"/>
    <cellStyle name="Normal 2 10 5 2" xfId="135"/>
    <cellStyle name="Normal 2 10 6" xfId="136"/>
    <cellStyle name="Normal 2 10 6 2" xfId="137"/>
    <cellStyle name="Normal 2 10 7" xfId="138"/>
    <cellStyle name="Normal 2 10 7 2" xfId="139"/>
    <cellStyle name="Normal 2 10 8" xfId="140"/>
    <cellStyle name="Normal 2 10 8 2" xfId="141"/>
    <cellStyle name="Normal 2 10 9" xfId="142"/>
    <cellStyle name="Normal 2 11" xfId="143"/>
    <cellStyle name="Normal 2 11 10" xfId="144"/>
    <cellStyle name="Normal 2 11 2" xfId="145"/>
    <cellStyle name="Normal 2 11 2 2" xfId="146"/>
    <cellStyle name="Normal 2 11 3" xfId="147"/>
    <cellStyle name="Normal 2 11 3 2" xfId="148"/>
    <cellStyle name="Normal 2 11 4" xfId="149"/>
    <cellStyle name="Normal 2 11 4 2" xfId="150"/>
    <cellStyle name="Normal 2 11 5" xfId="151"/>
    <cellStyle name="Normal 2 11 5 2" xfId="152"/>
    <cellStyle name="Normal 2 11 6" xfId="153"/>
    <cellStyle name="Normal 2 11 6 2" xfId="154"/>
    <cellStyle name="Normal 2 11 7" xfId="155"/>
    <cellStyle name="Normal 2 11 7 2" xfId="156"/>
    <cellStyle name="Normal 2 11 8" xfId="157"/>
    <cellStyle name="Normal 2 11 8 2" xfId="158"/>
    <cellStyle name="Normal 2 11 9" xfId="159"/>
    <cellStyle name="Normal 2 12" xfId="160"/>
    <cellStyle name="Normal 2 13" xfId="161"/>
    <cellStyle name="Normal 2 14" xfId="162"/>
    <cellStyle name="Normal 2 15" xfId="163"/>
    <cellStyle name="Normal 2 2" xfId="164"/>
    <cellStyle name="Normal 2 2 10" xfId="165"/>
    <cellStyle name="Normal 2 2 10 2" xfId="166"/>
    <cellStyle name="Normal 2 2 11" xfId="167"/>
    <cellStyle name="Normal 2 2 11 2" xfId="168"/>
    <cellStyle name="Normal 2 2 12" xfId="169"/>
    <cellStyle name="Normal 2 2 12 2" xfId="170"/>
    <cellStyle name="Normal 2 2 13" xfId="171"/>
    <cellStyle name="Normal 2 2 13 2" xfId="172"/>
    <cellStyle name="Normal 2 2 14" xfId="173"/>
    <cellStyle name="Normal 2 2 14 2" xfId="174"/>
    <cellStyle name="Normal 2 2 15" xfId="175"/>
    <cellStyle name="Normal 2 2 15 2" xfId="176"/>
    <cellStyle name="Normal 2 2 16" xfId="177"/>
    <cellStyle name="Normal 2 2 17" xfId="178"/>
    <cellStyle name="Normal 2 2 18" xfId="179"/>
    <cellStyle name="Normal 2 2 19" xfId="180"/>
    <cellStyle name="Normal 2 2 2" xfId="181"/>
    <cellStyle name="Normal 2 2 2 2" xfId="182"/>
    <cellStyle name="Normal 2 2 2 2 2" xfId="183"/>
    <cellStyle name="Normal 2 2 2 3" xfId="184"/>
    <cellStyle name="Normal 2 2 2 3 2" xfId="185"/>
    <cellStyle name="Normal 2 2 2 4" xfId="186"/>
    <cellStyle name="Normal 2 2 2 4 2" xfId="187"/>
    <cellStyle name="Normal 2 2 2 5" xfId="188"/>
    <cellStyle name="Normal 2 2 2 5 2" xfId="189"/>
    <cellStyle name="Normal 2 2 2 6" xfId="190"/>
    <cellStyle name="Normal 2 2 2 6 2" xfId="191"/>
    <cellStyle name="Normal 2 2 2 7" xfId="192"/>
    <cellStyle name="Normal 2 2 2 8" xfId="193"/>
    <cellStyle name="Normal 2 2 20" xfId="194"/>
    <cellStyle name="Normal 2 2 21" xfId="195"/>
    <cellStyle name="Normal 2 2 3" xfId="196"/>
    <cellStyle name="Normal 2 2 3 2" xfId="197"/>
    <cellStyle name="Normal 2 2 4" xfId="198"/>
    <cellStyle name="Normal 2 2 4 2" xfId="199"/>
    <cellStyle name="Normal 2 2 5" xfId="200"/>
    <cellStyle name="Normal 2 2 5 2" xfId="201"/>
    <cellStyle name="Normal 2 2 6" xfId="202"/>
    <cellStyle name="Normal 2 2 6 2" xfId="203"/>
    <cellStyle name="Normal 2 2 7" xfId="204"/>
    <cellStyle name="Normal 2 2 7 2" xfId="205"/>
    <cellStyle name="Normal 2 2 8" xfId="206"/>
    <cellStyle name="Normal 2 2 8 2" xfId="207"/>
    <cellStyle name="Normal 2 2 9" xfId="208"/>
    <cellStyle name="Normal 2 2 9 2" xfId="209"/>
    <cellStyle name="Normal 2 3" xfId="210"/>
    <cellStyle name="Normal 2 3 10" xfId="211"/>
    <cellStyle name="Normal 2 3 11" xfId="212"/>
    <cellStyle name="Normal 2 3 12" xfId="213"/>
    <cellStyle name="Normal 2 3 13" xfId="214"/>
    <cellStyle name="Normal 2 3 14" xfId="215"/>
    <cellStyle name="Normal 2 3 2" xfId="216"/>
    <cellStyle name="Normal 2 3 2 2" xfId="217"/>
    <cellStyle name="Normal 2 3 3" xfId="218"/>
    <cellStyle name="Normal 2 3 3 2" xfId="219"/>
    <cellStyle name="Normal 2 3 4" xfId="220"/>
    <cellStyle name="Normal 2 3 5" xfId="221"/>
    <cellStyle name="Normal 2 3 6" xfId="222"/>
    <cellStyle name="Normal 2 3 7" xfId="223"/>
    <cellStyle name="Normal 2 3 8" xfId="224"/>
    <cellStyle name="Normal 2 3 9" xfId="225"/>
    <cellStyle name="Normal 2 4" xfId="226"/>
    <cellStyle name="Normal 2 4 10" xfId="227"/>
    <cellStyle name="Normal 2 4 11" xfId="228"/>
    <cellStyle name="Normal 2 4 2" xfId="229"/>
    <cellStyle name="Normal 2 4 2 2" xfId="230"/>
    <cellStyle name="Normal 2 4 3" xfId="231"/>
    <cellStyle name="Normal 2 4 3 2" xfId="232"/>
    <cellStyle name="Normal 2 4 4" xfId="233"/>
    <cellStyle name="Normal 2 4 5" xfId="234"/>
    <cellStyle name="Normal 2 4 6" xfId="235"/>
    <cellStyle name="Normal 2 4 7" xfId="236"/>
    <cellStyle name="Normal 2 4 8" xfId="237"/>
    <cellStyle name="Normal 2 4 9" xfId="238"/>
    <cellStyle name="Normal 2 5" xfId="239"/>
    <cellStyle name="Normal 2 5 10" xfId="240"/>
    <cellStyle name="Normal 2 5 11" xfId="241"/>
    <cellStyle name="Normal 2 5 2" xfId="242"/>
    <cellStyle name="Normal 2 5 2 2" xfId="243"/>
    <cellStyle name="Normal 2 5 3" xfId="244"/>
    <cellStyle name="Normal 2 5 3 2" xfId="245"/>
    <cellStyle name="Normal 2 5 4" xfId="246"/>
    <cellStyle name="Normal 2 5 5" xfId="247"/>
    <cellStyle name="Normal 2 5 6" xfId="248"/>
    <cellStyle name="Normal 2 5 7" xfId="249"/>
    <cellStyle name="Normal 2 5 8" xfId="250"/>
    <cellStyle name="Normal 2 5 9" xfId="251"/>
    <cellStyle name="Normal 2 6" xfId="252"/>
    <cellStyle name="Normal 2 6 10" xfId="253"/>
    <cellStyle name="Normal 2 6 11" xfId="254"/>
    <cellStyle name="Normal 2 6 2" xfId="255"/>
    <cellStyle name="Normal 2 6 2 2" xfId="256"/>
    <cellStyle name="Normal 2 6 3" xfId="257"/>
    <cellStyle name="Normal 2 6 3 2" xfId="258"/>
    <cellStyle name="Normal 2 6 4" xfId="259"/>
    <cellStyle name="Normal 2 6 5" xfId="260"/>
    <cellStyle name="Normal 2 6 6" xfId="261"/>
    <cellStyle name="Normal 2 6 7" xfId="262"/>
    <cellStyle name="Normal 2 6 8" xfId="263"/>
    <cellStyle name="Normal 2 6 9" xfId="264"/>
    <cellStyle name="Normal 2 7" xfId="265"/>
    <cellStyle name="Normal 2 7 10" xfId="266"/>
    <cellStyle name="Normal 2 7 2" xfId="267"/>
    <cellStyle name="Normal 2 7 2 2" xfId="268"/>
    <cellStyle name="Normal 2 7 3" xfId="269"/>
    <cellStyle name="Normal 2 7 3 2" xfId="270"/>
    <cellStyle name="Normal 2 7 4" xfId="271"/>
    <cellStyle name="Normal 2 7 4 2" xfId="272"/>
    <cellStyle name="Normal 2 7 5" xfId="273"/>
    <cellStyle name="Normal 2 7 5 2" xfId="274"/>
    <cellStyle name="Normal 2 7 6" xfId="275"/>
    <cellStyle name="Normal 2 7 6 2" xfId="276"/>
    <cellStyle name="Normal 2 7 7" xfId="277"/>
    <cellStyle name="Normal 2 7 7 2" xfId="278"/>
    <cellStyle name="Normal 2 7 8" xfId="279"/>
    <cellStyle name="Normal 2 7 8 2" xfId="280"/>
    <cellStyle name="Normal 2 7 9" xfId="281"/>
    <cellStyle name="Normal 2 8" xfId="282"/>
    <cellStyle name="Normal 2 8 10" xfId="283"/>
    <cellStyle name="Normal 2 8 2" xfId="284"/>
    <cellStyle name="Normal 2 8 2 2" xfId="285"/>
    <cellStyle name="Normal 2 8 3" xfId="286"/>
    <cellStyle name="Normal 2 8 3 2" xfId="287"/>
    <cellStyle name="Normal 2 8 4" xfId="288"/>
    <cellStyle name="Normal 2 8 4 2" xfId="289"/>
    <cellStyle name="Normal 2 8 5" xfId="290"/>
    <cellStyle name="Normal 2 8 5 2" xfId="291"/>
    <cellStyle name="Normal 2 8 6" xfId="292"/>
    <cellStyle name="Normal 2 8 6 2" xfId="293"/>
    <cellStyle name="Normal 2 8 7" xfId="294"/>
    <cellStyle name="Normal 2 8 7 2" xfId="295"/>
    <cellStyle name="Normal 2 8 8" xfId="296"/>
    <cellStyle name="Normal 2 8 8 2" xfId="297"/>
    <cellStyle name="Normal 2 8 9" xfId="298"/>
    <cellStyle name="Normal 2 9" xfId="299"/>
    <cellStyle name="Normal 2 9 10" xfId="300"/>
    <cellStyle name="Normal 2 9 2" xfId="301"/>
    <cellStyle name="Normal 2 9 2 2" xfId="302"/>
    <cellStyle name="Normal 2 9 3" xfId="303"/>
    <cellStyle name="Normal 2 9 3 2" xfId="304"/>
    <cellStyle name="Normal 2 9 4" xfId="305"/>
    <cellStyle name="Normal 2 9 4 2" xfId="306"/>
    <cellStyle name="Normal 2 9 5" xfId="307"/>
    <cellStyle name="Normal 2 9 5 2" xfId="308"/>
    <cellStyle name="Normal 2 9 6" xfId="309"/>
    <cellStyle name="Normal 2 9 6 2" xfId="310"/>
    <cellStyle name="Normal 2 9 7" xfId="311"/>
    <cellStyle name="Normal 2 9 7 2" xfId="312"/>
    <cellStyle name="Normal 2 9 8" xfId="313"/>
    <cellStyle name="Normal 2 9 8 2" xfId="314"/>
    <cellStyle name="Normal 2 9 9" xfId="315"/>
    <cellStyle name="Normal 20" xfId="316"/>
    <cellStyle name="Normal 20 2" xfId="317"/>
    <cellStyle name="Normal 20 3" xfId="318"/>
    <cellStyle name="Normal 22" xfId="319"/>
    <cellStyle name="Normal 22 2" xfId="320"/>
    <cellStyle name="Normal 22 3" xfId="321"/>
    <cellStyle name="Normal 23" xfId="322"/>
    <cellStyle name="Normal 23 2" xfId="323"/>
    <cellStyle name="Normal 23 3" xfId="324"/>
    <cellStyle name="Normal 24" xfId="325"/>
    <cellStyle name="Normal 24 2" xfId="326"/>
    <cellStyle name="Normal 24 3" xfId="327"/>
    <cellStyle name="Normal 25" xfId="328"/>
    <cellStyle name="Normal 25 2" xfId="329"/>
    <cellStyle name="Normal 25 3" xfId="330"/>
    <cellStyle name="Normal 3" xfId="331"/>
    <cellStyle name="Normal 3 2" xfId="332"/>
    <cellStyle name="Normal 3 3" xfId="333"/>
    <cellStyle name="Normal 3 4" xfId="334"/>
    <cellStyle name="Normal 3 5" xfId="335"/>
    <cellStyle name="Normal 3 6" xfId="336"/>
    <cellStyle name="Normal 3 7" xfId="337"/>
    <cellStyle name="Normal 4" xfId="338"/>
    <cellStyle name="Normal 4 2" xfId="339"/>
    <cellStyle name="Normal 5 2" xfId="340"/>
    <cellStyle name="Normal 5 3" xfId="341"/>
    <cellStyle name="Normal 6" xfId="342"/>
    <cellStyle name="Normal 6 2" xfId="343"/>
    <cellStyle name="Normal 7 2" xfId="344"/>
    <cellStyle name="Normal 7 3" xfId="345"/>
    <cellStyle name="Normal 7 4" xfId="346"/>
    <cellStyle name="Normal 8 2" xfId="347"/>
    <cellStyle name="Normal 9 2" xfId="348"/>
    <cellStyle name="Normal 9 3" xfId="349"/>
    <cellStyle name="Normal 9 4" xfId="350"/>
    <cellStyle name="Normal_debt" xfId="351"/>
    <cellStyle name="Normal_lpform" xfId="352"/>
    <cellStyle name="Note" xfId="353"/>
    <cellStyle name="Output" xfId="354"/>
    <cellStyle name="Percent" xfId="355"/>
    <cellStyle name="Title" xfId="356"/>
    <cellStyle name="Total" xfId="357"/>
    <cellStyle name="Warning Text" xfId="358"/>
  </cellStyles>
  <dxfs count="10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 val="0"/>
        <strike val="0"/>
      </font>
      <fill>
        <patternFill>
          <bgColor indexed="10"/>
        </patternFill>
      </fill>
    </dxf>
    <dxf>
      <font>
        <b/>
        <i val="0"/>
        <strike val="0"/>
      </font>
      <fill>
        <patternFill>
          <bgColor indexed="10"/>
        </patternFill>
      </fill>
    </dxf>
    <dxf>
      <font>
        <b/>
        <i val="0"/>
        <strike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381000</xdr:colOff>
      <xdr:row>48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86600" cy="929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428625</xdr:colOff>
      <xdr:row>42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15025" cy="815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leggett\Local%20Settings\Temporary%20Internet%20Files\Content.Outlook\T2JG1D4H\Budget%20forms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PrYr"/>
      <sheetName val="inputOth"/>
      <sheetName val="inputBudSum"/>
      <sheetName val="cert"/>
      <sheetName val="computation"/>
      <sheetName val="mvalloc"/>
      <sheetName val="transfers"/>
      <sheetName val="TransferStatutes"/>
      <sheetName val="debt"/>
      <sheetName val="lpform"/>
      <sheetName val="Library Grant "/>
      <sheetName val="general"/>
      <sheetName val="GenDetail"/>
      <sheetName val="DebtSvs-Library"/>
      <sheetName val="levy page9"/>
      <sheetName val="levy page10"/>
      <sheetName val="levy page11"/>
      <sheetName val="levy page12"/>
      <sheetName val="levy page13"/>
      <sheetName val="Sp Hiway"/>
      <sheetName val="nolevypage15"/>
      <sheetName val="nolevypage16"/>
      <sheetName val="nolevypage17"/>
      <sheetName val="SinNoLevy18"/>
      <sheetName val="SinNoLevy19"/>
      <sheetName val="SinNoLevy20"/>
      <sheetName val="SinNoLevy21"/>
      <sheetName val="NonBudA"/>
      <sheetName val="NonBudB"/>
      <sheetName val="NonBudFunds"/>
      <sheetName val="summ"/>
      <sheetName val="nhood"/>
      <sheetName val="Ordinance"/>
      <sheetName val="Tab A"/>
      <sheetName val="Tab B"/>
      <sheetName val="Tab C"/>
      <sheetName val="Tab D"/>
      <sheetName val="Tab E"/>
      <sheetName val="Mill Rate Computation"/>
      <sheetName val="Helpful Links"/>
      <sheetName val="Legend"/>
      <sheetName val="Sheet1"/>
    </sheetNames>
    <sheetDataSet>
      <sheetData sheetId="1">
        <row r="2">
          <cell r="D2" t="str">
            <v>Andale</v>
          </cell>
        </row>
        <row r="3">
          <cell r="D3" t="str">
            <v>Sedgwick</v>
          </cell>
        </row>
        <row r="5">
          <cell r="C5">
            <v>2013</v>
          </cell>
        </row>
        <row r="16">
          <cell r="H16">
            <v>0</v>
          </cell>
        </row>
        <row r="17">
          <cell r="B17" t="str">
            <v>General</v>
          </cell>
          <cell r="C17" t="str">
            <v>12-101a</v>
          </cell>
          <cell r="D17">
            <v>389770</v>
          </cell>
          <cell r="E17">
            <v>136208</v>
          </cell>
          <cell r="G17">
            <v>0</v>
          </cell>
        </row>
        <row r="18">
          <cell r="B18" t="str">
            <v>Debt Service</v>
          </cell>
          <cell r="C18" t="str">
            <v>10-113</v>
          </cell>
          <cell r="D18">
            <v>327319</v>
          </cell>
          <cell r="E18">
            <v>51763</v>
          </cell>
          <cell r="G18">
            <v>0</v>
          </cell>
        </row>
        <row r="20">
          <cell r="B20" t="str">
            <v>Special Law &amp; Ambulance</v>
          </cell>
          <cell r="C20" t="str">
            <v>12-110</v>
          </cell>
          <cell r="D20">
            <v>19900</v>
          </cell>
          <cell r="E20">
            <v>16084</v>
          </cell>
          <cell r="G20">
            <v>0</v>
          </cell>
        </row>
        <row r="21">
          <cell r="B21" t="str">
            <v>Employee Benefits</v>
          </cell>
          <cell r="C21" t="str">
            <v>12-16, 201</v>
          </cell>
          <cell r="D21">
            <v>63925</v>
          </cell>
          <cell r="E21">
            <v>55405</v>
          </cell>
          <cell r="G21">
            <v>0</v>
          </cell>
        </row>
        <row r="30">
          <cell r="E30">
            <v>259460</v>
          </cell>
        </row>
        <row r="33">
          <cell r="B33" t="str">
            <v>Special Highway</v>
          </cell>
          <cell r="D33">
            <v>52146</v>
          </cell>
        </row>
        <row r="34">
          <cell r="B34" t="str">
            <v>Sewer Utility</v>
          </cell>
          <cell r="D34">
            <v>81430</v>
          </cell>
        </row>
        <row r="35">
          <cell r="B35" t="str">
            <v>Water Utility</v>
          </cell>
          <cell r="D35">
            <v>128750</v>
          </cell>
        </row>
        <row r="36">
          <cell r="B36" t="str">
            <v>Solid Waste Utility</v>
          </cell>
          <cell r="D36">
            <v>61700</v>
          </cell>
        </row>
        <row r="37">
          <cell r="B37" t="str">
            <v>Special Park &amp; Recreation</v>
          </cell>
          <cell r="D37">
            <v>22000</v>
          </cell>
        </row>
        <row r="50">
          <cell r="B50" t="str">
            <v>Sewer Reserve</v>
          </cell>
        </row>
        <row r="51">
          <cell r="B51" t="str">
            <v>Equipment Reserve</v>
          </cell>
        </row>
        <row r="52">
          <cell r="B52" t="str">
            <v>Water Surplus</v>
          </cell>
        </row>
        <row r="63">
          <cell r="D63">
            <v>24.222</v>
          </cell>
        </row>
        <row r="64">
          <cell r="D64">
            <v>6.199</v>
          </cell>
        </row>
        <row r="65">
          <cell r="D65">
            <v>2.919</v>
          </cell>
        </row>
        <row r="66">
          <cell r="D66">
            <v>9.021</v>
          </cell>
        </row>
        <row r="77">
          <cell r="E77">
            <v>260288</v>
          </cell>
        </row>
        <row r="78">
          <cell r="E78">
            <v>6144502</v>
          </cell>
        </row>
        <row r="81">
          <cell r="D81">
            <v>1800000</v>
          </cell>
          <cell r="E81">
            <v>1580000</v>
          </cell>
        </row>
        <row r="83">
          <cell r="D83">
            <v>468775</v>
          </cell>
          <cell r="E83">
            <v>443292</v>
          </cell>
        </row>
      </sheetData>
      <sheetData sheetId="2">
        <row r="7">
          <cell r="E7">
            <v>5921473</v>
          </cell>
        </row>
        <row r="8">
          <cell r="E8">
            <v>121979</v>
          </cell>
        </row>
        <row r="9">
          <cell r="E9">
            <v>361094</v>
          </cell>
        </row>
        <row r="15">
          <cell r="E15">
            <v>448510</v>
          </cell>
        </row>
        <row r="21">
          <cell r="D21">
            <v>22.317</v>
          </cell>
        </row>
        <row r="22">
          <cell r="D22">
            <v>8.481</v>
          </cell>
        </row>
        <row r="23">
          <cell r="D23">
            <v>2.635</v>
          </cell>
        </row>
        <row r="24">
          <cell r="D24">
            <v>9.078</v>
          </cell>
        </row>
        <row r="35">
          <cell r="E35">
            <v>6103271</v>
          </cell>
        </row>
        <row r="38">
          <cell r="E38">
            <v>34901</v>
          </cell>
        </row>
        <row r="39">
          <cell r="E39">
            <v>323</v>
          </cell>
        </row>
        <row r="40">
          <cell r="E40">
            <v>500</v>
          </cell>
        </row>
        <row r="46">
          <cell r="E46">
            <v>0.02</v>
          </cell>
        </row>
        <row r="50">
          <cell r="E50">
            <v>24150</v>
          </cell>
        </row>
        <row r="51">
          <cell r="E51">
            <v>10890</v>
          </cell>
        </row>
        <row r="52">
          <cell r="E52">
            <v>23970</v>
          </cell>
        </row>
        <row r="53">
          <cell r="E53">
            <v>10850</v>
          </cell>
        </row>
        <row r="60">
          <cell r="B60">
            <v>400144</v>
          </cell>
        </row>
        <row r="61">
          <cell r="B61">
            <v>309983</v>
          </cell>
        </row>
        <row r="62">
          <cell r="B62">
            <v>19900</v>
          </cell>
        </row>
        <row r="63">
          <cell r="B63">
            <v>61213</v>
          </cell>
        </row>
        <row r="72">
          <cell r="B72">
            <v>66346</v>
          </cell>
        </row>
        <row r="73">
          <cell r="B73">
            <v>100226</v>
          </cell>
        </row>
        <row r="74">
          <cell r="B74">
            <v>152385</v>
          </cell>
        </row>
        <row r="75">
          <cell r="B75">
            <v>60243</v>
          </cell>
        </row>
        <row r="76">
          <cell r="B76">
            <v>20000</v>
          </cell>
        </row>
      </sheetData>
      <sheetData sheetId="3">
        <row r="3">
          <cell r="B3" t="str">
            <v>Virginia Edwards, CMC</v>
          </cell>
        </row>
        <row r="5">
          <cell r="B5" t="str">
            <v>City Clerk</v>
          </cell>
        </row>
        <row r="7">
          <cell r="B7" t="str">
            <v>July 23, 2012</v>
          </cell>
        </row>
        <row r="9">
          <cell r="B9" t="str">
            <v>7:00 p.m.</v>
          </cell>
        </row>
        <row r="11">
          <cell r="B11" t="str">
            <v>326 N. Main, Andale, KS 67001</v>
          </cell>
        </row>
        <row r="14">
          <cell r="B14" t="str">
            <v>Andale City Hall</v>
          </cell>
        </row>
      </sheetData>
      <sheetData sheetId="5">
        <row r="40">
          <cell r="J40">
            <v>294287.64</v>
          </cell>
        </row>
      </sheetData>
      <sheetData sheetId="6">
        <row r="7">
          <cell r="D7">
            <v>18321</v>
          </cell>
          <cell r="E7">
            <v>170</v>
          </cell>
          <cell r="F7">
            <v>262</v>
          </cell>
        </row>
        <row r="8">
          <cell r="D8">
            <v>6963</v>
          </cell>
          <cell r="E8">
            <v>64</v>
          </cell>
          <cell r="F8">
            <v>100</v>
          </cell>
        </row>
        <row r="9">
          <cell r="D9">
            <v>2164</v>
          </cell>
          <cell r="E9">
            <v>20</v>
          </cell>
          <cell r="F9">
            <v>31</v>
          </cell>
        </row>
        <row r="10">
          <cell r="D10">
            <v>7453</v>
          </cell>
          <cell r="E10">
            <v>69</v>
          </cell>
          <cell r="F10">
            <v>107</v>
          </cell>
        </row>
      </sheetData>
      <sheetData sheetId="7">
        <row r="28">
          <cell r="C28">
            <v>99000</v>
          </cell>
          <cell r="D28">
            <v>89000</v>
          </cell>
          <cell r="E28">
            <v>98675</v>
          </cell>
        </row>
      </sheetData>
      <sheetData sheetId="9">
        <row r="29">
          <cell r="G29">
            <v>1780000</v>
          </cell>
        </row>
        <row r="41">
          <cell r="G41">
            <v>0</v>
          </cell>
        </row>
        <row r="51">
          <cell r="G51">
            <v>417083</v>
          </cell>
        </row>
      </sheetData>
      <sheetData sheetId="10">
        <row r="28">
          <cell r="G28">
            <v>0</v>
          </cell>
        </row>
      </sheetData>
      <sheetData sheetId="11">
        <row r="33">
          <cell r="F33" t="e">
            <v>#REF!</v>
          </cell>
        </row>
      </sheetData>
      <sheetData sheetId="12">
        <row r="112">
          <cell r="C112">
            <v>354237</v>
          </cell>
          <cell r="D112">
            <v>373370</v>
          </cell>
          <cell r="E112">
            <v>355670</v>
          </cell>
        </row>
        <row r="119">
          <cell r="E119">
            <v>117819.85999999999</v>
          </cell>
        </row>
      </sheetData>
      <sheetData sheetId="13">
        <row r="15">
          <cell r="B15">
            <v>0</v>
          </cell>
          <cell r="C15">
            <v>0</v>
          </cell>
          <cell r="D15">
            <v>0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33">
          <cell r="B33">
            <v>0</v>
          </cell>
          <cell r="C33">
            <v>0</v>
          </cell>
          <cell r="D33">
            <v>0</v>
          </cell>
        </row>
        <row r="39">
          <cell r="B39">
            <v>0</v>
          </cell>
          <cell r="C39">
            <v>0</v>
          </cell>
          <cell r="D39">
            <v>0</v>
          </cell>
        </row>
        <row r="45">
          <cell r="B45">
            <v>0</v>
          </cell>
          <cell r="C45">
            <v>0</v>
          </cell>
          <cell r="D45">
            <v>0</v>
          </cell>
        </row>
        <row r="51">
          <cell r="B51">
            <v>0</v>
          </cell>
          <cell r="C51">
            <v>0</v>
          </cell>
          <cell r="D51">
            <v>0</v>
          </cell>
        </row>
        <row r="57">
          <cell r="B57">
            <v>0</v>
          </cell>
          <cell r="C57">
            <v>0</v>
          </cell>
          <cell r="D57">
            <v>0</v>
          </cell>
        </row>
      </sheetData>
      <sheetData sheetId="14">
        <row r="35">
          <cell r="C35">
            <v>278815.64</v>
          </cell>
          <cell r="D35">
            <v>317319</v>
          </cell>
          <cell r="E35">
            <v>342091</v>
          </cell>
        </row>
        <row r="42">
          <cell r="E42">
            <v>82222.64000000001</v>
          </cell>
        </row>
        <row r="85">
          <cell r="C85">
            <v>8</v>
          </cell>
        </row>
      </sheetData>
      <sheetData sheetId="15">
        <row r="33">
          <cell r="C33">
            <v>17335</v>
          </cell>
          <cell r="D33">
            <v>15400</v>
          </cell>
          <cell r="E33">
            <v>11600</v>
          </cell>
        </row>
        <row r="40">
          <cell r="E40">
            <v>2689.279999999999</v>
          </cell>
        </row>
        <row r="73">
          <cell r="C73">
            <v>60775.54</v>
          </cell>
          <cell r="D73">
            <v>60229</v>
          </cell>
          <cell r="E73">
            <v>68600</v>
          </cell>
        </row>
        <row r="80">
          <cell r="E80">
            <v>56660.54000000001</v>
          </cell>
        </row>
        <row r="83">
          <cell r="C83">
            <v>9</v>
          </cell>
        </row>
      </sheetData>
      <sheetData sheetId="16">
        <row r="33">
          <cell r="C33">
            <v>0</v>
          </cell>
          <cell r="D33">
            <v>0</v>
          </cell>
          <cell r="E33">
            <v>0</v>
          </cell>
        </row>
        <row r="40">
          <cell r="E40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80">
          <cell r="E80">
            <v>0</v>
          </cell>
        </row>
      </sheetData>
      <sheetData sheetId="17">
        <row r="33">
          <cell r="C33">
            <v>0</v>
          </cell>
          <cell r="D33">
            <v>0</v>
          </cell>
          <cell r="E33">
            <v>0</v>
          </cell>
        </row>
        <row r="40">
          <cell r="E40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80">
          <cell r="E80">
            <v>0</v>
          </cell>
        </row>
      </sheetData>
      <sheetData sheetId="18">
        <row r="33">
          <cell r="C33">
            <v>0</v>
          </cell>
          <cell r="D33">
            <v>0</v>
          </cell>
          <cell r="E33">
            <v>0</v>
          </cell>
        </row>
        <row r="40">
          <cell r="E40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80">
          <cell r="E80">
            <v>0</v>
          </cell>
        </row>
      </sheetData>
      <sheetData sheetId="19">
        <row r="33">
          <cell r="C33">
            <v>0</v>
          </cell>
          <cell r="D33">
            <v>0</v>
          </cell>
          <cell r="E33">
            <v>0</v>
          </cell>
        </row>
        <row r="40">
          <cell r="E40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80">
          <cell r="E80">
            <v>0</v>
          </cell>
        </row>
      </sheetData>
      <sheetData sheetId="20">
        <row r="28">
          <cell r="C28">
            <v>54908</v>
          </cell>
          <cell r="D28">
            <v>48646</v>
          </cell>
          <cell r="E28">
            <v>35650</v>
          </cell>
        </row>
        <row r="59">
          <cell r="C59">
            <v>67376</v>
          </cell>
          <cell r="D59">
            <v>72645</v>
          </cell>
          <cell r="E59">
            <v>90940</v>
          </cell>
        </row>
        <row r="65">
          <cell r="C65">
            <v>10</v>
          </cell>
        </row>
      </sheetData>
      <sheetData sheetId="21">
        <row r="28">
          <cell r="C28">
            <v>120276</v>
          </cell>
          <cell r="D28">
            <v>105800</v>
          </cell>
          <cell r="E28">
            <v>120311</v>
          </cell>
        </row>
        <row r="59">
          <cell r="C59">
            <v>51948.13</v>
          </cell>
          <cell r="D59">
            <v>53130</v>
          </cell>
          <cell r="E59">
            <v>55488</v>
          </cell>
        </row>
        <row r="65">
          <cell r="C65">
            <v>11</v>
          </cell>
        </row>
      </sheetData>
      <sheetData sheetId="22">
        <row r="28">
          <cell r="C28">
            <v>80</v>
          </cell>
          <cell r="D28">
            <v>3550</v>
          </cell>
          <cell r="E28">
            <v>20000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5">
          <cell r="C65">
            <v>12</v>
          </cell>
        </row>
      </sheetData>
      <sheetData sheetId="23">
        <row r="28">
          <cell r="C28">
            <v>0</v>
          </cell>
          <cell r="D28">
            <v>0</v>
          </cell>
          <cell r="E28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</sheetData>
      <sheetData sheetId="24">
        <row r="47">
          <cell r="C47">
            <v>0</v>
          </cell>
          <cell r="D47">
            <v>0</v>
          </cell>
          <cell r="E47">
            <v>0</v>
          </cell>
        </row>
      </sheetData>
      <sheetData sheetId="25">
        <row r="47">
          <cell r="C47">
            <v>0</v>
          </cell>
          <cell r="D47">
            <v>0</v>
          </cell>
          <cell r="E47">
            <v>0</v>
          </cell>
        </row>
      </sheetData>
      <sheetData sheetId="26">
        <row r="47">
          <cell r="C47">
            <v>0</v>
          </cell>
          <cell r="D47">
            <v>0</v>
          </cell>
          <cell r="E47">
            <v>0</v>
          </cell>
        </row>
      </sheetData>
      <sheetData sheetId="27">
        <row r="47">
          <cell r="C47">
            <v>0</v>
          </cell>
          <cell r="D47">
            <v>0</v>
          </cell>
          <cell r="E47">
            <v>0</v>
          </cell>
        </row>
      </sheetData>
      <sheetData sheetId="28">
        <row r="3">
          <cell r="A3" t="str">
            <v>Non-Budgeted Funds-A</v>
          </cell>
        </row>
        <row r="28">
          <cell r="K28">
            <v>24613</v>
          </cell>
        </row>
        <row r="33">
          <cell r="F33">
            <v>13</v>
          </cell>
        </row>
      </sheetData>
      <sheetData sheetId="29">
        <row r="3">
          <cell r="A3" t="str">
            <v>Non-Budgeted Funds-B</v>
          </cell>
        </row>
        <row r="28">
          <cell r="K28">
            <v>0</v>
          </cell>
        </row>
      </sheetData>
      <sheetData sheetId="31">
        <row r="16">
          <cell r="E16">
            <v>22.317</v>
          </cell>
          <cell r="H16">
            <v>19.897</v>
          </cell>
        </row>
        <row r="17">
          <cell r="E17">
            <v>8.481</v>
          </cell>
          <cell r="H17">
            <v>13.886</v>
          </cell>
        </row>
        <row r="18">
          <cell r="E18">
            <v>2.635</v>
          </cell>
          <cell r="H18">
            <v>0.454</v>
          </cell>
        </row>
        <row r="19">
          <cell r="E19">
            <v>9.078</v>
          </cell>
          <cell r="H19">
            <v>9.569</v>
          </cell>
        </row>
        <row r="42">
          <cell r="E42">
            <v>42.510999999999996</v>
          </cell>
          <cell r="H42">
            <v>43.806000000000004</v>
          </cell>
        </row>
        <row r="60">
          <cell r="D60">
            <v>14</v>
          </cell>
        </row>
      </sheetData>
      <sheetData sheetId="32"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8"/>
  <sheetViews>
    <sheetView zoomScalePageLayoutView="0" workbookViewId="0" topLeftCell="A65">
      <selection activeCell="B86" sqref="B86"/>
    </sheetView>
  </sheetViews>
  <sheetFormatPr defaultColWidth="9.140625" defaultRowHeight="15"/>
  <cols>
    <col min="1" max="1" width="3.140625" style="72" customWidth="1"/>
    <col min="2" max="2" width="40.00390625" style="72" customWidth="1"/>
    <col min="3" max="4" width="20.28125" style="72" customWidth="1"/>
    <col min="5" max="5" width="21.00390625" style="72" customWidth="1"/>
    <col min="6" max="6" width="9.140625" style="72" customWidth="1"/>
    <col min="7" max="7" width="13.140625" style="72" customWidth="1"/>
    <col min="8" max="8" width="9.140625" style="72" customWidth="1"/>
    <col min="9" max="9" width="6.421875" style="72" customWidth="1"/>
    <col min="10" max="10" width="12.8515625" style="72" customWidth="1"/>
    <col min="11" max="16384" width="9.140625" style="72" customWidth="1"/>
  </cols>
  <sheetData>
    <row r="1" spans="2:5" ht="15.75">
      <c r="B1" s="73" t="str">
        <f>('[1]inputPrYr'!D2)</f>
        <v>Andale</v>
      </c>
      <c r="C1" s="1"/>
      <c r="D1" s="1"/>
      <c r="E1" s="152">
        <f>'[1]inputPrYr'!C5</f>
        <v>2013</v>
      </c>
    </row>
    <row r="2" spans="2:5" ht="15.75">
      <c r="B2" s="1"/>
      <c r="C2" s="1"/>
      <c r="D2" s="1"/>
      <c r="E2" s="65"/>
    </row>
    <row r="3" spans="2:5" ht="15.75">
      <c r="B3" s="81" t="s">
        <v>166</v>
      </c>
      <c r="C3" s="100"/>
      <c r="D3" s="100"/>
      <c r="E3" s="314"/>
    </row>
    <row r="4" spans="2:5" ht="15.75">
      <c r="B4" s="13" t="s">
        <v>167</v>
      </c>
      <c r="C4" s="163" t="s">
        <v>168</v>
      </c>
      <c r="D4" s="164" t="s">
        <v>169</v>
      </c>
      <c r="E4" s="12" t="s">
        <v>170</v>
      </c>
    </row>
    <row r="5" spans="2:5" ht="15.75">
      <c r="B5" s="165" t="str">
        <f>'[1]inputPrYr'!B20</f>
        <v>Special Law &amp; Ambulance</v>
      </c>
      <c r="C5" s="166" t="str">
        <f>CONCATENATE("Actual for ",E1-2,"")</f>
        <v>Actual for 2011</v>
      </c>
      <c r="D5" s="166" t="str">
        <f>CONCATENATE("Estimate for ",E1-1,"")</f>
        <v>Estimate for 2012</v>
      </c>
      <c r="E5" s="167" t="str">
        <f>CONCATENATE("Year for ",E1,"")</f>
        <v>Year for 2013</v>
      </c>
    </row>
    <row r="6" spans="2:5" ht="15.75">
      <c r="B6" s="168" t="s">
        <v>171</v>
      </c>
      <c r="C6" s="169">
        <v>1344</v>
      </c>
      <c r="D6" s="170">
        <f>C34</f>
        <v>3705.720000000001</v>
      </c>
      <c r="E6" s="130">
        <f>D34</f>
        <v>6748.720000000001</v>
      </c>
    </row>
    <row r="7" spans="2:5" ht="15.75">
      <c r="B7" s="171" t="s">
        <v>172</v>
      </c>
      <c r="C7" s="37"/>
      <c r="D7" s="37"/>
      <c r="E7" s="36"/>
    </row>
    <row r="8" spans="2:5" ht="15.75">
      <c r="B8" s="20" t="s">
        <v>173</v>
      </c>
      <c r="C8" s="169">
        <v>17353</v>
      </c>
      <c r="D8" s="170">
        <f>IF('[1]inputPrYr'!H16&gt;0,'[1]inputPrYr'!G20,'[1]inputPrYr'!E20)</f>
        <v>16084</v>
      </c>
      <c r="E8" s="217" t="s">
        <v>22</v>
      </c>
    </row>
    <row r="9" spans="2:5" ht="15.75">
      <c r="B9" s="20" t="s">
        <v>174</v>
      </c>
      <c r="C9" s="169">
        <v>60</v>
      </c>
      <c r="D9" s="169"/>
      <c r="E9" s="174"/>
    </row>
    <row r="10" spans="2:5" ht="15.75">
      <c r="B10" s="20" t="s">
        <v>175</v>
      </c>
      <c r="C10" s="169">
        <v>1616</v>
      </c>
      <c r="D10" s="169">
        <v>2296</v>
      </c>
      <c r="E10" s="130">
        <f>'[1]mvalloc'!D9</f>
        <v>2164</v>
      </c>
    </row>
    <row r="11" spans="2:5" ht="15.75">
      <c r="B11" s="20" t="s">
        <v>176</v>
      </c>
      <c r="C11" s="169">
        <v>14.72</v>
      </c>
      <c r="D11" s="169">
        <v>24</v>
      </c>
      <c r="E11" s="130">
        <f>'[1]mvalloc'!E9</f>
        <v>20</v>
      </c>
    </row>
    <row r="12" spans="2:5" ht="15.75">
      <c r="B12" s="37" t="s">
        <v>177</v>
      </c>
      <c r="C12" s="169">
        <v>38</v>
      </c>
      <c r="D12" s="169">
        <v>39</v>
      </c>
      <c r="E12" s="130">
        <f>'[1]mvalloc'!F9</f>
        <v>31</v>
      </c>
    </row>
    <row r="13" spans="2:5" ht="15.75">
      <c r="B13" s="174" t="s">
        <v>53</v>
      </c>
      <c r="C13" s="169">
        <v>495</v>
      </c>
      <c r="D13" s="169"/>
      <c r="E13" s="174"/>
    </row>
    <row r="14" spans="2:5" ht="15.75">
      <c r="B14" s="194"/>
      <c r="C14" s="169"/>
      <c r="D14" s="169"/>
      <c r="E14" s="174"/>
    </row>
    <row r="15" spans="2:5" ht="15.75">
      <c r="B15" s="194"/>
      <c r="C15" s="169"/>
      <c r="D15" s="169"/>
      <c r="E15" s="174"/>
    </row>
    <row r="16" spans="2:5" ht="15.75">
      <c r="B16" s="194"/>
      <c r="C16" s="169"/>
      <c r="D16" s="169"/>
      <c r="E16" s="174"/>
    </row>
    <row r="17" spans="2:5" ht="15.75">
      <c r="B17" s="178" t="s">
        <v>192</v>
      </c>
      <c r="C17" s="169"/>
      <c r="D17" s="169"/>
      <c r="E17" s="174"/>
    </row>
    <row r="18" spans="2:5" ht="15.75">
      <c r="B18" s="37" t="s">
        <v>193</v>
      </c>
      <c r="C18" s="169">
        <v>120</v>
      </c>
      <c r="D18" s="169"/>
      <c r="E18" s="174"/>
    </row>
    <row r="19" spans="2:5" ht="15.75">
      <c r="B19" s="168" t="s">
        <v>194</v>
      </c>
      <c r="C19" s="180">
        <f>IF(C20*0.1&lt;C18,"Exceed 10% Rule","")</f>
      </c>
      <c r="D19" s="180">
        <f>IF(D20*0.1&lt;D18,"Exceed 10% Rule","")</f>
      </c>
      <c r="E19" s="181">
        <f>IF(E20*0.1+E40&lt;E18,"Exceed 10% Rule","")</f>
      </c>
    </row>
    <row r="20" spans="2:5" ht="15.75">
      <c r="B20" s="183" t="s">
        <v>195</v>
      </c>
      <c r="C20" s="253">
        <f>SUM(C8:C18)</f>
        <v>19696.72</v>
      </c>
      <c r="D20" s="253">
        <f>SUM(D8:D18)</f>
        <v>18443</v>
      </c>
      <c r="E20" s="254">
        <f>SUM(E8:E18)</f>
        <v>2215</v>
      </c>
    </row>
    <row r="21" spans="2:5" ht="15.75">
      <c r="B21" s="183" t="s">
        <v>196</v>
      </c>
      <c r="C21" s="170">
        <f>C6+C20</f>
        <v>21040.72</v>
      </c>
      <c r="D21" s="170">
        <f>D6+D20</f>
        <v>22148.72</v>
      </c>
      <c r="E21" s="130">
        <f>E6+E20</f>
        <v>8963.720000000001</v>
      </c>
    </row>
    <row r="22" spans="2:5" ht="15.75">
      <c r="B22" s="20" t="s">
        <v>199</v>
      </c>
      <c r="C22" s="212"/>
      <c r="D22" s="212"/>
      <c r="E22" s="128"/>
    </row>
    <row r="23" spans="2:5" ht="15.75">
      <c r="B23" s="194" t="s">
        <v>230</v>
      </c>
      <c r="C23" s="169">
        <v>4870</v>
      </c>
      <c r="D23" s="169">
        <v>5000</v>
      </c>
      <c r="E23" s="174">
        <v>2500</v>
      </c>
    </row>
    <row r="24" spans="2:10" ht="15.75">
      <c r="B24" s="194" t="s">
        <v>231</v>
      </c>
      <c r="C24" s="169">
        <v>2783</v>
      </c>
      <c r="D24" s="169">
        <v>2100</v>
      </c>
      <c r="E24" s="174">
        <v>2600</v>
      </c>
      <c r="G24" s="462" t="str">
        <f>CONCATENATE("Desired Carryover Into ",E1+1,"")</f>
        <v>Desired Carryover Into 2014</v>
      </c>
      <c r="H24" s="449"/>
      <c r="I24" s="449"/>
      <c r="J24" s="450"/>
    </row>
    <row r="25" spans="2:10" ht="15.75">
      <c r="B25" s="194" t="s">
        <v>232</v>
      </c>
      <c r="C25" s="169">
        <v>3277</v>
      </c>
      <c r="D25" s="169">
        <v>3300</v>
      </c>
      <c r="E25" s="174">
        <v>3500</v>
      </c>
      <c r="G25" s="256"/>
      <c r="H25" s="54"/>
      <c r="I25" s="257"/>
      <c r="J25" s="258"/>
    </row>
    <row r="26" spans="2:10" ht="15.75">
      <c r="B26" s="194" t="s">
        <v>233</v>
      </c>
      <c r="C26" s="169">
        <v>1200</v>
      </c>
      <c r="D26" s="169">
        <v>1000</v>
      </c>
      <c r="E26" s="174">
        <v>1000</v>
      </c>
      <c r="G26" s="259" t="s">
        <v>210</v>
      </c>
      <c r="H26" s="257"/>
      <c r="I26" s="257"/>
      <c r="J26" s="260">
        <v>0</v>
      </c>
    </row>
    <row r="27" spans="2:10" ht="15.75">
      <c r="B27" s="194" t="s">
        <v>234</v>
      </c>
      <c r="C27" s="169">
        <v>4000</v>
      </c>
      <c r="D27" s="169">
        <v>4000</v>
      </c>
      <c r="E27" s="174">
        <v>2000</v>
      </c>
      <c r="G27" s="256" t="s">
        <v>211</v>
      </c>
      <c r="H27" s="54"/>
      <c r="I27" s="54"/>
      <c r="J27" s="315">
        <f>IF(J26=0,"",ROUND((J26+E40-G39)/'[1]inputOth'!E7*1000,3)-G44)</f>
      </c>
    </row>
    <row r="28" spans="2:10" ht="15.75">
      <c r="B28" s="194"/>
      <c r="C28" s="169"/>
      <c r="D28" s="169"/>
      <c r="E28" s="174"/>
      <c r="G28" s="262" t="str">
        <f>CONCATENATE("",E1," Tot Exp/Non-Appr Must Be:")</f>
        <v>2013 Tot Exp/Non-Appr Must Be:</v>
      </c>
      <c r="H28" s="263"/>
      <c r="I28" s="264"/>
      <c r="J28" s="265">
        <f>IF(J26&gt;0,IF(E37&lt;E21,IF(J26=G39,E37,((J26-G39)*(1-D39))+E21),E37+(J26-G39)),0)</f>
        <v>0</v>
      </c>
    </row>
    <row r="29" spans="2:10" ht="15.75">
      <c r="B29" s="194"/>
      <c r="C29" s="169"/>
      <c r="D29" s="169"/>
      <c r="E29" s="174"/>
      <c r="G29" s="209" t="s">
        <v>212</v>
      </c>
      <c r="H29" s="266"/>
      <c r="I29" s="266"/>
      <c r="J29" s="211">
        <f>IF(J26&gt;0,J28-E37,0)</f>
        <v>0</v>
      </c>
    </row>
    <row r="30" spans="2:10" ht="15.75">
      <c r="B30" s="212" t="s">
        <v>26</v>
      </c>
      <c r="C30" s="169"/>
      <c r="D30" s="169"/>
      <c r="E30" s="189">
        <f>'[1]nhood'!E9</f>
      </c>
      <c r="J30" s="316"/>
    </row>
    <row r="31" spans="2:10" ht="15.75">
      <c r="B31" s="212" t="s">
        <v>193</v>
      </c>
      <c r="C31" s="169">
        <v>1205</v>
      </c>
      <c r="D31" s="169"/>
      <c r="E31" s="174"/>
      <c r="G31" s="462" t="str">
        <f>CONCATENATE("Projected Carryover Into ",E1+1,"")</f>
        <v>Projected Carryover Into 2014</v>
      </c>
      <c r="H31" s="464"/>
      <c r="I31" s="464"/>
      <c r="J31" s="468"/>
    </row>
    <row r="32" spans="2:10" ht="15.75">
      <c r="B32" s="212" t="s">
        <v>213</v>
      </c>
      <c r="C32" s="180">
        <f>IF(C33*0.1&lt;C31,"Exceed 10% Rule","")</f>
      </c>
      <c r="D32" s="180">
        <f>IF(D33*0.1&lt;D31,"Exceed 10% Rule","")</f>
      </c>
      <c r="E32" s="181">
        <f>IF(E33*0.1&lt;E31,"Exceed 10% Rule","")</f>
      </c>
      <c r="G32" s="256"/>
      <c r="H32" s="257"/>
      <c r="I32" s="257"/>
      <c r="J32" s="317"/>
    </row>
    <row r="33" spans="2:10" ht="15.75">
      <c r="B33" s="183" t="s">
        <v>214</v>
      </c>
      <c r="C33" s="253">
        <f>SUM(C23:C31)</f>
        <v>17335</v>
      </c>
      <c r="D33" s="253">
        <f>SUM(D23:D31)</f>
        <v>15400</v>
      </c>
      <c r="E33" s="254">
        <f>SUM(E23:E31)</f>
        <v>11600</v>
      </c>
      <c r="G33" s="318">
        <f>D34</f>
        <v>6748.720000000001</v>
      </c>
      <c r="H33" s="235" t="str">
        <f>CONCATENATE("",E1-1," Ending Cash Balance (est.)")</f>
        <v>2012 Ending Cash Balance (est.)</v>
      </c>
      <c r="I33" s="319"/>
      <c r="J33" s="317"/>
    </row>
    <row r="34" spans="2:10" ht="15.75">
      <c r="B34" s="20" t="s">
        <v>215</v>
      </c>
      <c r="C34" s="170">
        <f>C21-C33</f>
        <v>3705.720000000001</v>
      </c>
      <c r="D34" s="170">
        <f>D21-D33</f>
        <v>6748.720000000001</v>
      </c>
      <c r="E34" s="217" t="s">
        <v>22</v>
      </c>
      <c r="G34" s="318">
        <f>E20</f>
        <v>2215</v>
      </c>
      <c r="H34" s="257" t="str">
        <f>CONCATENATE("",E1," Non-AV Receipts (est.)")</f>
        <v>2013 Non-AV Receipts (est.)</v>
      </c>
      <c r="I34" s="319"/>
      <c r="J34" s="317"/>
    </row>
    <row r="35" spans="2:11" ht="15.75">
      <c r="B35" s="4" t="str">
        <f>CONCATENATE("",$E$1-2,"/",$E$1-1," Budget Authority Amount:")</f>
        <v>2011/2012 Budget Authority Amount:</v>
      </c>
      <c r="C35" s="145">
        <f>'[1]inputOth'!B62</f>
        <v>19900</v>
      </c>
      <c r="D35" s="220">
        <f>'[1]inputPrYr'!D20</f>
        <v>19900</v>
      </c>
      <c r="E35" s="217" t="s">
        <v>22</v>
      </c>
      <c r="F35" s="221"/>
      <c r="G35" s="320">
        <f>IF(E39&gt;0,E38,E40)</f>
        <v>2636.279999999999</v>
      </c>
      <c r="H35" s="257" t="str">
        <f>CONCATENATE("",E1," Ad Valorem Tax (est.)")</f>
        <v>2013 Ad Valorem Tax (est.)</v>
      </c>
      <c r="I35" s="319"/>
      <c r="J35" s="321"/>
      <c r="K35" s="276" t="str">
        <f>IF(G35=E40,"","Note: Does not include Delinquent Taxes")</f>
        <v>Note: Does not include Delinquent Taxes</v>
      </c>
    </row>
    <row r="36" spans="2:10" ht="15.75">
      <c r="B36" s="4"/>
      <c r="C36" s="451" t="s">
        <v>216</v>
      </c>
      <c r="D36" s="452"/>
      <c r="E36" s="174"/>
      <c r="F36" s="302">
        <f>IF(E33/0.95-E33&lt;E36,"Exceeds 5%","")</f>
      </c>
      <c r="G36" s="318">
        <f>SUM(G33:G35)</f>
        <v>11600</v>
      </c>
      <c r="H36" s="257" t="str">
        <f>CONCATENATE("Total ",E1," Resources Available")</f>
        <v>Total 2013 Resources Available</v>
      </c>
      <c r="I36" s="319"/>
      <c r="J36" s="317"/>
    </row>
    <row r="37" spans="2:10" ht="15.75">
      <c r="B37" s="224" t="str">
        <f>CONCATENATE(C95,"     ",D95)</f>
        <v>     </v>
      </c>
      <c r="C37" s="453" t="s">
        <v>217</v>
      </c>
      <c r="D37" s="454"/>
      <c r="E37" s="130">
        <f>SUM(E33+E36)</f>
        <v>11600</v>
      </c>
      <c r="G37" s="322"/>
      <c r="H37" s="257"/>
      <c r="I37" s="257"/>
      <c r="J37" s="317"/>
    </row>
    <row r="38" spans="2:10" ht="15.75">
      <c r="B38" s="224" t="str">
        <f>CONCATENATE(C96,"     ",D96)</f>
        <v>     </v>
      </c>
      <c r="C38" s="230"/>
      <c r="D38" s="65" t="s">
        <v>218</v>
      </c>
      <c r="E38" s="130">
        <f>IF(E37-E21&gt;0,E37-E21,0)</f>
        <v>2636.279999999999</v>
      </c>
      <c r="G38" s="320">
        <f>ROUND(C33*0.05+C33,0)</f>
        <v>18202</v>
      </c>
      <c r="H38" s="257" t="str">
        <f>CONCATENATE("Less ",E1-2," Expenditures + 5%")</f>
        <v>Less 2011 Expenditures + 5%</v>
      </c>
      <c r="I38" s="319"/>
      <c r="J38" s="317"/>
    </row>
    <row r="39" spans="2:10" ht="15.75">
      <c r="B39" s="224"/>
      <c r="C39" s="230" t="s">
        <v>219</v>
      </c>
      <c r="D39" s="231">
        <f>'[1]inputOth'!$E$46</f>
        <v>0.02</v>
      </c>
      <c r="E39" s="130">
        <f>ROUND(IF(D39&gt;0,(E38*D39),0),0)</f>
        <v>53</v>
      </c>
      <c r="G39" s="323">
        <f>G36-G38</f>
        <v>-6602</v>
      </c>
      <c r="H39" s="324" t="str">
        <f>CONCATENATE("Projected ",E1+1," carryover (est.)")</f>
        <v>Projected 2014 carryover (est.)</v>
      </c>
      <c r="I39" s="325"/>
      <c r="J39" s="326"/>
    </row>
    <row r="40" spans="2:10" ht="16.5" thickBot="1">
      <c r="B40" s="1"/>
      <c r="C40" s="444" t="str">
        <f>CONCATENATE("Amount of  ",$E$1-1," Ad Valorem Tax")</f>
        <v>Amount of  2012 Ad Valorem Tax</v>
      </c>
      <c r="D40" s="455"/>
      <c r="E40" s="281">
        <f>SUM(E38:E39)</f>
        <v>2689.279999999999</v>
      </c>
      <c r="G40" s="316"/>
      <c r="H40" s="316"/>
      <c r="I40" s="316"/>
      <c r="J40" s="316"/>
    </row>
    <row r="41" spans="2:10" ht="16.5" thickTop="1">
      <c r="B41" s="1"/>
      <c r="C41" s="465"/>
      <c r="D41" s="465"/>
      <c r="E41" s="1"/>
      <c r="G41" s="456" t="s">
        <v>220</v>
      </c>
      <c r="H41" s="457"/>
      <c r="I41" s="457"/>
      <c r="J41" s="458"/>
    </row>
    <row r="42" spans="2:10" ht="15.75">
      <c r="B42" s="1"/>
      <c r="C42" s="1"/>
      <c r="D42" s="1"/>
      <c r="E42" s="1"/>
      <c r="G42" s="234"/>
      <c r="H42" s="235"/>
      <c r="I42" s="236"/>
      <c r="J42" s="237"/>
    </row>
    <row r="43" spans="2:10" ht="15.75">
      <c r="B43" s="13"/>
      <c r="C43" s="64"/>
      <c r="D43" s="64"/>
      <c r="E43" s="64"/>
      <c r="G43" s="238">
        <f>'[1]summ'!H18</f>
        <v>0.454</v>
      </c>
      <c r="H43" s="235" t="str">
        <f>CONCATENATE("",E1," Fund Mill Rate")</f>
        <v>2013 Fund Mill Rate</v>
      </c>
      <c r="I43" s="236"/>
      <c r="J43" s="237"/>
    </row>
    <row r="44" spans="2:10" ht="15.75">
      <c r="B44" s="13" t="s">
        <v>167</v>
      </c>
      <c r="C44" s="163" t="str">
        <f aca="true" t="shared" si="0" ref="C44:E45">C4</f>
        <v>Prior Year </v>
      </c>
      <c r="D44" s="164" t="str">
        <f t="shared" si="0"/>
        <v>Current Year </v>
      </c>
      <c r="E44" s="12" t="str">
        <f t="shared" si="0"/>
        <v>Proposed Budget </v>
      </c>
      <c r="G44" s="239">
        <f>'[1]summ'!E18</f>
        <v>2.635</v>
      </c>
      <c r="H44" s="235" t="str">
        <f>CONCATENATE("",E1-1," Fund Mill Rate")</f>
        <v>2012 Fund Mill Rate</v>
      </c>
      <c r="I44" s="236"/>
      <c r="J44" s="237"/>
    </row>
    <row r="45" spans="2:10" ht="15.75">
      <c r="B45" s="247" t="str">
        <f>('[1]inputPrYr'!B21)</f>
        <v>Employee Benefits</v>
      </c>
      <c r="C45" s="166" t="str">
        <f t="shared" si="0"/>
        <v>Actual for 2011</v>
      </c>
      <c r="D45" s="166" t="str">
        <f t="shared" si="0"/>
        <v>Estimate for 2012</v>
      </c>
      <c r="E45" s="111" t="str">
        <f t="shared" si="0"/>
        <v>Year for 2013</v>
      </c>
      <c r="G45" s="240">
        <f>'[1]summ'!H42</f>
        <v>43.806000000000004</v>
      </c>
      <c r="H45" s="235" t="str">
        <f>CONCATENATE("Total ",E1," Mill Rate")</f>
        <v>Total 2013 Mill Rate</v>
      </c>
      <c r="I45" s="236"/>
      <c r="J45" s="237"/>
    </row>
    <row r="46" spans="2:10" ht="15.75">
      <c r="B46" s="168" t="s">
        <v>171</v>
      </c>
      <c r="C46" s="169">
        <v>2173</v>
      </c>
      <c r="D46" s="170">
        <f>C74</f>
        <v>2951.459999999999</v>
      </c>
      <c r="E46" s="130">
        <f>D74</f>
        <v>5421.459999999992</v>
      </c>
      <c r="G46" s="239">
        <f>'[1]summ'!E42</f>
        <v>42.510999999999996</v>
      </c>
      <c r="H46" s="241" t="str">
        <f>CONCATENATE("Total ",E1-1," Mill Rate")</f>
        <v>Total 2012 Mill Rate</v>
      </c>
      <c r="I46" s="242"/>
      <c r="J46" s="243"/>
    </row>
    <row r="47" spans="2:5" ht="15.75">
      <c r="B47" s="168" t="s">
        <v>172</v>
      </c>
      <c r="C47" s="37"/>
      <c r="D47" s="37"/>
      <c r="E47" s="36"/>
    </row>
    <row r="48" spans="2:5" ht="15.75">
      <c r="B48" s="20" t="s">
        <v>173</v>
      </c>
      <c r="C48" s="169">
        <v>53639</v>
      </c>
      <c r="D48" s="170">
        <f>IF('[1]inputPrYr'!H16&gt;0,'[1]inputPrYr'!G21,'[1]inputPrYr'!E21)</f>
        <v>55405</v>
      </c>
      <c r="E48" s="217" t="s">
        <v>22</v>
      </c>
    </row>
    <row r="49" spans="2:5" ht="15.75">
      <c r="B49" s="20" t="s">
        <v>174</v>
      </c>
      <c r="C49" s="169">
        <v>213</v>
      </c>
      <c r="D49" s="169"/>
      <c r="E49" s="174"/>
    </row>
    <row r="50" spans="2:5" ht="15.75">
      <c r="B50" s="20" t="s">
        <v>175</v>
      </c>
      <c r="C50" s="169">
        <v>6006</v>
      </c>
      <c r="D50" s="169">
        <v>7098</v>
      </c>
      <c r="E50" s="130">
        <f>'[1]mvalloc'!D10</f>
        <v>7453</v>
      </c>
    </row>
    <row r="51" spans="2:5" ht="15.75">
      <c r="B51" s="20" t="s">
        <v>176</v>
      </c>
      <c r="C51" s="169">
        <v>54</v>
      </c>
      <c r="D51" s="169">
        <v>74</v>
      </c>
      <c r="E51" s="130">
        <f>'[1]mvalloc'!E10</f>
        <v>69</v>
      </c>
    </row>
    <row r="52" spans="2:5" ht="15.75">
      <c r="B52" s="37" t="s">
        <v>177</v>
      </c>
      <c r="C52" s="169">
        <v>113</v>
      </c>
      <c r="D52" s="169">
        <v>122</v>
      </c>
      <c r="E52" s="130">
        <f>'[1]mvalloc'!F10</f>
        <v>107</v>
      </c>
    </row>
    <row r="53" spans="2:5" ht="15.75">
      <c r="B53" s="174" t="s">
        <v>53</v>
      </c>
      <c r="C53" s="169">
        <v>1529</v>
      </c>
      <c r="D53" s="169"/>
      <c r="E53" s="174"/>
    </row>
    <row r="54" spans="2:5" ht="15.75">
      <c r="B54" s="194"/>
      <c r="C54" s="169"/>
      <c r="D54" s="169"/>
      <c r="E54" s="174"/>
    </row>
    <row r="55" spans="2:5" ht="15.75">
      <c r="B55" s="194"/>
      <c r="C55" s="169"/>
      <c r="D55" s="169"/>
      <c r="E55" s="174"/>
    </row>
    <row r="56" spans="2:5" ht="15.75">
      <c r="B56" s="194"/>
      <c r="C56" s="169"/>
      <c r="D56" s="169"/>
      <c r="E56" s="174"/>
    </row>
    <row r="57" spans="2:5" ht="15.75">
      <c r="B57" s="178" t="s">
        <v>192</v>
      </c>
      <c r="C57" s="169"/>
      <c r="D57" s="169"/>
      <c r="E57" s="174"/>
    </row>
    <row r="58" spans="2:5" ht="15.75">
      <c r="B58" s="37" t="s">
        <v>193</v>
      </c>
      <c r="C58" s="169"/>
      <c r="D58" s="169"/>
      <c r="E58" s="174"/>
    </row>
    <row r="59" spans="2:5" ht="15.75">
      <c r="B59" s="168" t="s">
        <v>194</v>
      </c>
      <c r="C59" s="180">
        <f>IF(C60*0.1&lt;C58,"Exceed 10% Rule","")</f>
      </c>
      <c r="D59" s="180">
        <f>IF(D60*0.1&lt;D58,"Exceed 10% Rule","")</f>
      </c>
      <c r="E59" s="181">
        <f>IF(E60*0.1+E80&lt;E58,"Exceed 10% Rule","")</f>
      </c>
    </row>
    <row r="60" spans="2:5" ht="15.75">
      <c r="B60" s="183" t="s">
        <v>195</v>
      </c>
      <c r="C60" s="253">
        <f>SUM(C48:C58)</f>
        <v>61554</v>
      </c>
      <c r="D60" s="253">
        <f>SUM(D48:D58)</f>
        <v>62699</v>
      </c>
      <c r="E60" s="254">
        <f>SUM(E48:E58)</f>
        <v>7629</v>
      </c>
    </row>
    <row r="61" spans="2:5" ht="15.75">
      <c r="B61" s="183" t="s">
        <v>196</v>
      </c>
      <c r="C61" s="253">
        <f>C46+C60</f>
        <v>63727</v>
      </c>
      <c r="D61" s="253">
        <f>D46+D60</f>
        <v>65650.45999999999</v>
      </c>
      <c r="E61" s="254">
        <f>E46+E60</f>
        <v>13050.459999999992</v>
      </c>
    </row>
    <row r="62" spans="2:5" ht="15.75">
      <c r="B62" s="20" t="s">
        <v>199</v>
      </c>
      <c r="C62" s="212"/>
      <c r="D62" s="212"/>
      <c r="E62" s="128"/>
    </row>
    <row r="63" spans="2:5" ht="15.75">
      <c r="B63" s="194" t="s">
        <v>235</v>
      </c>
      <c r="C63" s="169">
        <v>16776</v>
      </c>
      <c r="D63" s="169">
        <v>17000</v>
      </c>
      <c r="E63" s="174">
        <v>16500</v>
      </c>
    </row>
    <row r="64" spans="2:10" ht="15.75">
      <c r="B64" s="194" t="s">
        <v>236</v>
      </c>
      <c r="C64" s="169">
        <v>11962</v>
      </c>
      <c r="D64" s="169">
        <v>9750</v>
      </c>
      <c r="E64" s="174">
        <v>10100</v>
      </c>
      <c r="G64" s="462" t="str">
        <f>CONCATENATE("Desired Carryover Into ",E1+1,"")</f>
        <v>Desired Carryover Into 2014</v>
      </c>
      <c r="H64" s="449"/>
      <c r="I64" s="449"/>
      <c r="J64" s="450"/>
    </row>
    <row r="65" spans="2:10" ht="15.75">
      <c r="B65" s="194" t="s">
        <v>237</v>
      </c>
      <c r="C65" s="169">
        <v>23154</v>
      </c>
      <c r="D65" s="169">
        <v>23650</v>
      </c>
      <c r="E65" s="174">
        <v>32000</v>
      </c>
      <c r="G65" s="256"/>
      <c r="H65" s="54"/>
      <c r="I65" s="257"/>
      <c r="J65" s="258"/>
    </row>
    <row r="66" spans="2:10" ht="15.75">
      <c r="B66" s="194" t="s">
        <v>238</v>
      </c>
      <c r="C66" s="169">
        <v>7057</v>
      </c>
      <c r="D66" s="169">
        <v>6854</v>
      </c>
      <c r="E66" s="174">
        <v>7000</v>
      </c>
      <c r="G66" s="259" t="s">
        <v>210</v>
      </c>
      <c r="H66" s="257"/>
      <c r="I66" s="257"/>
      <c r="J66" s="260">
        <v>0</v>
      </c>
    </row>
    <row r="67" spans="2:10" ht="15.75">
      <c r="B67" s="194" t="s">
        <v>239</v>
      </c>
      <c r="C67" s="169">
        <v>1826.54</v>
      </c>
      <c r="D67" s="169">
        <v>2975</v>
      </c>
      <c r="E67" s="174">
        <v>3000</v>
      </c>
      <c r="G67" s="256" t="s">
        <v>211</v>
      </c>
      <c r="H67" s="54"/>
      <c r="I67" s="54"/>
      <c r="J67" s="315">
        <f>IF(J66=0,"",ROUND((J66+E80-G79)/'[1]inputOth'!E7*1000,3)-G84)</f>
      </c>
    </row>
    <row r="68" spans="2:10" ht="15.75">
      <c r="B68" s="194"/>
      <c r="C68" s="169"/>
      <c r="D68" s="169"/>
      <c r="E68" s="174"/>
      <c r="G68" s="262" t="str">
        <f>CONCATENATE("",E1," Tot Exp/Non-Appr Must Be:")</f>
        <v>2013 Tot Exp/Non-Appr Must Be:</v>
      </c>
      <c r="H68" s="263"/>
      <c r="I68" s="264"/>
      <c r="J68" s="265">
        <f>IF(J66&gt;0,IF(E77&lt;E61,IF(J66=G79,E77,((J66-G79)*(1-D79))+E61),E77+(J66-G79)),0)</f>
        <v>0</v>
      </c>
    </row>
    <row r="69" spans="2:10" ht="15.75">
      <c r="B69" s="194"/>
      <c r="C69" s="169"/>
      <c r="D69" s="169"/>
      <c r="E69" s="174"/>
      <c r="G69" s="209" t="s">
        <v>212</v>
      </c>
      <c r="H69" s="266"/>
      <c r="I69" s="266"/>
      <c r="J69" s="211">
        <f>IF(J66&gt;0,J68-E77,0)</f>
        <v>0</v>
      </c>
    </row>
    <row r="70" spans="2:10" ht="15.75">
      <c r="B70" s="212" t="s">
        <v>26</v>
      </c>
      <c r="C70" s="169"/>
      <c r="D70" s="169"/>
      <c r="E70" s="189">
        <f>'[1]nhood'!E10</f>
      </c>
      <c r="J70" s="316"/>
    </row>
    <row r="71" spans="2:10" ht="15.75">
      <c r="B71" s="212" t="s">
        <v>193</v>
      </c>
      <c r="C71" s="169"/>
      <c r="D71" s="169"/>
      <c r="E71" s="174"/>
      <c r="G71" s="462" t="str">
        <f>CONCATENATE("Projected Carryover Into ",E1+1,"")</f>
        <v>Projected Carryover Into 2014</v>
      </c>
      <c r="H71" s="469"/>
      <c r="I71" s="469"/>
      <c r="J71" s="468"/>
    </row>
    <row r="72" spans="2:10" ht="15.75">
      <c r="B72" s="212" t="s">
        <v>213</v>
      </c>
      <c r="C72" s="180">
        <f>IF(C73*0.1&lt;C71,"Exceed 10% Rule","")</f>
      </c>
      <c r="D72" s="180">
        <f>IF(D73*0.1&lt;D71,"Exceed 10% Rule","")</f>
      </c>
      <c r="E72" s="181">
        <f>IF(E73*0.1&lt;E71,"Exceed 10% Rule","")</f>
      </c>
      <c r="G72" s="327"/>
      <c r="H72" s="54"/>
      <c r="I72" s="54"/>
      <c r="J72" s="328"/>
    </row>
    <row r="73" spans="2:10" ht="15.75">
      <c r="B73" s="183" t="s">
        <v>214</v>
      </c>
      <c r="C73" s="253">
        <f>SUM(C63:C71)</f>
        <v>60775.54</v>
      </c>
      <c r="D73" s="253">
        <f>SUM(D63:D71)</f>
        <v>60229</v>
      </c>
      <c r="E73" s="254">
        <f>SUM(E63:E71)</f>
        <v>68600</v>
      </c>
      <c r="G73" s="318">
        <f>D74</f>
        <v>5421.459999999992</v>
      </c>
      <c r="H73" s="235" t="str">
        <f>CONCATENATE("",E1-1," Ending Cash Balance (est.)")</f>
        <v>2012 Ending Cash Balance (est.)</v>
      </c>
      <c r="I73" s="319"/>
      <c r="J73" s="328"/>
    </row>
    <row r="74" spans="2:10" ht="15.75">
      <c r="B74" s="20" t="s">
        <v>215</v>
      </c>
      <c r="C74" s="170">
        <f>C61-C73</f>
        <v>2951.459999999999</v>
      </c>
      <c r="D74" s="170">
        <f>D61-D73</f>
        <v>5421.459999999992</v>
      </c>
      <c r="E74" s="217" t="s">
        <v>22</v>
      </c>
      <c r="G74" s="318">
        <f>E60</f>
        <v>7629</v>
      </c>
      <c r="H74" s="257" t="str">
        <f>CONCATENATE("",E1," Non-AV Receipts (est.)")</f>
        <v>2013 Non-AV Receipts (est.)</v>
      </c>
      <c r="I74" s="319"/>
      <c r="J74" s="328"/>
    </row>
    <row r="75" spans="2:11" ht="15.75">
      <c r="B75" s="4" t="str">
        <f>CONCATENATE("",$E$1-2,"/",$E$1-1," Budget Authority Amount:")</f>
        <v>2011/2012 Budget Authority Amount:</v>
      </c>
      <c r="C75" s="145">
        <f>'[1]inputOth'!B63</f>
        <v>61213</v>
      </c>
      <c r="D75" s="220">
        <f>'[1]inputPrYr'!D21</f>
        <v>63925</v>
      </c>
      <c r="E75" s="217" t="s">
        <v>22</v>
      </c>
      <c r="F75" s="221"/>
      <c r="G75" s="320">
        <f>IF(D79&gt;0,E78,E80)</f>
        <v>55549.54000000001</v>
      </c>
      <c r="H75" s="257" t="str">
        <f>CONCATENATE("",E1," Ad Valorem Tax (est.)")</f>
        <v>2013 Ad Valorem Tax (est.)</v>
      </c>
      <c r="I75" s="319"/>
      <c r="J75" s="328"/>
      <c r="K75" s="276" t="str">
        <f>IF(G75=E80,"","Note: Does not include Delinquent Taxes")</f>
        <v>Note: Does not include Delinquent Taxes</v>
      </c>
    </row>
    <row r="76" spans="2:10" ht="15.75">
      <c r="B76" s="4"/>
      <c r="C76" s="451" t="s">
        <v>216</v>
      </c>
      <c r="D76" s="452"/>
      <c r="E76" s="174"/>
      <c r="F76" s="302">
        <f>IF(E73/0.95-E73&lt;E76,"Exceeds 5%","")</f>
      </c>
      <c r="G76" s="329">
        <f>SUM(G73:G75)</f>
        <v>68600</v>
      </c>
      <c r="H76" s="257" t="str">
        <f>CONCATENATE("Total ",E1," Resources Available")</f>
        <v>Total 2013 Resources Available</v>
      </c>
      <c r="I76" s="330"/>
      <c r="J76" s="328"/>
    </row>
    <row r="77" spans="2:10" ht="15.75">
      <c r="B77" s="224" t="str">
        <f>CONCATENATE(C97,"     ",D97)</f>
        <v>     </v>
      </c>
      <c r="C77" s="453" t="s">
        <v>217</v>
      </c>
      <c r="D77" s="454"/>
      <c r="E77" s="130">
        <f>E73+E76</f>
        <v>68600</v>
      </c>
      <c r="G77" s="331"/>
      <c r="H77" s="332"/>
      <c r="I77" s="54"/>
      <c r="J77" s="328"/>
    </row>
    <row r="78" spans="2:10" ht="15.75">
      <c r="B78" s="224" t="str">
        <f>CONCATENATE(C98,"     ",D98)</f>
        <v>     </v>
      </c>
      <c r="C78" s="225"/>
      <c r="D78" s="65" t="s">
        <v>218</v>
      </c>
      <c r="E78" s="130">
        <f>IF(E77-E61&gt;0,E77-E61,0)</f>
        <v>55549.54000000001</v>
      </c>
      <c r="G78" s="333">
        <f>ROUND(C73*0.05+C73,0)</f>
        <v>63814</v>
      </c>
      <c r="H78" s="332" t="str">
        <f>CONCATENATE("Less ",E1-2," Expenditures + 5%")</f>
        <v>Less 2011 Expenditures + 5%</v>
      </c>
      <c r="I78" s="330"/>
      <c r="J78" s="328"/>
    </row>
    <row r="79" spans="2:10" ht="15.75">
      <c r="B79" s="4"/>
      <c r="C79" s="230" t="s">
        <v>219</v>
      </c>
      <c r="D79" s="231">
        <f>'[1]inputOth'!E46</f>
        <v>0.02</v>
      </c>
      <c r="E79" s="130">
        <f>ROUND(IF(D79&gt;0,(E78*D79),0),0)</f>
        <v>1111</v>
      </c>
      <c r="G79" s="334">
        <f>G76-G78</f>
        <v>4786</v>
      </c>
      <c r="H79" s="335" t="str">
        <f>CONCATENATE("Projected ",E1+1," carryover (est.)")</f>
        <v>Projected 2014 carryover (est.)</v>
      </c>
      <c r="I79" s="336"/>
      <c r="J79" s="326"/>
    </row>
    <row r="80" spans="2:9" ht="16.5" thickBot="1">
      <c r="B80" s="65"/>
      <c r="C80" s="444" t="str">
        <f>CONCATENATE("Amount of  ",$E$1-1," Ad Valorem Tax")</f>
        <v>Amount of  2012 Ad Valorem Tax</v>
      </c>
      <c r="D80" s="455"/>
      <c r="E80" s="281">
        <f>E78+E79</f>
        <v>56660.54000000001</v>
      </c>
      <c r="G80" s="316"/>
      <c r="H80" s="316"/>
      <c r="I80" s="316"/>
    </row>
    <row r="81" spans="2:10" ht="16.5" thickTop="1">
      <c r="B81" s="65"/>
      <c r="C81" s="465"/>
      <c r="D81" s="465"/>
      <c r="E81" s="65"/>
      <c r="G81" s="456" t="s">
        <v>220</v>
      </c>
      <c r="H81" s="457"/>
      <c r="I81" s="457"/>
      <c r="J81" s="458"/>
    </row>
    <row r="82" spans="2:10" ht="15.75">
      <c r="B82" s="65"/>
      <c r="C82" s="337"/>
      <c r="D82" s="65"/>
      <c r="E82" s="65"/>
      <c r="G82" s="234"/>
      <c r="H82" s="235"/>
      <c r="I82" s="236"/>
      <c r="J82" s="237"/>
    </row>
    <row r="83" spans="2:10" ht="15.75">
      <c r="B83" s="4" t="s">
        <v>197</v>
      </c>
      <c r="C83" s="338">
        <v>9</v>
      </c>
      <c r="D83" s="1"/>
      <c r="E83" s="1"/>
      <c r="G83" s="238">
        <f>'[1]summ'!H19</f>
        <v>9.569</v>
      </c>
      <c r="H83" s="235" t="str">
        <f>CONCATENATE("",E1," Fund Mill Rate")</f>
        <v>2013 Fund Mill Rate</v>
      </c>
      <c r="I83" s="236"/>
      <c r="J83" s="237"/>
    </row>
    <row r="84" spans="2:10" ht="15.75">
      <c r="B84" s="313"/>
      <c r="G84" s="239">
        <f>'[1]summ'!E19</f>
        <v>9.078</v>
      </c>
      <c r="H84" s="235" t="str">
        <f>CONCATENATE("",E1-1," Fund Mill Rate")</f>
        <v>2012 Fund Mill Rate</v>
      </c>
      <c r="I84" s="236"/>
      <c r="J84" s="237"/>
    </row>
    <row r="85" spans="2:10" ht="15.75">
      <c r="B85" s="71"/>
      <c r="G85" s="240">
        <f>'[1]summ'!H42</f>
        <v>43.806000000000004</v>
      </c>
      <c r="H85" s="235" t="str">
        <f>CONCATENATE("Total ",E1," Mill Rate")</f>
        <v>Total 2013 Mill Rate</v>
      </c>
      <c r="I85" s="236"/>
      <c r="J85" s="237"/>
    </row>
    <row r="86" spans="7:10" ht="15.75">
      <c r="G86" s="239">
        <f>'[1]summ'!E42</f>
        <v>42.510999999999996</v>
      </c>
      <c r="H86" s="241" t="str">
        <f>CONCATENATE("Total ",E1-1," Mill Rate")</f>
        <v>Total 2012 Mill Rate</v>
      </c>
      <c r="I86" s="242"/>
      <c r="J86" s="243"/>
    </row>
    <row r="95" spans="3:4" ht="15.75" hidden="1">
      <c r="C95" s="339">
        <f>IF(C33&gt;C35,"See Tab A","")</f>
      </c>
      <c r="D95" s="339">
        <f>IF(D33&gt;D35,"See Tab C","")</f>
      </c>
    </row>
    <row r="96" spans="3:4" ht="15.75" hidden="1">
      <c r="C96" s="339">
        <f>IF(C34&lt;0,"See Tab B","")</f>
      </c>
      <c r="D96" s="339">
        <f>IF(D34&lt;0,"See Tab D","")</f>
      </c>
    </row>
    <row r="97" spans="3:4" ht="15.75" hidden="1">
      <c r="C97" s="339">
        <f>IF(C73&gt;C75,"See Tab A","")</f>
      </c>
      <c r="D97" s="339">
        <f>IF(D73&gt;D75,"See Tab C","")</f>
      </c>
    </row>
    <row r="98" spans="3:4" ht="15.75" hidden="1">
      <c r="C98" s="339">
        <f>IF(C74&lt;0,"See Tab B","")</f>
      </c>
      <c r="D98" s="339">
        <f>IF(D74&lt;0,"See Tab D","")</f>
      </c>
    </row>
  </sheetData>
  <sheetProtection sheet="1"/>
  <mergeCells count="14">
    <mergeCell ref="G71:J71"/>
    <mergeCell ref="C76:D76"/>
    <mergeCell ref="C77:D77"/>
    <mergeCell ref="C80:D80"/>
    <mergeCell ref="C81:D81"/>
    <mergeCell ref="G81:J81"/>
    <mergeCell ref="G64:J64"/>
    <mergeCell ref="G24:J24"/>
    <mergeCell ref="G31:J31"/>
    <mergeCell ref="C36:D36"/>
    <mergeCell ref="C37:D37"/>
    <mergeCell ref="C40:D40"/>
    <mergeCell ref="C41:D41"/>
    <mergeCell ref="G41:J41"/>
  </mergeCells>
  <conditionalFormatting sqref="E71">
    <cfRule type="cellIs" priority="20" dxfId="108" operator="greaterThan" stopIfTrue="1">
      <formula>$E$73*0.1</formula>
    </cfRule>
  </conditionalFormatting>
  <conditionalFormatting sqref="E76">
    <cfRule type="cellIs" priority="19" dxfId="108" operator="greaterThan" stopIfTrue="1">
      <formula>$E$73/0.95-$E$73</formula>
    </cfRule>
  </conditionalFormatting>
  <conditionalFormatting sqref="E31">
    <cfRule type="cellIs" priority="18" dxfId="108" operator="greaterThan" stopIfTrue="1">
      <formula>$E$33*0.1</formula>
    </cfRule>
  </conditionalFormatting>
  <conditionalFormatting sqref="D33">
    <cfRule type="cellIs" priority="17" dxfId="2" operator="greaterThan" stopIfTrue="1">
      <formula>$D$35</formula>
    </cfRule>
  </conditionalFormatting>
  <conditionalFormatting sqref="C33">
    <cfRule type="cellIs" priority="16" dxfId="2" operator="greaterThan" stopIfTrue="1">
      <formula>$C$35</formula>
    </cfRule>
  </conditionalFormatting>
  <conditionalFormatting sqref="C34 C74">
    <cfRule type="cellIs" priority="15" dxfId="2" operator="lessThan" stopIfTrue="1">
      <formula>0</formula>
    </cfRule>
  </conditionalFormatting>
  <conditionalFormatting sqref="D73">
    <cfRule type="cellIs" priority="14" dxfId="2" operator="greaterThan" stopIfTrue="1">
      <formula>$D$75</formula>
    </cfRule>
  </conditionalFormatting>
  <conditionalFormatting sqref="C73">
    <cfRule type="cellIs" priority="13" dxfId="2" operator="greaterThan" stopIfTrue="1">
      <formula>$C$75</formula>
    </cfRule>
  </conditionalFormatting>
  <conditionalFormatting sqref="C31">
    <cfRule type="cellIs" priority="12" dxfId="2" operator="greaterThan" stopIfTrue="1">
      <formula>$C$33*0.1</formula>
    </cfRule>
  </conditionalFormatting>
  <conditionalFormatting sqref="D31">
    <cfRule type="cellIs" priority="11" dxfId="2" operator="greaterThan" stopIfTrue="1">
      <formula>$D$33*0.1</formula>
    </cfRule>
  </conditionalFormatting>
  <conditionalFormatting sqref="C71">
    <cfRule type="cellIs" priority="10" dxfId="2" operator="greaterThan" stopIfTrue="1">
      <formula>$C$73*0.1</formula>
    </cfRule>
  </conditionalFormatting>
  <conditionalFormatting sqref="D71">
    <cfRule type="cellIs" priority="9" dxfId="2" operator="greaterThan" stopIfTrue="1">
      <formula>$D$73*0.1</formula>
    </cfRule>
  </conditionalFormatting>
  <conditionalFormatting sqref="D18">
    <cfRule type="cellIs" priority="8" dxfId="2" operator="greaterThan" stopIfTrue="1">
      <formula>$D$20*0.1</formula>
    </cfRule>
  </conditionalFormatting>
  <conditionalFormatting sqref="C18">
    <cfRule type="cellIs" priority="7" dxfId="2" operator="greaterThan" stopIfTrue="1">
      <formula>$C$20*0.1</formula>
    </cfRule>
  </conditionalFormatting>
  <conditionalFormatting sqref="D58">
    <cfRule type="cellIs" priority="6" dxfId="2" operator="greaterThan" stopIfTrue="1">
      <formula>$D$60*0.1</formula>
    </cfRule>
  </conditionalFormatting>
  <conditionalFormatting sqref="C58">
    <cfRule type="cellIs" priority="5" dxfId="2" operator="greaterThan" stopIfTrue="1">
      <formula>$C$60*0.1</formula>
    </cfRule>
  </conditionalFormatting>
  <conditionalFormatting sqref="E58">
    <cfRule type="cellIs" priority="4" dxfId="108" operator="greaterThan" stopIfTrue="1">
      <formula>$E$60*0.1+E80</formula>
    </cfRule>
  </conditionalFormatting>
  <conditionalFormatting sqref="E18">
    <cfRule type="cellIs" priority="3" dxfId="108" operator="greaterThan" stopIfTrue="1">
      <formula>$E$20*0.1+E40</formula>
    </cfRule>
  </conditionalFormatting>
  <conditionalFormatting sqref="D74 D34">
    <cfRule type="cellIs" priority="2" dxfId="0" operator="lessThan" stopIfTrue="1">
      <formula>0</formula>
    </cfRule>
  </conditionalFormatting>
  <conditionalFormatting sqref="E36">
    <cfRule type="cellIs" priority="1" dxfId="108" operator="greaterThan" stopIfTrue="1">
      <formula>$E$33/0.95-$E$33</formula>
    </cfRule>
  </conditionalFormatting>
  <printOptions/>
  <pageMargins left="0.5" right="0.5" top="1" bottom="0.5" header="0.5" footer="0.5"/>
  <pageSetup blackAndWhite="1" fitToHeight="1" fitToWidth="1" horizontalDpi="120" verticalDpi="120" orientation="portrait" scale="58" r:id="rId1"/>
  <headerFooter alignWithMargins="0">
    <oddHeader>&amp;RState of Kansas
City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zoomScalePageLayoutView="0" workbookViewId="0" topLeftCell="A49">
      <selection activeCell="D56" sqref="D56"/>
    </sheetView>
  </sheetViews>
  <sheetFormatPr defaultColWidth="9.140625" defaultRowHeight="15"/>
  <cols>
    <col min="1" max="1" width="3.140625" style="72" customWidth="1"/>
    <col min="2" max="2" width="40.00390625" style="72" customWidth="1"/>
    <col min="3" max="4" width="20.28125" style="72" customWidth="1"/>
    <col min="5" max="5" width="20.8515625" style="72" customWidth="1"/>
    <col min="6" max="16384" width="9.140625" style="72" customWidth="1"/>
  </cols>
  <sheetData>
    <row r="1" spans="2:5" ht="15.75">
      <c r="B1" s="73" t="str">
        <f>('[1]inputPrYr'!D2)</f>
        <v>Andale</v>
      </c>
      <c r="C1" s="1"/>
      <c r="D1" s="1"/>
      <c r="E1" s="152">
        <f>'[1]inputPrYr'!C5</f>
        <v>2013</v>
      </c>
    </row>
    <row r="2" spans="2:5" ht="15.75">
      <c r="B2" s="1"/>
      <c r="C2" s="1"/>
      <c r="D2" s="1"/>
      <c r="E2" s="65"/>
    </row>
    <row r="3" spans="2:5" ht="15.75">
      <c r="B3" s="81" t="s">
        <v>240</v>
      </c>
      <c r="C3" s="64"/>
      <c r="D3" s="64"/>
      <c r="E3" s="64"/>
    </row>
    <row r="4" spans="2:5" ht="15.75">
      <c r="B4" s="13" t="s">
        <v>167</v>
      </c>
      <c r="C4" s="163" t="s">
        <v>168</v>
      </c>
      <c r="D4" s="164" t="s">
        <v>241</v>
      </c>
      <c r="E4" s="12" t="s">
        <v>242</v>
      </c>
    </row>
    <row r="5" spans="2:5" ht="15.75">
      <c r="B5" s="165" t="str">
        <f>('[1]inputPrYr'!B33)</f>
        <v>Special Highway</v>
      </c>
      <c r="C5" s="166" t="str">
        <f>CONCATENATE("Actual for ",E1-2,"")</f>
        <v>Actual for 2011</v>
      </c>
      <c r="D5" s="166" t="str">
        <f>CONCATENATE("Estimate for ",E1-1,"")</f>
        <v>Estimate for 2012</v>
      </c>
      <c r="E5" s="167" t="str">
        <f>CONCATENATE("Year for ",E1,"")</f>
        <v>Year for 2013</v>
      </c>
    </row>
    <row r="6" spans="2:5" ht="15.75">
      <c r="B6" s="168" t="s">
        <v>171</v>
      </c>
      <c r="C6" s="174">
        <v>34552</v>
      </c>
      <c r="D6" s="130">
        <f>C29</f>
        <v>14502</v>
      </c>
      <c r="E6" s="130">
        <f>D29</f>
        <v>676</v>
      </c>
    </row>
    <row r="7" spans="2:5" ht="15.75">
      <c r="B7" s="171" t="s">
        <v>172</v>
      </c>
      <c r="C7" s="36"/>
      <c r="D7" s="36"/>
      <c r="E7" s="36"/>
    </row>
    <row r="8" spans="2:5" ht="15.75">
      <c r="B8" s="212" t="s">
        <v>243</v>
      </c>
      <c r="C8" s="174">
        <v>23944</v>
      </c>
      <c r="D8" s="130">
        <f>'[1]inputOth'!E52</f>
        <v>23970</v>
      </c>
      <c r="E8" s="130">
        <f>'[1]inputOth'!E50</f>
        <v>24150</v>
      </c>
    </row>
    <row r="9" spans="2:5" ht="15.75">
      <c r="B9" s="212" t="s">
        <v>244</v>
      </c>
      <c r="C9" s="174">
        <v>10914</v>
      </c>
      <c r="D9" s="130">
        <f>'[1]inputOth'!E53</f>
        <v>10850</v>
      </c>
      <c r="E9" s="130">
        <f>'[1]inputOth'!E51</f>
        <v>10890</v>
      </c>
    </row>
    <row r="10" spans="2:5" ht="15.75">
      <c r="B10" s="194"/>
      <c r="C10" s="174"/>
      <c r="D10" s="174"/>
      <c r="E10" s="174"/>
    </row>
    <row r="11" spans="2:5" ht="15.75">
      <c r="B11" s="194"/>
      <c r="C11" s="174"/>
      <c r="D11" s="174"/>
      <c r="E11" s="174"/>
    </row>
    <row r="12" spans="2:5" ht="15.75">
      <c r="B12" s="178" t="s">
        <v>192</v>
      </c>
      <c r="C12" s="174"/>
      <c r="D12" s="174"/>
      <c r="E12" s="174"/>
    </row>
    <row r="13" spans="2:5" ht="15.75">
      <c r="B13" s="37" t="s">
        <v>193</v>
      </c>
      <c r="C13" s="174"/>
      <c r="D13" s="174"/>
      <c r="E13" s="174"/>
    </row>
    <row r="14" spans="2:5" ht="15.75">
      <c r="B14" s="168" t="s">
        <v>194</v>
      </c>
      <c r="C14" s="252">
        <f>IF(C15*0.1&lt;C13,"Exceed 10% Rule","")</f>
      </c>
      <c r="D14" s="213">
        <f>IF(D15*0.1&lt;D13,"Exceed 10% Rule","")</f>
      </c>
      <c r="E14" s="213">
        <f>IF(E15*0.1&lt;E13,"Exceed 10% Rule","")</f>
      </c>
    </row>
    <row r="15" spans="2:5" ht="15.75">
      <c r="B15" s="183" t="s">
        <v>195</v>
      </c>
      <c r="C15" s="254">
        <f>SUM(C8:C13)</f>
        <v>34858</v>
      </c>
      <c r="D15" s="254">
        <f>SUM(D8:D13)</f>
        <v>34820</v>
      </c>
      <c r="E15" s="254">
        <f>SUM(E8:E13)</f>
        <v>35040</v>
      </c>
    </row>
    <row r="16" spans="2:5" ht="15.75">
      <c r="B16" s="183" t="s">
        <v>196</v>
      </c>
      <c r="C16" s="254">
        <f>C6+C15</f>
        <v>69410</v>
      </c>
      <c r="D16" s="254">
        <f>D6+D15</f>
        <v>49322</v>
      </c>
      <c r="E16" s="254">
        <f>E6+E15</f>
        <v>35716</v>
      </c>
    </row>
    <row r="17" spans="2:5" ht="15.75">
      <c r="B17" s="20" t="s">
        <v>199</v>
      </c>
      <c r="C17" s="130"/>
      <c r="D17" s="130"/>
      <c r="E17" s="130"/>
    </row>
    <row r="18" spans="2:5" ht="15.75">
      <c r="B18" s="194" t="s">
        <v>245</v>
      </c>
      <c r="C18" s="174">
        <v>17129</v>
      </c>
      <c r="D18" s="174">
        <v>19146</v>
      </c>
      <c r="E18" s="174">
        <v>21150</v>
      </c>
    </row>
    <row r="19" spans="2:5" ht="15.75">
      <c r="B19" s="194" t="s">
        <v>246</v>
      </c>
      <c r="C19" s="174">
        <v>32688</v>
      </c>
      <c r="D19" s="174">
        <v>21500</v>
      </c>
      <c r="E19" s="174">
        <v>6500</v>
      </c>
    </row>
    <row r="20" spans="2:5" ht="15.75">
      <c r="B20" s="194" t="s">
        <v>247</v>
      </c>
      <c r="C20" s="174">
        <v>2054</v>
      </c>
      <c r="D20" s="174">
        <v>4000</v>
      </c>
      <c r="E20" s="174">
        <v>4000</v>
      </c>
    </row>
    <row r="21" spans="2:5" ht="15.75">
      <c r="B21" s="194" t="s">
        <v>248</v>
      </c>
      <c r="C21" s="174">
        <v>3037</v>
      </c>
      <c r="D21" s="174">
        <v>4000</v>
      </c>
      <c r="E21" s="174">
        <v>4000</v>
      </c>
    </row>
    <row r="22" spans="2:5" ht="15.75">
      <c r="B22" s="194" t="s">
        <v>249</v>
      </c>
      <c r="C22" s="174"/>
      <c r="D22" s="174"/>
      <c r="E22" s="174"/>
    </row>
    <row r="23" spans="2:5" ht="15.75">
      <c r="B23" s="194"/>
      <c r="C23" s="174"/>
      <c r="D23" s="174"/>
      <c r="E23" s="174"/>
    </row>
    <row r="24" spans="2:5" ht="15.75">
      <c r="B24" s="194"/>
      <c r="C24" s="174"/>
      <c r="D24" s="174"/>
      <c r="E24" s="174"/>
    </row>
    <row r="25" spans="2:5" ht="15.75">
      <c r="B25" s="194"/>
      <c r="C25" s="174"/>
      <c r="D25" s="174"/>
      <c r="E25" s="174"/>
    </row>
    <row r="26" spans="2:5" ht="15.75">
      <c r="B26" s="212" t="s">
        <v>193</v>
      </c>
      <c r="C26" s="174"/>
      <c r="D26" s="174"/>
      <c r="E26" s="174"/>
    </row>
    <row r="27" spans="2:5" ht="15.75">
      <c r="B27" s="212" t="s">
        <v>213</v>
      </c>
      <c r="C27" s="252">
        <f>IF(C28*0.1&lt;C26,"Exceed 10% Rule","")</f>
      </c>
      <c r="D27" s="213">
        <f>IF(D28*0.1&lt;D26,"Exceed 10% Rule","")</f>
      </c>
      <c r="E27" s="213">
        <f>IF(E28*0.1&lt;E26,"Exceed 10% Rule","")</f>
      </c>
    </row>
    <row r="28" spans="2:5" ht="15.75">
      <c r="B28" s="183" t="s">
        <v>214</v>
      </c>
      <c r="C28" s="254">
        <f>SUM(C18:C26)</f>
        <v>54908</v>
      </c>
      <c r="D28" s="254">
        <f>SUM(D18:D26)</f>
        <v>48646</v>
      </c>
      <c r="E28" s="254">
        <f>SUM(E18:E26)</f>
        <v>35650</v>
      </c>
    </row>
    <row r="29" spans="2:5" ht="15.75">
      <c r="B29" s="20" t="s">
        <v>215</v>
      </c>
      <c r="C29" s="130">
        <f>C16-C28</f>
        <v>14502</v>
      </c>
      <c r="D29" s="130">
        <f>D16-D28</f>
        <v>676</v>
      </c>
      <c r="E29" s="130">
        <f>E16-E28</f>
        <v>66</v>
      </c>
    </row>
    <row r="30" spans="2:5" ht="15.75">
      <c r="B30" s="4" t="str">
        <f>CONCATENATE("",$E$1-2,"/",$E$1-1," Budget Authority Amount:")</f>
        <v>2011/2012 Budget Authority Amount:</v>
      </c>
      <c r="C30" s="145">
        <f>'[1]inputOth'!B72</f>
        <v>66346</v>
      </c>
      <c r="D30" s="145">
        <f>'[1]inputPrYr'!D33</f>
        <v>52146</v>
      </c>
      <c r="E30" s="340">
        <f>IF(E29&lt;0,"See Tab E","")</f>
      </c>
    </row>
    <row r="31" spans="2:5" ht="15.75">
      <c r="B31" s="4"/>
      <c r="C31" s="225">
        <f>IF(C28&gt;C30,"See Tab A","")</f>
      </c>
      <c r="D31" s="225">
        <f>IF(D28&gt;D30,"See Tab C","")</f>
      </c>
      <c r="E31" s="77"/>
    </row>
    <row r="32" spans="2:5" ht="15.75">
      <c r="B32" s="4"/>
      <c r="C32" s="225">
        <f>IF(C29&lt;0,"See Tab B","")</f>
      </c>
      <c r="D32" s="225">
        <f>IF(D29&lt;0,"See Tab D","")</f>
      </c>
      <c r="E32" s="77"/>
    </row>
    <row r="33" spans="2:5" ht="15.75">
      <c r="B33" s="1"/>
      <c r="C33" s="77"/>
      <c r="D33" s="77"/>
      <c r="E33" s="77"/>
    </row>
    <row r="34" spans="2:5" ht="15.75">
      <c r="B34" s="13" t="s">
        <v>167</v>
      </c>
      <c r="C34" s="341"/>
      <c r="D34" s="341"/>
      <c r="E34" s="341"/>
    </row>
    <row r="35" spans="2:5" ht="15.75">
      <c r="B35" s="1"/>
      <c r="C35" s="342" t="str">
        <f aca="true" t="shared" si="0" ref="C35:E36">C4</f>
        <v>Prior Year </v>
      </c>
      <c r="D35" s="12" t="str">
        <f t="shared" si="0"/>
        <v>Current Year</v>
      </c>
      <c r="E35" s="12" t="str">
        <f t="shared" si="0"/>
        <v>Proposed Budget</v>
      </c>
    </row>
    <row r="36" spans="2:5" ht="15.75">
      <c r="B36" s="247" t="str">
        <f>('[1]inputPrYr'!B34)</f>
        <v>Sewer Utility</v>
      </c>
      <c r="C36" s="167" t="str">
        <f t="shared" si="0"/>
        <v>Actual for 2011</v>
      </c>
      <c r="D36" s="167" t="str">
        <f t="shared" si="0"/>
        <v>Estimate for 2012</v>
      </c>
      <c r="E36" s="167" t="str">
        <f t="shared" si="0"/>
        <v>Year for 2013</v>
      </c>
    </row>
    <row r="37" spans="2:5" ht="15.75">
      <c r="B37" s="168" t="s">
        <v>171</v>
      </c>
      <c r="C37" s="174">
        <v>9115</v>
      </c>
      <c r="D37" s="130">
        <f>C60</f>
        <v>10710</v>
      </c>
      <c r="E37" s="130">
        <f>D60</f>
        <v>15065</v>
      </c>
    </row>
    <row r="38" spans="2:5" ht="15.75">
      <c r="B38" s="168" t="s">
        <v>172</v>
      </c>
      <c r="C38" s="36"/>
      <c r="D38" s="36"/>
      <c r="E38" s="36"/>
    </row>
    <row r="39" spans="2:5" ht="15.75">
      <c r="B39" s="194" t="s">
        <v>250</v>
      </c>
      <c r="C39" s="174">
        <v>66088</v>
      </c>
      <c r="D39" s="174">
        <v>76500</v>
      </c>
      <c r="E39" s="174">
        <v>77000</v>
      </c>
    </row>
    <row r="40" spans="2:5" ht="15.75">
      <c r="B40" s="194" t="s">
        <v>251</v>
      </c>
      <c r="C40" s="174">
        <v>2500</v>
      </c>
      <c r="D40" s="174">
        <v>500</v>
      </c>
      <c r="E40" s="174">
        <v>1000</v>
      </c>
    </row>
    <row r="41" spans="2:5" ht="15.75">
      <c r="B41" s="194" t="s">
        <v>252</v>
      </c>
      <c r="C41" s="174">
        <v>383</v>
      </c>
      <c r="D41" s="174"/>
      <c r="E41" s="174"/>
    </row>
    <row r="42" spans="2:5" ht="15.75">
      <c r="B42" s="194"/>
      <c r="C42" s="174"/>
      <c r="D42" s="174"/>
      <c r="E42" s="174"/>
    </row>
    <row r="43" spans="2:5" ht="15.75">
      <c r="B43" s="178" t="s">
        <v>192</v>
      </c>
      <c r="C43" s="174"/>
      <c r="D43" s="174"/>
      <c r="E43" s="174"/>
    </row>
    <row r="44" spans="2:5" ht="15.75">
      <c r="B44" s="37" t="s">
        <v>193</v>
      </c>
      <c r="C44" s="174"/>
      <c r="D44" s="174"/>
      <c r="E44" s="174"/>
    </row>
    <row r="45" spans="2:5" ht="15.75">
      <c r="B45" s="168" t="s">
        <v>194</v>
      </c>
      <c r="C45" s="252">
        <f>IF(C46*0.1&lt;C44,"Exceed 10% Rule","")</f>
      </c>
      <c r="D45" s="213">
        <f>IF(D46*0.1&lt;D44,"Exceed 10% Rule","")</f>
      </c>
      <c r="E45" s="213">
        <f>IF(E46*0.1&lt;E44,"Exceed 10% Rule","")</f>
      </c>
    </row>
    <row r="46" spans="2:5" ht="15.75">
      <c r="B46" s="183" t="s">
        <v>195</v>
      </c>
      <c r="C46" s="254">
        <f>SUM(C39:C44)</f>
        <v>68971</v>
      </c>
      <c r="D46" s="254">
        <f>SUM(D39:D44)</f>
        <v>77000</v>
      </c>
      <c r="E46" s="254">
        <f>SUM(E39:E44)</f>
        <v>78000</v>
      </c>
    </row>
    <row r="47" spans="2:5" ht="15.75">
      <c r="B47" s="183" t="s">
        <v>196</v>
      </c>
      <c r="C47" s="254">
        <f>C37+C46</f>
        <v>78086</v>
      </c>
      <c r="D47" s="254">
        <f>D37+D46</f>
        <v>87710</v>
      </c>
      <c r="E47" s="254">
        <f>E37+E46</f>
        <v>93065</v>
      </c>
    </row>
    <row r="48" spans="2:5" ht="15.75">
      <c r="B48" s="20" t="s">
        <v>199</v>
      </c>
      <c r="C48" s="130"/>
      <c r="D48" s="130"/>
      <c r="E48" s="130"/>
    </row>
    <row r="49" spans="2:5" ht="15.75">
      <c r="B49" s="194" t="s">
        <v>245</v>
      </c>
      <c r="C49" s="174">
        <v>16955</v>
      </c>
      <c r="D49" s="174">
        <v>17560</v>
      </c>
      <c r="E49" s="174">
        <v>20370</v>
      </c>
    </row>
    <row r="50" spans="2:5" ht="15.75">
      <c r="B50" s="194" t="s">
        <v>253</v>
      </c>
      <c r="C50" s="174">
        <v>9637</v>
      </c>
      <c r="D50" s="174">
        <v>9700</v>
      </c>
      <c r="E50" s="174">
        <v>10000</v>
      </c>
    </row>
    <row r="51" spans="2:5" ht="15.75">
      <c r="B51" s="194" t="s">
        <v>254</v>
      </c>
      <c r="C51" s="174">
        <v>3241</v>
      </c>
      <c r="D51" s="174">
        <v>3500</v>
      </c>
      <c r="E51" s="174">
        <v>4500</v>
      </c>
    </row>
    <row r="52" spans="2:5" ht="15.75">
      <c r="B52" s="194" t="s">
        <v>255</v>
      </c>
      <c r="C52" s="174">
        <v>7596</v>
      </c>
      <c r="D52" s="174">
        <v>7600</v>
      </c>
      <c r="E52" s="174">
        <v>7500</v>
      </c>
    </row>
    <row r="53" spans="2:5" ht="15.75">
      <c r="B53" s="194" t="s">
        <v>256</v>
      </c>
      <c r="C53" s="174">
        <v>19285</v>
      </c>
      <c r="D53" s="174">
        <v>19285</v>
      </c>
      <c r="E53" s="174">
        <v>38570</v>
      </c>
    </row>
    <row r="54" spans="2:5" ht="15.75">
      <c r="B54" s="194" t="s">
        <v>257</v>
      </c>
      <c r="C54" s="174">
        <v>10000</v>
      </c>
      <c r="D54" s="174">
        <v>10000</v>
      </c>
      <c r="E54" s="174">
        <v>10000</v>
      </c>
    </row>
    <row r="55" spans="2:5" ht="15.75">
      <c r="B55" s="194" t="s">
        <v>258</v>
      </c>
      <c r="C55" s="174"/>
      <c r="D55" s="174">
        <v>5000</v>
      </c>
      <c r="E55" s="174"/>
    </row>
    <row r="56" spans="2:5" ht="15.75">
      <c r="B56" s="194"/>
      <c r="C56" s="174"/>
      <c r="D56" s="174"/>
      <c r="E56" s="174"/>
    </row>
    <row r="57" spans="2:5" ht="15.75">
      <c r="B57" s="212" t="s">
        <v>193</v>
      </c>
      <c r="C57" s="174">
        <v>662</v>
      </c>
      <c r="D57" s="174"/>
      <c r="E57" s="174"/>
    </row>
    <row r="58" spans="2:5" ht="15.75">
      <c r="B58" s="212" t="s">
        <v>213</v>
      </c>
      <c r="C58" s="252">
        <f>IF(C59*0.1&lt;C57,"Exceed 10% Rule","")</f>
      </c>
      <c r="D58" s="213">
        <f>IF(D59*0.1&lt;D57,"Exceed 10% Rule","")</f>
      </c>
      <c r="E58" s="213">
        <f>IF(E59*0.1&lt;E57,"Exceed 10% Rule","")</f>
      </c>
    </row>
    <row r="59" spans="2:5" ht="15.75">
      <c r="B59" s="183" t="s">
        <v>214</v>
      </c>
      <c r="C59" s="254">
        <f>SUM(C49:C57)</f>
        <v>67376</v>
      </c>
      <c r="D59" s="254">
        <f>SUM(D49:D57)</f>
        <v>72645</v>
      </c>
      <c r="E59" s="254">
        <f>SUM(E49:E57)</f>
        <v>90940</v>
      </c>
    </row>
    <row r="60" spans="2:5" ht="15.75">
      <c r="B60" s="20" t="s">
        <v>215</v>
      </c>
      <c r="C60" s="130">
        <f>C47-C59</f>
        <v>10710</v>
      </c>
      <c r="D60" s="130">
        <f>D47-D59</f>
        <v>15065</v>
      </c>
      <c r="E60" s="130">
        <f>E47-E59</f>
        <v>2125</v>
      </c>
    </row>
    <row r="61" spans="2:5" ht="15.75">
      <c r="B61" s="4" t="str">
        <f>CONCATENATE("",$E$1-2,"/",$E$1-1," Budget Authority Amount:")</f>
        <v>2011/2012 Budget Authority Amount:</v>
      </c>
      <c r="C61" s="145">
        <f>'[1]inputOth'!B73</f>
        <v>100226</v>
      </c>
      <c r="D61" s="145">
        <f>'[1]inputPrYr'!D34</f>
        <v>81430</v>
      </c>
      <c r="E61" s="340">
        <f>IF(E60&lt;0,"See Tab E","")</f>
      </c>
    </row>
    <row r="62" spans="2:5" ht="15.75">
      <c r="B62" s="4"/>
      <c r="C62" s="225">
        <f>IF(C59&gt;C61,"See Tab A","")</f>
      </c>
      <c r="D62" s="225">
        <f>IF(D59&gt;D61,"See Tab C","")</f>
      </c>
      <c r="E62" s="1"/>
    </row>
    <row r="63" spans="2:5" ht="15.75">
      <c r="B63" s="4"/>
      <c r="C63" s="225">
        <f>IF(C60&lt;0,"See Tab B","")</f>
      </c>
      <c r="D63" s="225">
        <f>IF(D60&lt;0,"See Tab D","")</f>
      </c>
      <c r="E63" s="1"/>
    </row>
    <row r="64" spans="2:5" ht="15.75">
      <c r="B64" s="1"/>
      <c r="C64" s="1"/>
      <c r="D64" s="1"/>
      <c r="E64" s="1"/>
    </row>
    <row r="65" spans="2:5" ht="15.75">
      <c r="B65" s="4" t="s">
        <v>197</v>
      </c>
      <c r="C65" s="338">
        <v>10</v>
      </c>
      <c r="D65" s="1"/>
      <c r="E65" s="1"/>
    </row>
  </sheetData>
  <sheetProtection sheet="1"/>
  <conditionalFormatting sqref="C44">
    <cfRule type="cellIs" priority="19" dxfId="108" operator="greaterThan" stopIfTrue="1">
      <formula>$C$46*0.1</formula>
    </cfRule>
  </conditionalFormatting>
  <conditionalFormatting sqref="D44">
    <cfRule type="cellIs" priority="18" dxfId="108" operator="greaterThan" stopIfTrue="1">
      <formula>$D$46*0.1</formula>
    </cfRule>
  </conditionalFormatting>
  <conditionalFormatting sqref="E44">
    <cfRule type="cellIs" priority="17" dxfId="108" operator="greaterThan" stopIfTrue="1">
      <formula>$E$46*0.1</formula>
    </cfRule>
  </conditionalFormatting>
  <conditionalFormatting sqref="C57">
    <cfRule type="cellIs" priority="16" dxfId="108" operator="greaterThan" stopIfTrue="1">
      <formula>$C$59*0.1</formula>
    </cfRule>
  </conditionalFormatting>
  <conditionalFormatting sqref="D57">
    <cfRule type="cellIs" priority="15" dxfId="108" operator="greaterThan" stopIfTrue="1">
      <formula>$D$59*0.1</formula>
    </cfRule>
  </conditionalFormatting>
  <conditionalFormatting sqref="E57">
    <cfRule type="cellIs" priority="14" dxfId="108" operator="greaterThan" stopIfTrue="1">
      <formula>$E$59*0.1</formula>
    </cfRule>
  </conditionalFormatting>
  <conditionalFormatting sqref="C13">
    <cfRule type="cellIs" priority="13" dxfId="108" operator="greaterThan" stopIfTrue="1">
      <formula>$C$15*0.1</formula>
    </cfRule>
  </conditionalFormatting>
  <conditionalFormatting sqref="D13">
    <cfRule type="cellIs" priority="12" dxfId="108" operator="greaterThan" stopIfTrue="1">
      <formula>$D$15*0.1</formula>
    </cfRule>
  </conditionalFormatting>
  <conditionalFormatting sqref="E13">
    <cfRule type="cellIs" priority="11" dxfId="108" operator="greaterThan" stopIfTrue="1">
      <formula>$E$15*0.1</formula>
    </cfRule>
  </conditionalFormatting>
  <conditionalFormatting sqref="C26">
    <cfRule type="cellIs" priority="10" dxfId="108" operator="greaterThan" stopIfTrue="1">
      <formula>$C$28*0.1</formula>
    </cfRule>
  </conditionalFormatting>
  <conditionalFormatting sqref="D26">
    <cfRule type="cellIs" priority="9" dxfId="108" operator="greaterThan" stopIfTrue="1">
      <formula>$D$28*0.1</formula>
    </cfRule>
  </conditionalFormatting>
  <conditionalFormatting sqref="E26">
    <cfRule type="cellIs" priority="8" dxfId="108" operator="greaterThan" stopIfTrue="1">
      <formula>$E$28*0.1</formula>
    </cfRule>
  </conditionalFormatting>
  <conditionalFormatting sqref="E60 C60 E29 C29">
    <cfRule type="cellIs" priority="7" dxfId="2" operator="lessThan" stopIfTrue="1">
      <formula>0</formula>
    </cfRule>
  </conditionalFormatting>
  <conditionalFormatting sqref="D59">
    <cfRule type="cellIs" priority="6" dxfId="2" operator="greaterThan" stopIfTrue="1">
      <formula>$D$61</formula>
    </cfRule>
  </conditionalFormatting>
  <conditionalFormatting sqref="C59">
    <cfRule type="cellIs" priority="5" dxfId="2" operator="greaterThan" stopIfTrue="1">
      <formula>$C$61</formula>
    </cfRule>
  </conditionalFormatting>
  <conditionalFormatting sqref="D28">
    <cfRule type="cellIs" priority="4" dxfId="2" operator="greaterThan" stopIfTrue="1">
      <formula>$D$30</formula>
    </cfRule>
  </conditionalFormatting>
  <conditionalFormatting sqref="C28">
    <cfRule type="cellIs" priority="3" dxfId="2" operator="greaterThan" stopIfTrue="1">
      <formula>$C$30</formula>
    </cfRule>
  </conditionalFormatting>
  <conditionalFormatting sqref="D60">
    <cfRule type="cellIs" priority="2" dxfId="0" operator="lessThan" stopIfTrue="1">
      <formula>0</formula>
    </cfRule>
  </conditionalFormatting>
  <conditionalFormatting sqref="D29">
    <cfRule type="cellIs" priority="1" dxfId="0" operator="lessThan" stopIfTrue="1">
      <formula>0</formula>
    </cfRule>
  </conditionalFormatting>
  <printOptions/>
  <pageMargins left="0.5" right="0.5" top="1" bottom="0.5" header="0.5" footer="0.5"/>
  <pageSetup blackAndWhite="1" fitToHeight="1" fitToWidth="1" horizontalDpi="120" verticalDpi="120" orientation="portrait" scale="75" r:id="rId1"/>
  <headerFooter alignWithMargins="0">
    <oddHeader>&amp;RState of Kansas
City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3.140625" style="72" customWidth="1"/>
    <col min="2" max="2" width="40.00390625" style="72" customWidth="1"/>
    <col min="3" max="4" width="20.28125" style="72" customWidth="1"/>
    <col min="5" max="5" width="20.8515625" style="72" customWidth="1"/>
    <col min="6" max="16384" width="9.140625" style="72" customWidth="1"/>
  </cols>
  <sheetData>
    <row r="1" spans="2:5" ht="15.75">
      <c r="B1" s="73" t="str">
        <f>('[1]inputPrYr'!D2)</f>
        <v>Andale</v>
      </c>
      <c r="C1" s="1"/>
      <c r="D1" s="1"/>
      <c r="E1" s="152">
        <f>'[1]inputPrYr'!C5</f>
        <v>2013</v>
      </c>
    </row>
    <row r="2" spans="2:5" ht="15.75">
      <c r="B2" s="1"/>
      <c r="C2" s="1"/>
      <c r="D2" s="1"/>
      <c r="E2" s="65"/>
    </row>
    <row r="3" spans="2:5" ht="15.75">
      <c r="B3" s="81" t="s">
        <v>240</v>
      </c>
      <c r="C3" s="64"/>
      <c r="D3" s="64"/>
      <c r="E3" s="64"/>
    </row>
    <row r="4" spans="2:5" ht="15.75">
      <c r="B4" s="13" t="s">
        <v>167</v>
      </c>
      <c r="C4" s="163" t="s">
        <v>168</v>
      </c>
      <c r="D4" s="164" t="s">
        <v>241</v>
      </c>
      <c r="E4" s="12" t="s">
        <v>242</v>
      </c>
    </row>
    <row r="5" spans="2:5" ht="15.75">
      <c r="B5" s="165" t="str">
        <f>('[1]inputPrYr'!B35)</f>
        <v>Water Utility</v>
      </c>
      <c r="C5" s="166" t="str">
        <f>CONCATENATE("Actual for ",E1-2,"")</f>
        <v>Actual for 2011</v>
      </c>
      <c r="D5" s="166" t="str">
        <f>CONCATENATE("Estimate for ",E1-1,"")</f>
        <v>Estimate for 2012</v>
      </c>
      <c r="E5" s="167" t="str">
        <f>CONCATENATE("Year for ",E1,"")</f>
        <v>Year for 2013</v>
      </c>
    </row>
    <row r="6" spans="2:5" ht="15.75">
      <c r="B6" s="168" t="s">
        <v>171</v>
      </c>
      <c r="C6" s="174">
        <v>59442</v>
      </c>
      <c r="D6" s="130">
        <f>C29</f>
        <v>45218</v>
      </c>
      <c r="E6" s="130">
        <f>D29</f>
        <v>40168</v>
      </c>
    </row>
    <row r="7" spans="2:5" ht="15.75">
      <c r="B7" s="171" t="s">
        <v>172</v>
      </c>
      <c r="C7" s="36"/>
      <c r="D7" s="36"/>
      <c r="E7" s="36"/>
    </row>
    <row r="8" spans="2:5" ht="15.75">
      <c r="B8" s="194" t="s">
        <v>250</v>
      </c>
      <c r="C8" s="174">
        <v>102302</v>
      </c>
      <c r="D8" s="174">
        <v>100000</v>
      </c>
      <c r="E8" s="174">
        <v>103500</v>
      </c>
    </row>
    <row r="9" spans="2:5" ht="15.75">
      <c r="B9" s="194" t="s">
        <v>259</v>
      </c>
      <c r="C9" s="174">
        <v>3750</v>
      </c>
      <c r="D9" s="174">
        <v>750</v>
      </c>
      <c r="E9" s="174">
        <v>1500</v>
      </c>
    </row>
    <row r="10" spans="2:5" ht="15.75">
      <c r="B10" s="194"/>
      <c r="C10" s="174"/>
      <c r="D10" s="174"/>
      <c r="E10" s="174"/>
    </row>
    <row r="11" spans="2:5" ht="15.75">
      <c r="B11" s="194"/>
      <c r="C11" s="174"/>
      <c r="D11" s="174"/>
      <c r="E11" s="174"/>
    </row>
    <row r="12" spans="2:5" ht="15.75">
      <c r="B12" s="178" t="s">
        <v>192</v>
      </c>
      <c r="C12" s="174"/>
      <c r="D12" s="174"/>
      <c r="E12" s="174"/>
    </row>
    <row r="13" spans="2:5" ht="15.75">
      <c r="B13" s="37" t="s">
        <v>193</v>
      </c>
      <c r="C13" s="174"/>
      <c r="D13" s="179"/>
      <c r="E13" s="179"/>
    </row>
    <row r="14" spans="2:5" ht="15.75">
      <c r="B14" s="168" t="s">
        <v>194</v>
      </c>
      <c r="C14" s="252">
        <f>IF(C15*0.1&lt;C13,"Exceed 10% Rule","")</f>
      </c>
      <c r="D14" s="213">
        <f>IF(D15*0.1&lt;D13,"Exceed 10% Rule","")</f>
      </c>
      <c r="E14" s="213">
        <f>IF(E15*0.1&lt;E13,"Exceed 10% Rule","")</f>
      </c>
    </row>
    <row r="15" spans="2:5" ht="15.75">
      <c r="B15" s="183" t="s">
        <v>195</v>
      </c>
      <c r="C15" s="254">
        <f>SUM(C8:C13)</f>
        <v>106052</v>
      </c>
      <c r="D15" s="254">
        <f>SUM(D8:D13)</f>
        <v>100750</v>
      </c>
      <c r="E15" s="254">
        <f>SUM(E8:E13)</f>
        <v>105000</v>
      </c>
    </row>
    <row r="16" spans="2:5" ht="15.75">
      <c r="B16" s="183" t="s">
        <v>196</v>
      </c>
      <c r="C16" s="254">
        <f>C6+C15</f>
        <v>165494</v>
      </c>
      <c r="D16" s="254">
        <f>D6+D15</f>
        <v>145968</v>
      </c>
      <c r="E16" s="254">
        <f>E6+E15</f>
        <v>145168</v>
      </c>
    </row>
    <row r="17" spans="2:5" ht="15.75">
      <c r="B17" s="20" t="s">
        <v>199</v>
      </c>
      <c r="C17" s="130"/>
      <c r="D17" s="130"/>
      <c r="E17" s="130"/>
    </row>
    <row r="18" spans="2:5" ht="15.75">
      <c r="B18" s="194" t="s">
        <v>245</v>
      </c>
      <c r="C18" s="174">
        <v>20454</v>
      </c>
      <c r="D18" s="174">
        <v>22100</v>
      </c>
      <c r="E18" s="174">
        <v>25636</v>
      </c>
    </row>
    <row r="19" spans="2:5" ht="15.75">
      <c r="B19" s="194" t="s">
        <v>253</v>
      </c>
      <c r="C19" s="174">
        <v>12020</v>
      </c>
      <c r="D19" s="174">
        <v>10700</v>
      </c>
      <c r="E19" s="174">
        <v>12000</v>
      </c>
    </row>
    <row r="20" spans="2:5" ht="15.75">
      <c r="B20" s="194" t="s">
        <v>260</v>
      </c>
      <c r="C20" s="174">
        <v>7557</v>
      </c>
      <c r="D20" s="174">
        <v>7500</v>
      </c>
      <c r="E20" s="174">
        <v>8000</v>
      </c>
    </row>
    <row r="21" spans="2:5" ht="15.75">
      <c r="B21" s="194" t="s">
        <v>255</v>
      </c>
      <c r="C21" s="174">
        <v>5141</v>
      </c>
      <c r="D21" s="174">
        <v>5500</v>
      </c>
      <c r="E21" s="174">
        <v>6500</v>
      </c>
    </row>
    <row r="22" spans="2:5" ht="15.75">
      <c r="B22" s="194" t="s">
        <v>249</v>
      </c>
      <c r="C22" s="174"/>
      <c r="D22" s="174"/>
      <c r="E22" s="174"/>
    </row>
    <row r="23" spans="2:5" ht="15.75">
      <c r="B23" s="194" t="s">
        <v>261</v>
      </c>
      <c r="C23" s="174">
        <v>30000</v>
      </c>
      <c r="D23" s="174">
        <v>10000</v>
      </c>
      <c r="E23" s="174">
        <v>20000</v>
      </c>
    </row>
    <row r="24" spans="2:5" ht="15.75">
      <c r="B24" s="194" t="s">
        <v>258</v>
      </c>
      <c r="C24" s="174">
        <v>45000</v>
      </c>
      <c r="D24" s="174">
        <v>50000</v>
      </c>
      <c r="E24" s="174">
        <v>48175</v>
      </c>
    </row>
    <row r="25" spans="2:5" ht="15.75">
      <c r="B25" s="194"/>
      <c r="C25" s="174"/>
      <c r="D25" s="174"/>
      <c r="E25" s="174"/>
    </row>
    <row r="26" spans="2:5" ht="15.75">
      <c r="B26" s="212" t="s">
        <v>193</v>
      </c>
      <c r="C26" s="174">
        <v>104</v>
      </c>
      <c r="D26" s="179"/>
      <c r="E26" s="179"/>
    </row>
    <row r="27" spans="2:5" ht="15.75">
      <c r="B27" s="212" t="s">
        <v>213</v>
      </c>
      <c r="C27" s="252">
        <f>IF(C28*0.1&lt;C26,"Exceed 10% Rule","")</f>
      </c>
      <c r="D27" s="213">
        <f>IF(D28*0.1&lt;D26,"Exceed 10% Rule","")</f>
      </c>
      <c r="E27" s="213">
        <f>IF(E28*0.1&lt;E26,"Exceed 10% Rule","")</f>
      </c>
    </row>
    <row r="28" spans="2:5" ht="15.75">
      <c r="B28" s="183" t="s">
        <v>214</v>
      </c>
      <c r="C28" s="254">
        <f>SUM(C18:C26)</f>
        <v>120276</v>
      </c>
      <c r="D28" s="254">
        <f>SUM(D18:D26)</f>
        <v>105800</v>
      </c>
      <c r="E28" s="254">
        <f>SUM(E18:E26)</f>
        <v>120311</v>
      </c>
    </row>
    <row r="29" spans="2:5" ht="15.75">
      <c r="B29" s="20" t="s">
        <v>215</v>
      </c>
      <c r="C29" s="130">
        <f>C16-C28</f>
        <v>45218</v>
      </c>
      <c r="D29" s="130">
        <f>D16-D28</f>
        <v>40168</v>
      </c>
      <c r="E29" s="130">
        <f>E16-E28</f>
        <v>24857</v>
      </c>
    </row>
    <row r="30" spans="2:5" ht="15.75">
      <c r="B30" s="4" t="str">
        <f>CONCATENATE("",$E$1-2,"/",$E$1-1," Budget Authority Amount:")</f>
        <v>2011/2012 Budget Authority Amount:</v>
      </c>
      <c r="C30" s="145">
        <f>'[1]inputOth'!B74</f>
        <v>152385</v>
      </c>
      <c r="D30" s="145">
        <f>'[1]inputPrYr'!D35</f>
        <v>128750</v>
      </c>
      <c r="E30" s="340">
        <f>IF(E29&lt;0,"See Tab E","")</f>
      </c>
    </row>
    <row r="31" spans="2:5" ht="15.75">
      <c r="B31" s="4"/>
      <c r="C31" s="225">
        <f>IF(C28&gt;C30,"See Tab A","")</f>
      </c>
      <c r="D31" s="225">
        <f>IF(D28&gt;D30,"See Tab C","")</f>
      </c>
      <c r="E31" s="77"/>
    </row>
    <row r="32" spans="2:5" ht="15.75">
      <c r="B32" s="4"/>
      <c r="C32" s="225">
        <f>IF(C29&lt;0,"See Tab B","")</f>
      </c>
      <c r="D32" s="225">
        <f>IF(D29&lt;0,"See Tab D","")</f>
      </c>
      <c r="E32" s="77"/>
    </row>
    <row r="33" spans="2:5" ht="15.75">
      <c r="B33" s="1"/>
      <c r="C33" s="77"/>
      <c r="D33" s="77"/>
      <c r="E33" s="77"/>
    </row>
    <row r="34" spans="2:5" ht="15.75">
      <c r="B34" s="13" t="s">
        <v>167</v>
      </c>
      <c r="C34" s="341"/>
      <c r="D34" s="341"/>
      <c r="E34" s="341"/>
    </row>
    <row r="35" spans="2:5" ht="15.75">
      <c r="B35" s="1"/>
      <c r="C35" s="342" t="str">
        <f aca="true" t="shared" si="0" ref="C35:E36">C4</f>
        <v>Prior Year </v>
      </c>
      <c r="D35" s="12" t="str">
        <f t="shared" si="0"/>
        <v>Current Year</v>
      </c>
      <c r="E35" s="12" t="str">
        <f t="shared" si="0"/>
        <v>Proposed Budget</v>
      </c>
    </row>
    <row r="36" spans="2:5" ht="15.75">
      <c r="B36" s="247" t="str">
        <f>('[1]inputPrYr'!B36)</f>
        <v>Solid Waste Utility</v>
      </c>
      <c r="C36" s="167" t="str">
        <f t="shared" si="0"/>
        <v>Actual for 2011</v>
      </c>
      <c r="D36" s="167" t="str">
        <f t="shared" si="0"/>
        <v>Estimate for 2012</v>
      </c>
      <c r="E36" s="167" t="str">
        <f t="shared" si="0"/>
        <v>Year for 2013</v>
      </c>
    </row>
    <row r="37" spans="2:5" ht="15.75">
      <c r="B37" s="168" t="s">
        <v>171</v>
      </c>
      <c r="C37" s="174">
        <v>9722</v>
      </c>
      <c r="D37" s="130">
        <f>C60</f>
        <v>11397.870000000003</v>
      </c>
      <c r="E37" s="130">
        <f>D60</f>
        <v>12317.870000000003</v>
      </c>
    </row>
    <row r="38" spans="2:5" ht="15.75">
      <c r="B38" s="168" t="s">
        <v>172</v>
      </c>
      <c r="C38" s="36"/>
      <c r="D38" s="36"/>
      <c r="E38" s="36"/>
    </row>
    <row r="39" spans="2:5" ht="15.75">
      <c r="B39" s="194" t="s">
        <v>262</v>
      </c>
      <c r="C39" s="174">
        <v>53624</v>
      </c>
      <c r="D39" s="174">
        <v>54050</v>
      </c>
      <c r="E39" s="174">
        <v>54100</v>
      </c>
    </row>
    <row r="40" spans="2:5" ht="15.75">
      <c r="B40" s="194"/>
      <c r="C40" s="174"/>
      <c r="D40" s="174"/>
      <c r="E40" s="174"/>
    </row>
    <row r="41" spans="2:5" ht="15.75">
      <c r="B41" s="194"/>
      <c r="C41" s="174"/>
      <c r="D41" s="174"/>
      <c r="E41" s="174"/>
    </row>
    <row r="42" spans="2:5" ht="15.75">
      <c r="B42" s="194"/>
      <c r="C42" s="174"/>
      <c r="D42" s="174"/>
      <c r="E42" s="174"/>
    </row>
    <row r="43" spans="2:5" ht="15.75">
      <c r="B43" s="178" t="s">
        <v>192</v>
      </c>
      <c r="C43" s="174"/>
      <c r="D43" s="174"/>
      <c r="E43" s="174"/>
    </row>
    <row r="44" spans="2:5" ht="15.75">
      <c r="B44" s="37" t="s">
        <v>193</v>
      </c>
      <c r="C44" s="174"/>
      <c r="D44" s="174"/>
      <c r="E44" s="174"/>
    </row>
    <row r="45" spans="2:5" ht="15.75">
      <c r="B45" s="168" t="s">
        <v>194</v>
      </c>
      <c r="C45" s="252">
        <f>IF(C46*0.1&lt;C44,"Exceed 10% Rule","")</f>
      </c>
      <c r="D45" s="213">
        <f>IF(D46*0.1&lt;D44,"Exceed 10% Rule","")</f>
      </c>
      <c r="E45" s="213">
        <f>IF(E46*0.1&lt;E44,"Exceed 10% Rule","")</f>
      </c>
    </row>
    <row r="46" spans="2:5" ht="15.75">
      <c r="B46" s="183" t="s">
        <v>195</v>
      </c>
      <c r="C46" s="254">
        <f>SUM(C39:C44)</f>
        <v>53624</v>
      </c>
      <c r="D46" s="254">
        <f>SUM(D39:D44)</f>
        <v>54050</v>
      </c>
      <c r="E46" s="254">
        <f>SUM(E39:E44)</f>
        <v>54100</v>
      </c>
    </row>
    <row r="47" spans="2:5" ht="15.75">
      <c r="B47" s="183" t="s">
        <v>196</v>
      </c>
      <c r="C47" s="254">
        <f>C37+C46</f>
        <v>63346</v>
      </c>
      <c r="D47" s="254">
        <f>D37+D46</f>
        <v>65447.87</v>
      </c>
      <c r="E47" s="254">
        <f>E37+E46</f>
        <v>66417.87</v>
      </c>
    </row>
    <row r="48" spans="2:5" ht="15.75">
      <c r="B48" s="20" t="s">
        <v>199</v>
      </c>
      <c r="C48" s="130"/>
      <c r="D48" s="130"/>
      <c r="E48" s="130"/>
    </row>
    <row r="49" spans="2:5" ht="15.75">
      <c r="B49" s="194" t="s">
        <v>263</v>
      </c>
      <c r="C49" s="174">
        <v>51799</v>
      </c>
      <c r="D49" s="174">
        <v>51930</v>
      </c>
      <c r="E49" s="174">
        <v>53488</v>
      </c>
    </row>
    <row r="50" spans="2:5" ht="15.75">
      <c r="B50" s="194" t="s">
        <v>254</v>
      </c>
      <c r="C50" s="174">
        <v>149.13</v>
      </c>
      <c r="D50" s="174">
        <v>1200</v>
      </c>
      <c r="E50" s="174">
        <v>2000</v>
      </c>
    </row>
    <row r="51" spans="2:5" ht="15.75">
      <c r="B51" s="194"/>
      <c r="C51" s="174"/>
      <c r="D51" s="174"/>
      <c r="E51" s="174"/>
    </row>
    <row r="52" spans="2:5" ht="15.75">
      <c r="B52" s="194"/>
      <c r="C52" s="174"/>
      <c r="D52" s="174"/>
      <c r="E52" s="174"/>
    </row>
    <row r="53" spans="2:5" ht="15.75">
      <c r="B53" s="194"/>
      <c r="C53" s="174"/>
      <c r="D53" s="174"/>
      <c r="E53" s="174"/>
    </row>
    <row r="54" spans="2:5" ht="15.75">
      <c r="B54" s="194"/>
      <c r="C54" s="174"/>
      <c r="D54" s="174"/>
      <c r="E54" s="174"/>
    </row>
    <row r="55" spans="2:5" ht="15.75">
      <c r="B55" s="194"/>
      <c r="C55" s="174"/>
      <c r="D55" s="174"/>
      <c r="E55" s="174"/>
    </row>
    <row r="56" spans="2:5" ht="15.75">
      <c r="B56" s="194"/>
      <c r="C56" s="174"/>
      <c r="D56" s="174"/>
      <c r="E56" s="174"/>
    </row>
    <row r="57" spans="2:5" ht="15.75">
      <c r="B57" s="212" t="s">
        <v>193</v>
      </c>
      <c r="C57" s="174"/>
      <c r="D57" s="179"/>
      <c r="E57" s="179"/>
    </row>
    <row r="58" spans="2:5" ht="15.75">
      <c r="B58" s="212" t="s">
        <v>213</v>
      </c>
      <c r="C58" s="252">
        <f>IF(C59*0.1&lt;C57,"Exceed 10% Rule","")</f>
      </c>
      <c r="D58" s="213">
        <f>IF(D59*0.1&lt;D57,"Exceed 10% Rule","")</f>
      </c>
      <c r="E58" s="213">
        <f>IF(E59*0.1&lt;E57,"Exceed 10% Rule","")</f>
      </c>
    </row>
    <row r="59" spans="2:5" ht="15.75">
      <c r="B59" s="183" t="s">
        <v>214</v>
      </c>
      <c r="C59" s="254">
        <f>SUM(C49:C57)</f>
        <v>51948.13</v>
      </c>
      <c r="D59" s="254">
        <f>SUM(D49:D57)</f>
        <v>53130</v>
      </c>
      <c r="E59" s="254">
        <f>SUM(E49:E57)</f>
        <v>55488</v>
      </c>
    </row>
    <row r="60" spans="2:5" ht="15.75">
      <c r="B60" s="20" t="s">
        <v>215</v>
      </c>
      <c r="C60" s="130">
        <f>C47-C59</f>
        <v>11397.870000000003</v>
      </c>
      <c r="D60" s="130">
        <f>D47-D59</f>
        <v>12317.870000000003</v>
      </c>
      <c r="E60" s="130">
        <f>E47-E59</f>
        <v>10929.869999999995</v>
      </c>
    </row>
    <row r="61" spans="2:5" ht="15.75">
      <c r="B61" s="4" t="str">
        <f>CONCATENATE("",$E$1-2,"/",$E$1-1," Budget Authority Amount:")</f>
        <v>2011/2012 Budget Authority Amount:</v>
      </c>
      <c r="C61" s="145">
        <f>'[1]inputOth'!B75</f>
        <v>60243</v>
      </c>
      <c r="D61" s="145">
        <f>'[1]inputPrYr'!D36</f>
        <v>61700</v>
      </c>
      <c r="E61" s="340">
        <f>IF(E60&lt;0,"See Tab E","")</f>
      </c>
    </row>
    <row r="62" spans="2:5" ht="15.75">
      <c r="B62" s="4"/>
      <c r="C62" s="225">
        <f>IF(C59&gt;C61,"See Tab A","")</f>
      </c>
      <c r="D62" s="225">
        <f>IF(D59&gt;D61,"See Tab C","")</f>
      </c>
      <c r="E62" s="1"/>
    </row>
    <row r="63" spans="2:5" ht="15.75">
      <c r="B63" s="4"/>
      <c r="C63" s="225">
        <f>IF(C60&lt;0,"See Tab B","")</f>
      </c>
      <c r="D63" s="225">
        <f>IF(D60&lt;0,"See Tab D","")</f>
      </c>
      <c r="E63" s="1"/>
    </row>
    <row r="64" spans="2:5" ht="15.75">
      <c r="B64" s="1"/>
      <c r="C64" s="1"/>
      <c r="D64" s="1"/>
      <c r="E64" s="1"/>
    </row>
    <row r="65" spans="2:5" ht="15.75">
      <c r="B65" s="4" t="s">
        <v>197</v>
      </c>
      <c r="C65" s="338">
        <v>11</v>
      </c>
      <c r="D65" s="1"/>
      <c r="E65" s="1"/>
    </row>
  </sheetData>
  <sheetProtection sheet="1"/>
  <conditionalFormatting sqref="C13">
    <cfRule type="cellIs" priority="19" dxfId="108" operator="greaterThan" stopIfTrue="1">
      <formula>$C$15*0.1</formula>
    </cfRule>
  </conditionalFormatting>
  <conditionalFormatting sqref="D13">
    <cfRule type="cellIs" priority="18" dxfId="108" operator="greaterThan" stopIfTrue="1">
      <formula>$D$15*0.1</formula>
    </cfRule>
  </conditionalFormatting>
  <conditionalFormatting sqref="E13">
    <cfRule type="cellIs" priority="17" dxfId="108" operator="greaterThan" stopIfTrue="1">
      <formula>$E$15*0.1</formula>
    </cfRule>
  </conditionalFormatting>
  <conditionalFormatting sqref="C26">
    <cfRule type="cellIs" priority="16" dxfId="108" operator="greaterThan" stopIfTrue="1">
      <formula>$C$28*0.1</formula>
    </cfRule>
  </conditionalFormatting>
  <conditionalFormatting sqref="D26">
    <cfRule type="cellIs" priority="15" dxfId="108" operator="greaterThan" stopIfTrue="1">
      <formula>$D$28*0.1</formula>
    </cfRule>
  </conditionalFormatting>
  <conditionalFormatting sqref="E26">
    <cfRule type="cellIs" priority="14" dxfId="108" operator="greaterThan" stopIfTrue="1">
      <formula>$E$28*0.1</formula>
    </cfRule>
  </conditionalFormatting>
  <conditionalFormatting sqref="C44">
    <cfRule type="cellIs" priority="13" dxfId="108" operator="greaterThan" stopIfTrue="1">
      <formula>$C$46*0.1</formula>
    </cfRule>
  </conditionalFormatting>
  <conditionalFormatting sqref="D44">
    <cfRule type="cellIs" priority="12" dxfId="108" operator="greaterThan" stopIfTrue="1">
      <formula>$D$46*0.1</formula>
    </cfRule>
  </conditionalFormatting>
  <conditionalFormatting sqref="E44">
    <cfRule type="cellIs" priority="11" dxfId="108" operator="greaterThan" stopIfTrue="1">
      <formula>$E$46*0.1</formula>
    </cfRule>
  </conditionalFormatting>
  <conditionalFormatting sqref="C57">
    <cfRule type="cellIs" priority="10" dxfId="108" operator="greaterThan" stopIfTrue="1">
      <formula>$C$59*0.1</formula>
    </cfRule>
  </conditionalFormatting>
  <conditionalFormatting sqref="D57">
    <cfRule type="cellIs" priority="9" dxfId="108" operator="greaterThan" stopIfTrue="1">
      <formula>$D$59*0.1</formula>
    </cfRule>
  </conditionalFormatting>
  <conditionalFormatting sqref="E57">
    <cfRule type="cellIs" priority="8" dxfId="108" operator="greaterThan" stopIfTrue="1">
      <formula>$E$59*0.1</formula>
    </cfRule>
  </conditionalFormatting>
  <conditionalFormatting sqref="E60 C60 E29 C29">
    <cfRule type="cellIs" priority="7" dxfId="2" operator="lessThan" stopIfTrue="1">
      <formula>0</formula>
    </cfRule>
  </conditionalFormatting>
  <conditionalFormatting sqref="D59">
    <cfRule type="cellIs" priority="6" dxfId="2" operator="greaterThan" stopIfTrue="1">
      <formula>$D$61</formula>
    </cfRule>
  </conditionalFormatting>
  <conditionalFormatting sqref="C59">
    <cfRule type="cellIs" priority="5" dxfId="2" operator="greaterThan" stopIfTrue="1">
      <formula>$C$61</formula>
    </cfRule>
  </conditionalFormatting>
  <conditionalFormatting sqref="D28">
    <cfRule type="cellIs" priority="4" dxfId="2" operator="greaterThan" stopIfTrue="1">
      <formula>$D$30</formula>
    </cfRule>
  </conditionalFormatting>
  <conditionalFormatting sqref="C28">
    <cfRule type="cellIs" priority="3" dxfId="2" operator="greaterThan" stopIfTrue="1">
      <formula>$C$30</formula>
    </cfRule>
  </conditionalFormatting>
  <conditionalFormatting sqref="D60">
    <cfRule type="cellIs" priority="2" dxfId="0" operator="lessThan" stopIfTrue="1">
      <formula>0</formula>
    </cfRule>
  </conditionalFormatting>
  <conditionalFormatting sqref="D29">
    <cfRule type="cellIs" priority="1" dxfId="0" operator="lessThan" stopIfTrue="1">
      <formula>0</formula>
    </cfRule>
  </conditionalFormatting>
  <printOptions/>
  <pageMargins left="0.5" right="0.5" top="1" bottom="0.5" header="0.5" footer="0.5"/>
  <pageSetup blackAndWhite="1" fitToHeight="1" fitToWidth="1" horizontalDpi="120" verticalDpi="120" orientation="portrait" scale="75" r:id="rId1"/>
  <headerFooter alignWithMargins="0">
    <oddHeader>&amp;RState of Kansas
City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zoomScalePageLayoutView="0" workbookViewId="0" topLeftCell="A1">
      <selection activeCell="C66" sqref="C66"/>
    </sheetView>
  </sheetViews>
  <sheetFormatPr defaultColWidth="9.140625" defaultRowHeight="15"/>
  <cols>
    <col min="1" max="1" width="3.140625" style="72" customWidth="1"/>
    <col min="2" max="2" width="40.00390625" style="72" customWidth="1"/>
    <col min="3" max="4" width="20.28125" style="72" customWidth="1"/>
    <col min="5" max="5" width="21.00390625" style="72" customWidth="1"/>
    <col min="6" max="16384" width="9.140625" style="72" customWidth="1"/>
  </cols>
  <sheetData>
    <row r="1" spans="2:5" ht="15.75">
      <c r="B1" s="73" t="str">
        <f>('[1]inputPrYr'!D2)</f>
        <v>Andale</v>
      </c>
      <c r="C1" s="1"/>
      <c r="D1" s="1"/>
      <c r="E1" s="152">
        <f>'[1]inputPrYr'!C5</f>
        <v>2013</v>
      </c>
    </row>
    <row r="2" spans="2:5" ht="15.75">
      <c r="B2" s="1"/>
      <c r="C2" s="1"/>
      <c r="D2" s="1"/>
      <c r="E2" s="65"/>
    </row>
    <row r="3" spans="2:5" ht="15.75">
      <c r="B3" s="81" t="s">
        <v>240</v>
      </c>
      <c r="C3" s="64"/>
      <c r="D3" s="64"/>
      <c r="E3" s="64"/>
    </row>
    <row r="4" spans="2:5" ht="15.75">
      <c r="B4" s="13" t="s">
        <v>167</v>
      </c>
      <c r="C4" s="163" t="s">
        <v>168</v>
      </c>
      <c r="D4" s="164" t="s">
        <v>241</v>
      </c>
      <c r="E4" s="12" t="s">
        <v>242</v>
      </c>
    </row>
    <row r="5" spans="2:5" ht="15.75">
      <c r="B5" s="165" t="str">
        <f>('[1]inputPrYr'!B37)</f>
        <v>Special Park &amp; Recreation</v>
      </c>
      <c r="C5" s="166" t="str">
        <f>CONCATENATE("Actual for ",E1-2,"")</f>
        <v>Actual for 2011</v>
      </c>
      <c r="D5" s="166" t="str">
        <f>CONCATENATE("Estimate for ",E1-1,"")</f>
        <v>Estimate for 2012</v>
      </c>
      <c r="E5" s="167" t="str">
        <f>CONCATENATE("Year for ",E1,"")</f>
        <v>Year for 2013</v>
      </c>
    </row>
    <row r="6" spans="2:5" ht="15.75">
      <c r="B6" s="168" t="s">
        <v>171</v>
      </c>
      <c r="C6" s="174">
        <v>19309</v>
      </c>
      <c r="D6" s="130">
        <f>C29</f>
        <v>21083</v>
      </c>
      <c r="E6" s="130">
        <f>D29</f>
        <v>18997</v>
      </c>
    </row>
    <row r="7" spans="2:5" ht="15.75">
      <c r="B7" s="171" t="s">
        <v>172</v>
      </c>
      <c r="C7" s="36"/>
      <c r="D7" s="36"/>
      <c r="E7" s="36"/>
    </row>
    <row r="8" spans="2:5" ht="15.75">
      <c r="B8" s="194" t="s">
        <v>264</v>
      </c>
      <c r="C8" s="174">
        <v>1854</v>
      </c>
      <c r="D8" s="174">
        <v>1464</v>
      </c>
      <c r="E8" s="174">
        <v>1450</v>
      </c>
    </row>
    <row r="9" spans="2:5" ht="15.75">
      <c r="B9" s="194"/>
      <c r="C9" s="174"/>
      <c r="D9" s="174"/>
      <c r="E9" s="174"/>
    </row>
    <row r="10" spans="2:5" ht="15.75">
      <c r="B10" s="194"/>
      <c r="C10" s="174"/>
      <c r="D10" s="174"/>
      <c r="E10" s="174"/>
    </row>
    <row r="11" spans="2:5" ht="15.75">
      <c r="B11" s="194"/>
      <c r="C11" s="174"/>
      <c r="D11" s="174"/>
      <c r="E11" s="174"/>
    </row>
    <row r="12" spans="2:5" ht="15.75">
      <c r="B12" s="178" t="s">
        <v>192</v>
      </c>
      <c r="C12" s="174"/>
      <c r="D12" s="174"/>
      <c r="E12" s="174"/>
    </row>
    <row r="13" spans="2:5" ht="15.75">
      <c r="B13" s="37" t="s">
        <v>193</v>
      </c>
      <c r="C13" s="174"/>
      <c r="D13" s="179"/>
      <c r="E13" s="179"/>
    </row>
    <row r="14" spans="2:5" ht="15.75">
      <c r="B14" s="168" t="s">
        <v>194</v>
      </c>
      <c r="C14" s="252">
        <f>IF(C15*0.1&lt;C13,"Exceed 10% Rule","")</f>
      </c>
      <c r="D14" s="213">
        <f>IF(D15*0.1&lt;D13,"Exceed 10% Rule","")</f>
      </c>
      <c r="E14" s="213">
        <f>IF(E15*0.1&lt;E13,"Exceed 10% Rule","")</f>
      </c>
    </row>
    <row r="15" spans="2:5" ht="15.75">
      <c r="B15" s="183" t="s">
        <v>195</v>
      </c>
      <c r="C15" s="254">
        <f>SUM(C8:C13)</f>
        <v>1854</v>
      </c>
      <c r="D15" s="254">
        <f>SUM(D8:D13)</f>
        <v>1464</v>
      </c>
      <c r="E15" s="254">
        <f>SUM(E8:E13)</f>
        <v>1450</v>
      </c>
    </row>
    <row r="16" spans="2:5" ht="15.75">
      <c r="B16" s="183" t="s">
        <v>196</v>
      </c>
      <c r="C16" s="254">
        <f>C6+C15</f>
        <v>21163</v>
      </c>
      <c r="D16" s="254">
        <f>D6+D15</f>
        <v>22547</v>
      </c>
      <c r="E16" s="254">
        <f>E6+E15</f>
        <v>20447</v>
      </c>
    </row>
    <row r="17" spans="2:5" ht="15.75">
      <c r="B17" s="20" t="s">
        <v>199</v>
      </c>
      <c r="C17" s="130"/>
      <c r="D17" s="130"/>
      <c r="E17" s="130"/>
    </row>
    <row r="18" spans="2:5" ht="15.75">
      <c r="B18" s="194" t="s">
        <v>265</v>
      </c>
      <c r="C18" s="174">
        <v>80</v>
      </c>
      <c r="D18" s="174">
        <v>3550</v>
      </c>
      <c r="E18" s="174">
        <v>20000</v>
      </c>
    </row>
    <row r="19" spans="2:5" ht="15.75">
      <c r="B19" s="194"/>
      <c r="C19" s="174"/>
      <c r="D19" s="174"/>
      <c r="E19" s="174"/>
    </row>
    <row r="20" spans="2:5" ht="15.75">
      <c r="B20" s="194"/>
      <c r="C20" s="174"/>
      <c r="D20" s="174"/>
      <c r="E20" s="174"/>
    </row>
    <row r="21" spans="2:5" ht="15.75">
      <c r="B21" s="194"/>
      <c r="C21" s="174"/>
      <c r="D21" s="174"/>
      <c r="E21" s="174"/>
    </row>
    <row r="22" spans="2:5" ht="15.75">
      <c r="B22" s="194"/>
      <c r="C22" s="174"/>
      <c r="D22" s="174"/>
      <c r="E22" s="174"/>
    </row>
    <row r="23" spans="2:5" ht="15.75">
      <c r="B23" s="194"/>
      <c r="C23" s="174"/>
      <c r="D23" s="174"/>
      <c r="E23" s="174"/>
    </row>
    <row r="24" spans="2:5" ht="15.75">
      <c r="B24" s="194"/>
      <c r="C24" s="174"/>
      <c r="D24" s="174"/>
      <c r="E24" s="174"/>
    </row>
    <row r="25" spans="2:5" ht="15.75">
      <c r="B25" s="194"/>
      <c r="C25" s="174"/>
      <c r="D25" s="174"/>
      <c r="E25" s="174"/>
    </row>
    <row r="26" spans="2:5" ht="15.75">
      <c r="B26" s="212" t="s">
        <v>193</v>
      </c>
      <c r="C26" s="174"/>
      <c r="D26" s="179"/>
      <c r="E26" s="179"/>
    </row>
    <row r="27" spans="2:5" ht="15.75">
      <c r="B27" s="212" t="s">
        <v>213</v>
      </c>
      <c r="C27" s="252">
        <f>IF(C28*0.1&lt;C26,"Exceed 10% Rule","")</f>
      </c>
      <c r="D27" s="213">
        <f>IF(D28*0.1&lt;D26,"Exceed 10% Rule","")</f>
      </c>
      <c r="E27" s="213">
        <f>IF(E28*0.1&lt;E26,"Exceed 10% Rule","")</f>
      </c>
    </row>
    <row r="28" spans="2:5" ht="15.75">
      <c r="B28" s="183" t="s">
        <v>214</v>
      </c>
      <c r="C28" s="254">
        <f>SUM(C18:C26)</f>
        <v>80</v>
      </c>
      <c r="D28" s="254">
        <f>SUM(D18:D26)</f>
        <v>3550</v>
      </c>
      <c r="E28" s="254">
        <f>SUM(E18:E26)</f>
        <v>20000</v>
      </c>
    </row>
    <row r="29" spans="2:5" ht="15.75">
      <c r="B29" s="20" t="s">
        <v>215</v>
      </c>
      <c r="C29" s="130">
        <f>C16-C28</f>
        <v>21083</v>
      </c>
      <c r="D29" s="130">
        <f>D16-D28</f>
        <v>18997</v>
      </c>
      <c r="E29" s="130">
        <f>E16-E28</f>
        <v>447</v>
      </c>
    </row>
    <row r="30" spans="2:5" ht="15.75">
      <c r="B30" s="4" t="str">
        <f>CONCATENATE("",E1-2,"/",E1-1," Budget Authority Amount:")</f>
        <v>2011/2012 Budget Authority Amount:</v>
      </c>
      <c r="C30" s="145">
        <f>'[1]inputOth'!B76</f>
        <v>20000</v>
      </c>
      <c r="D30" s="145">
        <f>'[1]inputPrYr'!D37</f>
        <v>22000</v>
      </c>
      <c r="E30" s="340">
        <f>IF(E29&lt;0,"See Tab E","")</f>
      </c>
    </row>
    <row r="31" spans="2:5" ht="15.75">
      <c r="B31" s="4"/>
      <c r="C31" s="225">
        <f>IF(C28&gt;C30,"See Tab A","")</f>
      </c>
      <c r="D31" s="225">
        <f>IF(D28&gt;D30,"See Tab C","")</f>
      </c>
      <c r="E31" s="77"/>
    </row>
    <row r="32" spans="2:5" ht="15.75">
      <c r="B32" s="4"/>
      <c r="C32" s="225">
        <f>IF(C29&lt;0,"See Tab B","")</f>
      </c>
      <c r="D32" s="225">
        <f>IF(D29&lt;0,"See Tab D","")</f>
      </c>
      <c r="E32" s="77"/>
    </row>
    <row r="33" spans="2:5" ht="15.75">
      <c r="B33" s="1"/>
      <c r="C33" s="77"/>
      <c r="D33" s="77"/>
      <c r="E33" s="77"/>
    </row>
    <row r="34" spans="2:5" ht="15.75">
      <c r="B34" s="13" t="s">
        <v>167</v>
      </c>
      <c r="C34" s="341"/>
      <c r="D34" s="341"/>
      <c r="E34" s="341"/>
    </row>
    <row r="35" spans="2:5" ht="15.75">
      <c r="B35" s="1"/>
      <c r="C35" s="342" t="str">
        <f aca="true" t="shared" si="0" ref="C35:E36">C4</f>
        <v>Prior Year </v>
      </c>
      <c r="D35" s="12" t="str">
        <f t="shared" si="0"/>
        <v>Current Year</v>
      </c>
      <c r="E35" s="12" t="str">
        <f t="shared" si="0"/>
        <v>Proposed Budget</v>
      </c>
    </row>
    <row r="36" spans="2:5" ht="15.75">
      <c r="B36" s="247">
        <f>('[1]inputPrYr'!B38)</f>
        <v>0</v>
      </c>
      <c r="C36" s="167" t="str">
        <f t="shared" si="0"/>
        <v>Actual for 2011</v>
      </c>
      <c r="D36" s="167" t="str">
        <f t="shared" si="0"/>
        <v>Estimate for 2012</v>
      </c>
      <c r="E36" s="167" t="str">
        <f t="shared" si="0"/>
        <v>Year for 2013</v>
      </c>
    </row>
    <row r="37" spans="2:5" ht="15.75">
      <c r="B37" s="168" t="s">
        <v>171</v>
      </c>
      <c r="C37" s="174"/>
      <c r="D37" s="130">
        <f>C60</f>
        <v>0</v>
      </c>
      <c r="E37" s="130">
        <f>D60</f>
        <v>0</v>
      </c>
    </row>
    <row r="38" spans="2:5" ht="15.75">
      <c r="B38" s="168" t="s">
        <v>172</v>
      </c>
      <c r="C38" s="36"/>
      <c r="D38" s="36"/>
      <c r="E38" s="36"/>
    </row>
    <row r="39" spans="2:5" ht="15.75">
      <c r="B39" s="194"/>
      <c r="C39" s="174"/>
      <c r="D39" s="174"/>
      <c r="E39" s="174"/>
    </row>
    <row r="40" spans="2:5" ht="15.75">
      <c r="B40" s="194"/>
      <c r="C40" s="174"/>
      <c r="D40" s="174"/>
      <c r="E40" s="174"/>
    </row>
    <row r="41" spans="2:5" ht="15.75">
      <c r="B41" s="194"/>
      <c r="C41" s="174"/>
      <c r="D41" s="174"/>
      <c r="E41" s="174"/>
    </row>
    <row r="42" spans="2:5" ht="15.75">
      <c r="B42" s="194"/>
      <c r="C42" s="174"/>
      <c r="D42" s="174"/>
      <c r="E42" s="174"/>
    </row>
    <row r="43" spans="2:5" ht="15.75">
      <c r="B43" s="178" t="s">
        <v>192</v>
      </c>
      <c r="C43" s="174"/>
      <c r="D43" s="174"/>
      <c r="E43" s="174"/>
    </row>
    <row r="44" spans="2:5" ht="15.75">
      <c r="B44" s="37" t="s">
        <v>193</v>
      </c>
      <c r="C44" s="174"/>
      <c r="D44" s="179"/>
      <c r="E44" s="179"/>
    </row>
    <row r="45" spans="2:5" ht="15.75">
      <c r="B45" s="168" t="s">
        <v>194</v>
      </c>
      <c r="C45" s="252">
        <f>IF(C46*0.1&lt;C44,"Exceed 10% Rule","")</f>
      </c>
      <c r="D45" s="213">
        <f>IF(D46*0.1&lt;D44,"Exceed 10% Rule","")</f>
      </c>
      <c r="E45" s="213">
        <f>IF(E46*0.1&lt;E44,"Exceed 10% Rule","")</f>
      </c>
    </row>
    <row r="46" spans="2:5" ht="15.75">
      <c r="B46" s="183" t="s">
        <v>195</v>
      </c>
      <c r="C46" s="254">
        <f>SUM(C39:C44)</f>
        <v>0</v>
      </c>
      <c r="D46" s="254">
        <f>SUM(D39:D44)</f>
        <v>0</v>
      </c>
      <c r="E46" s="254">
        <f>SUM(E39:E44)</f>
        <v>0</v>
      </c>
    </row>
    <row r="47" spans="2:5" ht="15.75">
      <c r="B47" s="183" t="s">
        <v>196</v>
      </c>
      <c r="C47" s="254">
        <f>C37+C46</f>
        <v>0</v>
      </c>
      <c r="D47" s="254">
        <f>D37+D46</f>
        <v>0</v>
      </c>
      <c r="E47" s="254">
        <f>E37+E46</f>
        <v>0</v>
      </c>
    </row>
    <row r="48" spans="2:5" ht="15.75">
      <c r="B48" s="20" t="s">
        <v>199</v>
      </c>
      <c r="C48" s="130"/>
      <c r="D48" s="130"/>
      <c r="E48" s="130"/>
    </row>
    <row r="49" spans="2:5" ht="15.75">
      <c r="B49" s="194"/>
      <c r="C49" s="174"/>
      <c r="D49" s="174"/>
      <c r="E49" s="174"/>
    </row>
    <row r="50" spans="2:5" ht="15.75">
      <c r="B50" s="194"/>
      <c r="C50" s="174"/>
      <c r="D50" s="174"/>
      <c r="E50" s="174"/>
    </row>
    <row r="51" spans="2:5" ht="15.75">
      <c r="B51" s="194"/>
      <c r="C51" s="174"/>
      <c r="D51" s="174"/>
      <c r="E51" s="174"/>
    </row>
    <row r="52" spans="2:5" ht="15.75">
      <c r="B52" s="194"/>
      <c r="C52" s="174"/>
      <c r="D52" s="174"/>
      <c r="E52" s="174"/>
    </row>
    <row r="53" spans="2:5" ht="15.75">
      <c r="B53" s="194"/>
      <c r="C53" s="174"/>
      <c r="D53" s="174"/>
      <c r="E53" s="174"/>
    </row>
    <row r="54" spans="2:5" ht="15.75">
      <c r="B54" s="194"/>
      <c r="C54" s="174"/>
      <c r="D54" s="174"/>
      <c r="E54" s="174"/>
    </row>
    <row r="55" spans="2:5" ht="15.75">
      <c r="B55" s="194"/>
      <c r="C55" s="174"/>
      <c r="D55" s="174"/>
      <c r="E55" s="174"/>
    </row>
    <row r="56" spans="2:5" ht="15.75">
      <c r="B56" s="194"/>
      <c r="C56" s="174"/>
      <c r="D56" s="174"/>
      <c r="E56" s="174"/>
    </row>
    <row r="57" spans="2:5" ht="15.75">
      <c r="B57" s="212" t="s">
        <v>193</v>
      </c>
      <c r="C57" s="174"/>
      <c r="D57" s="179"/>
      <c r="E57" s="179"/>
    </row>
    <row r="58" spans="2:5" ht="15.75">
      <c r="B58" s="212" t="s">
        <v>213</v>
      </c>
      <c r="C58" s="252">
        <f>IF(C59*0.1&lt;C57,"Exceed 10% Rule","")</f>
      </c>
      <c r="D58" s="213">
        <f>IF(D59*0.1&lt;D57,"Exceed 10% Rule","")</f>
      </c>
      <c r="E58" s="213">
        <f>IF(E59*0.1&lt;E57,"Exceed 10% Rule","")</f>
      </c>
    </row>
    <row r="59" spans="2:5" ht="15.75">
      <c r="B59" s="183" t="s">
        <v>214</v>
      </c>
      <c r="C59" s="254">
        <f>SUM(C49:C57)</f>
        <v>0</v>
      </c>
      <c r="D59" s="254">
        <f>SUM(D49:D57)</f>
        <v>0</v>
      </c>
      <c r="E59" s="254">
        <f>SUM(E49:E57)</f>
        <v>0</v>
      </c>
    </row>
    <row r="60" spans="2:5" ht="15.75">
      <c r="B60" s="20" t="s">
        <v>215</v>
      </c>
      <c r="C60" s="130">
        <f>C47-C59</f>
        <v>0</v>
      </c>
      <c r="D60" s="130">
        <f>D47-D59</f>
        <v>0</v>
      </c>
      <c r="E60" s="130">
        <f>E47-E59</f>
        <v>0</v>
      </c>
    </row>
    <row r="61" spans="2:5" ht="15.75">
      <c r="B61" s="4" t="str">
        <f>CONCATENATE("",E1-2,"/",E1-1," Budget Authority Amount:")</f>
        <v>2011/2012 Budget Authority Amount:</v>
      </c>
      <c r="C61" s="145">
        <f>'[1]inputOth'!B77</f>
        <v>0</v>
      </c>
      <c r="D61" s="145">
        <f>'[1]inputPrYr'!D38</f>
        <v>0</v>
      </c>
      <c r="E61" s="340">
        <f>IF(E60&lt;0,"See Tab E","")</f>
      </c>
    </row>
    <row r="62" spans="2:5" ht="15.75">
      <c r="B62" s="4"/>
      <c r="C62" s="225">
        <f>IF(C59&gt;C61,"See Tab A","")</f>
      </c>
      <c r="D62" s="225">
        <f>IF(D59&gt;D61,"See Tab C","")</f>
      </c>
      <c r="E62" s="82"/>
    </row>
    <row r="63" spans="2:5" ht="15.75">
      <c r="B63" s="4"/>
      <c r="C63" s="225">
        <f>IF(C60&lt;0,"See Tab B","")</f>
      </c>
      <c r="D63" s="225">
        <f>IF(D60&lt;0,"See Tab D","")</f>
      </c>
      <c r="E63" s="82"/>
    </row>
    <row r="64" spans="2:5" ht="15.75">
      <c r="B64" s="1"/>
      <c r="C64" s="1"/>
      <c r="D64" s="1"/>
      <c r="E64" s="1"/>
    </row>
    <row r="65" spans="2:5" ht="15.75">
      <c r="B65" s="4" t="s">
        <v>197</v>
      </c>
      <c r="C65" s="338">
        <v>12</v>
      </c>
      <c r="D65" s="1"/>
      <c r="E65" s="1"/>
    </row>
  </sheetData>
  <sheetProtection sheet="1"/>
  <conditionalFormatting sqref="C13">
    <cfRule type="cellIs" priority="19" dxfId="108" operator="greaterThan" stopIfTrue="1">
      <formula>$C$15*0.1</formula>
    </cfRule>
  </conditionalFormatting>
  <conditionalFormatting sqref="D13">
    <cfRule type="cellIs" priority="18" dxfId="108" operator="greaterThan" stopIfTrue="1">
      <formula>$D$15*0.1</formula>
    </cfRule>
  </conditionalFormatting>
  <conditionalFormatting sqref="E13">
    <cfRule type="cellIs" priority="17" dxfId="108" operator="greaterThan" stopIfTrue="1">
      <formula>$E$15*0.1</formula>
    </cfRule>
  </conditionalFormatting>
  <conditionalFormatting sqref="C26">
    <cfRule type="cellIs" priority="16" dxfId="108" operator="greaterThan" stopIfTrue="1">
      <formula>$C$28*0.1</formula>
    </cfRule>
  </conditionalFormatting>
  <conditionalFormatting sqref="D26">
    <cfRule type="cellIs" priority="15" dxfId="108" operator="greaterThan" stopIfTrue="1">
      <formula>$D$28*0.1</formula>
    </cfRule>
  </conditionalFormatting>
  <conditionalFormatting sqref="E26">
    <cfRule type="cellIs" priority="14" dxfId="108" operator="greaterThan" stopIfTrue="1">
      <formula>$E$28*0.1</formula>
    </cfRule>
  </conditionalFormatting>
  <conditionalFormatting sqref="C44">
    <cfRule type="cellIs" priority="13" dxfId="108" operator="greaterThan" stopIfTrue="1">
      <formula>$C$46*0.1</formula>
    </cfRule>
  </conditionalFormatting>
  <conditionalFormatting sqref="D44">
    <cfRule type="cellIs" priority="12" dxfId="108" operator="greaterThan" stopIfTrue="1">
      <formula>$D$46*0.1</formula>
    </cfRule>
  </conditionalFormatting>
  <conditionalFormatting sqref="E44">
    <cfRule type="cellIs" priority="11" dxfId="108" operator="greaterThan" stopIfTrue="1">
      <formula>$E$46*0.1</formula>
    </cfRule>
  </conditionalFormatting>
  <conditionalFormatting sqref="C57">
    <cfRule type="cellIs" priority="10" dxfId="108" operator="greaterThan" stopIfTrue="1">
      <formula>$C$59*0.1</formula>
    </cfRule>
  </conditionalFormatting>
  <conditionalFormatting sqref="D57">
    <cfRule type="cellIs" priority="9" dxfId="108" operator="greaterThan" stopIfTrue="1">
      <formula>$D$59*0.1</formula>
    </cfRule>
  </conditionalFormatting>
  <conditionalFormatting sqref="E57">
    <cfRule type="cellIs" priority="8" dxfId="108" operator="greaterThan" stopIfTrue="1">
      <formula>$E$59*0.1</formula>
    </cfRule>
  </conditionalFormatting>
  <conditionalFormatting sqref="E60 C60 E29 C29">
    <cfRule type="cellIs" priority="7" dxfId="2" operator="lessThan" stopIfTrue="1">
      <formula>0</formula>
    </cfRule>
  </conditionalFormatting>
  <conditionalFormatting sqref="D59">
    <cfRule type="cellIs" priority="6" dxfId="2" operator="greaterThan" stopIfTrue="1">
      <formula>$D$61</formula>
    </cfRule>
  </conditionalFormatting>
  <conditionalFormatting sqref="C59">
    <cfRule type="cellIs" priority="5" dxfId="2" operator="greaterThan" stopIfTrue="1">
      <formula>$C$61</formula>
    </cfRule>
  </conditionalFormatting>
  <conditionalFormatting sqref="D28">
    <cfRule type="cellIs" priority="4" dxfId="2" operator="greaterThan" stopIfTrue="1">
      <formula>$D$30</formula>
    </cfRule>
  </conditionalFormatting>
  <conditionalFormatting sqref="C28">
    <cfRule type="cellIs" priority="3" dxfId="2" operator="greaterThan" stopIfTrue="1">
      <formula>$C$30</formula>
    </cfRule>
  </conditionalFormatting>
  <conditionalFormatting sqref="D60">
    <cfRule type="cellIs" priority="2" dxfId="0" operator="lessThan" stopIfTrue="1">
      <formula>0</formula>
    </cfRule>
  </conditionalFormatting>
  <conditionalFormatting sqref="D29">
    <cfRule type="cellIs" priority="1" dxfId="0" operator="lessThan" stopIfTrue="1">
      <formula>0</formula>
    </cfRule>
  </conditionalFormatting>
  <printOptions/>
  <pageMargins left="0.5" right="0.5" top="1" bottom="0.5" header="0.5" footer="0.5"/>
  <pageSetup blackAndWhite="1" fitToHeight="1" fitToWidth="1" horizontalDpi="120" verticalDpi="120" orientation="portrait" scale="75" r:id="rId1"/>
  <headerFooter alignWithMargins="0">
    <oddHeader>&amp;RState of Kansas
City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6">
      <selection activeCell="F34" sqref="F34"/>
    </sheetView>
  </sheetViews>
  <sheetFormatPr defaultColWidth="9.140625" defaultRowHeight="15"/>
  <cols>
    <col min="1" max="1" width="19.57421875" style="71" customWidth="1"/>
    <col min="2" max="2" width="9.57421875" style="71" customWidth="1"/>
    <col min="3" max="3" width="23.00390625" style="71" customWidth="1"/>
    <col min="4" max="4" width="9.57421875" style="71" customWidth="1"/>
    <col min="5" max="5" width="20.00390625" style="71" customWidth="1"/>
    <col min="6" max="6" width="9.57421875" style="71" customWidth="1"/>
    <col min="7" max="7" width="14.8515625" style="71" customWidth="1"/>
    <col min="8" max="8" width="9.57421875" style="71" customWidth="1"/>
    <col min="9" max="9" width="14.8515625" style="71" customWidth="1"/>
    <col min="10" max="16384" width="9.140625" style="71" customWidth="1"/>
  </cols>
  <sheetData>
    <row r="1" spans="1:11" ht="15.75">
      <c r="A1" s="106">
        <f>'[1]inputPrYr'!$C$2</f>
        <v>0</v>
      </c>
      <c r="B1" s="343"/>
      <c r="C1" s="106"/>
      <c r="D1" s="106"/>
      <c r="E1" s="106"/>
      <c r="F1" s="344" t="s">
        <v>266</v>
      </c>
      <c r="G1" s="106"/>
      <c r="H1" s="106"/>
      <c r="I1" s="106"/>
      <c r="J1" s="106"/>
      <c r="K1" s="106">
        <f>'[1]inputPrYr'!$C$5</f>
        <v>2013</v>
      </c>
    </row>
    <row r="2" spans="1:11" ht="15.75">
      <c r="A2" s="106"/>
      <c r="B2" s="106"/>
      <c r="C2" s="106"/>
      <c r="D2" s="106"/>
      <c r="E2" s="106"/>
      <c r="F2" s="345" t="str">
        <f>CONCATENATE("(Only the actual budget year for ",K1-2," is to be shown)")</f>
        <v>(Only the actual budget year for 2011 is to be shown)</v>
      </c>
      <c r="G2" s="106"/>
      <c r="H2" s="106"/>
      <c r="I2" s="106"/>
      <c r="J2" s="106"/>
      <c r="K2" s="106"/>
    </row>
    <row r="3" spans="1:11" ht="15.75">
      <c r="A3" s="106" t="s">
        <v>267</v>
      </c>
      <c r="B3" s="106"/>
      <c r="C3" s="106"/>
      <c r="D3" s="106"/>
      <c r="E3" s="106"/>
      <c r="F3" s="343"/>
      <c r="G3" s="106"/>
      <c r="H3" s="106"/>
      <c r="I3" s="106"/>
      <c r="J3" s="106"/>
      <c r="K3" s="106"/>
    </row>
    <row r="4" spans="1:11" ht="15.75">
      <c r="A4" s="106" t="s">
        <v>268</v>
      </c>
      <c r="B4" s="106"/>
      <c r="C4" s="106" t="s">
        <v>269</v>
      </c>
      <c r="D4" s="106"/>
      <c r="E4" s="106" t="s">
        <v>270</v>
      </c>
      <c r="F4" s="343"/>
      <c r="G4" s="106" t="s">
        <v>271</v>
      </c>
      <c r="H4" s="106"/>
      <c r="I4" s="106" t="s">
        <v>272</v>
      </c>
      <c r="J4" s="106"/>
      <c r="K4" s="106"/>
    </row>
    <row r="5" spans="1:11" ht="15.75">
      <c r="A5" s="470" t="str">
        <f>'[1]inputPrYr'!$B50</f>
        <v>Sewer Reserve</v>
      </c>
      <c r="B5" s="471"/>
      <c r="C5" s="470" t="str">
        <f>'[1]inputPrYr'!$B51</f>
        <v>Equipment Reserve</v>
      </c>
      <c r="D5" s="471"/>
      <c r="E5" s="470" t="str">
        <f>'[1]inputPrYr'!$B52</f>
        <v>Water Surplus</v>
      </c>
      <c r="F5" s="471"/>
      <c r="G5" s="470">
        <f>'[1]inputPrYr'!$B53</f>
        <v>0</v>
      </c>
      <c r="H5" s="471"/>
      <c r="I5" s="470">
        <f>'[1]inputPrYr'!$B54</f>
        <v>0</v>
      </c>
      <c r="J5" s="471"/>
      <c r="K5" s="346"/>
    </row>
    <row r="6" spans="1:11" ht="15.75">
      <c r="A6" s="347" t="s">
        <v>273</v>
      </c>
      <c r="B6" s="348"/>
      <c r="C6" s="349" t="s">
        <v>273</v>
      </c>
      <c r="D6" s="350"/>
      <c r="E6" s="349" t="s">
        <v>273</v>
      </c>
      <c r="F6" s="351"/>
      <c r="G6" s="349" t="s">
        <v>273</v>
      </c>
      <c r="H6" s="352"/>
      <c r="I6" s="349" t="s">
        <v>273</v>
      </c>
      <c r="J6" s="106"/>
      <c r="K6" s="353" t="s">
        <v>153</v>
      </c>
    </row>
    <row r="7" spans="1:11" ht="15.75">
      <c r="A7" s="354" t="s">
        <v>274</v>
      </c>
      <c r="B7" s="355">
        <v>163601</v>
      </c>
      <c r="C7" s="356" t="s">
        <v>274</v>
      </c>
      <c r="D7" s="355">
        <v>59900</v>
      </c>
      <c r="E7" s="356" t="s">
        <v>274</v>
      </c>
      <c r="F7" s="355">
        <v>255428</v>
      </c>
      <c r="G7" s="356" t="s">
        <v>274</v>
      </c>
      <c r="H7" s="355"/>
      <c r="I7" s="356" t="s">
        <v>274</v>
      </c>
      <c r="J7" s="355"/>
      <c r="K7" s="357">
        <f>SUM(B7+D7+F7+H7+J7)</f>
        <v>478929</v>
      </c>
    </row>
    <row r="8" spans="1:11" ht="15.75">
      <c r="A8" s="358" t="s">
        <v>172</v>
      </c>
      <c r="B8" s="359"/>
      <c r="C8" s="358" t="s">
        <v>172</v>
      </c>
      <c r="D8" s="360"/>
      <c r="E8" s="358" t="s">
        <v>172</v>
      </c>
      <c r="F8" s="343"/>
      <c r="G8" s="358" t="s">
        <v>172</v>
      </c>
      <c r="H8" s="106"/>
      <c r="I8" s="358" t="s">
        <v>172</v>
      </c>
      <c r="J8" s="106"/>
      <c r="K8" s="343"/>
    </row>
    <row r="9" spans="1:11" ht="15.75">
      <c r="A9" s="361" t="s">
        <v>224</v>
      </c>
      <c r="B9" s="355">
        <v>10000</v>
      </c>
      <c r="C9" s="361" t="s">
        <v>275</v>
      </c>
      <c r="D9" s="355">
        <v>10000</v>
      </c>
      <c r="E9" s="361" t="s">
        <v>223</v>
      </c>
      <c r="F9" s="355">
        <v>30000</v>
      </c>
      <c r="G9" s="361"/>
      <c r="H9" s="355"/>
      <c r="I9" s="361"/>
      <c r="J9" s="355"/>
      <c r="K9" s="343"/>
    </row>
    <row r="10" spans="1:11" ht="15.75">
      <c r="A10" s="361"/>
      <c r="B10" s="355"/>
      <c r="C10" s="361" t="s">
        <v>276</v>
      </c>
      <c r="D10" s="355">
        <v>4000</v>
      </c>
      <c r="E10" s="361" t="s">
        <v>277</v>
      </c>
      <c r="F10" s="355">
        <v>120</v>
      </c>
      <c r="G10" s="361"/>
      <c r="H10" s="355"/>
      <c r="I10" s="361"/>
      <c r="J10" s="355"/>
      <c r="K10" s="343"/>
    </row>
    <row r="11" spans="1:11" ht="15.75">
      <c r="A11" s="361"/>
      <c r="B11" s="355"/>
      <c r="C11" s="362"/>
      <c r="D11" s="363"/>
      <c r="E11" s="362"/>
      <c r="F11" s="363"/>
      <c r="G11" s="362"/>
      <c r="H11" s="363"/>
      <c r="I11" s="364"/>
      <c r="J11" s="355"/>
      <c r="K11" s="343"/>
    </row>
    <row r="12" spans="1:11" ht="15.75">
      <c r="A12" s="361"/>
      <c r="B12" s="365"/>
      <c r="C12" s="361"/>
      <c r="D12" s="366"/>
      <c r="E12" s="367"/>
      <c r="F12" s="366"/>
      <c r="G12" s="367"/>
      <c r="H12" s="366"/>
      <c r="I12" s="367"/>
      <c r="J12" s="355"/>
      <c r="K12" s="343"/>
    </row>
    <row r="13" spans="1:11" ht="15.75">
      <c r="A13" s="368"/>
      <c r="B13" s="369"/>
      <c r="C13" s="370"/>
      <c r="D13" s="369"/>
      <c r="E13" s="370"/>
      <c r="F13" s="369"/>
      <c r="G13" s="370"/>
      <c r="H13" s="369"/>
      <c r="I13" s="364"/>
      <c r="J13" s="355"/>
      <c r="K13" s="343"/>
    </row>
    <row r="14" spans="1:11" ht="15.75">
      <c r="A14" s="361"/>
      <c r="B14" s="355"/>
      <c r="C14" s="367"/>
      <c r="D14" s="366"/>
      <c r="E14" s="367"/>
      <c r="F14" s="366"/>
      <c r="G14" s="367"/>
      <c r="H14" s="366"/>
      <c r="I14" s="367"/>
      <c r="J14" s="355"/>
      <c r="K14" s="343"/>
    </row>
    <row r="15" spans="1:11" ht="15.75">
      <c r="A15" s="361"/>
      <c r="B15" s="355"/>
      <c r="C15" s="367"/>
      <c r="D15" s="366"/>
      <c r="E15" s="367"/>
      <c r="F15" s="366"/>
      <c r="G15" s="367"/>
      <c r="H15" s="366"/>
      <c r="I15" s="367"/>
      <c r="J15" s="355"/>
      <c r="K15" s="343"/>
    </row>
    <row r="16" spans="1:11" ht="15.75">
      <c r="A16" s="361"/>
      <c r="B16" s="369"/>
      <c r="C16" s="361"/>
      <c r="D16" s="369"/>
      <c r="E16" s="361"/>
      <c r="F16" s="355"/>
      <c r="G16" s="367"/>
      <c r="H16" s="369"/>
      <c r="I16" s="361"/>
      <c r="J16" s="366"/>
      <c r="K16" s="343"/>
    </row>
    <row r="17" spans="1:11" ht="15.75">
      <c r="A17" s="358" t="s">
        <v>195</v>
      </c>
      <c r="B17" s="357">
        <f>SUM(B9:B16)</f>
        <v>10000</v>
      </c>
      <c r="C17" s="358" t="s">
        <v>195</v>
      </c>
      <c r="D17" s="371">
        <f>SUM(D9:D16)</f>
        <v>14000</v>
      </c>
      <c r="E17" s="358" t="s">
        <v>195</v>
      </c>
      <c r="F17" s="372">
        <f>SUM(F9:F16)</f>
        <v>30120</v>
      </c>
      <c r="G17" s="358" t="s">
        <v>195</v>
      </c>
      <c r="H17" s="371">
        <f>SUM(H9:H16)</f>
        <v>0</v>
      </c>
      <c r="I17" s="358" t="s">
        <v>195</v>
      </c>
      <c r="J17" s="371">
        <f>SUM(J9:J16)</f>
        <v>0</v>
      </c>
      <c r="K17" s="357">
        <f>SUM(B17+D17+F17+H17+J17)</f>
        <v>54120</v>
      </c>
    </row>
    <row r="18" spans="1:11" ht="15.75">
      <c r="A18" s="358" t="s">
        <v>196</v>
      </c>
      <c r="B18" s="357">
        <f>SUM(B7+B17)</f>
        <v>173601</v>
      </c>
      <c r="C18" s="358" t="s">
        <v>196</v>
      </c>
      <c r="D18" s="357">
        <f>SUM(D7+D17)</f>
        <v>73900</v>
      </c>
      <c r="E18" s="358" t="s">
        <v>196</v>
      </c>
      <c r="F18" s="357">
        <f>SUM(F7+F17)</f>
        <v>285548</v>
      </c>
      <c r="G18" s="358" t="s">
        <v>196</v>
      </c>
      <c r="H18" s="357">
        <f>SUM(H7+H17)</f>
        <v>0</v>
      </c>
      <c r="I18" s="358" t="s">
        <v>196</v>
      </c>
      <c r="J18" s="357">
        <f>SUM(J7+J17)</f>
        <v>0</v>
      </c>
      <c r="K18" s="357">
        <f>SUM(B18+D18+F18+H18+J18)</f>
        <v>533049</v>
      </c>
    </row>
    <row r="19" spans="1:11" ht="15.75">
      <c r="A19" s="358" t="s">
        <v>199</v>
      </c>
      <c r="B19" s="359"/>
      <c r="C19" s="358" t="s">
        <v>199</v>
      </c>
      <c r="D19" s="360"/>
      <c r="E19" s="358" t="s">
        <v>199</v>
      </c>
      <c r="F19" s="343"/>
      <c r="G19" s="358" t="s">
        <v>199</v>
      </c>
      <c r="H19" s="106"/>
      <c r="I19" s="358" t="s">
        <v>199</v>
      </c>
      <c r="J19" s="106"/>
      <c r="K19" s="343"/>
    </row>
    <row r="20" spans="1:11" ht="15.75">
      <c r="A20" s="361" t="s">
        <v>278</v>
      </c>
      <c r="B20" s="355">
        <v>19285</v>
      </c>
      <c r="C20" s="367" t="s">
        <v>279</v>
      </c>
      <c r="D20" s="355">
        <v>3600</v>
      </c>
      <c r="E20" s="367"/>
      <c r="F20" s="355"/>
      <c r="G20" s="367"/>
      <c r="H20" s="355"/>
      <c r="I20" s="367"/>
      <c r="J20" s="355"/>
      <c r="K20" s="343"/>
    </row>
    <row r="21" spans="1:11" ht="15.75">
      <c r="A21" s="361"/>
      <c r="B21" s="355"/>
      <c r="C21" s="367" t="s">
        <v>280</v>
      </c>
      <c r="D21" s="366">
        <v>1728</v>
      </c>
      <c r="E21" s="367"/>
      <c r="F21" s="366"/>
      <c r="G21" s="367"/>
      <c r="H21" s="366"/>
      <c r="I21" s="367"/>
      <c r="J21" s="373"/>
      <c r="K21" s="343"/>
    </row>
    <row r="22" spans="1:11" ht="15.75">
      <c r="A22" s="361"/>
      <c r="B22" s="374"/>
      <c r="C22" s="370"/>
      <c r="D22" s="369"/>
      <c r="E22" s="370"/>
      <c r="F22" s="369"/>
      <c r="G22" s="370"/>
      <c r="H22" s="369"/>
      <c r="I22" s="364"/>
      <c r="J22" s="355"/>
      <c r="K22" s="343"/>
    </row>
    <row r="23" spans="1:11" ht="15.75">
      <c r="A23" s="361"/>
      <c r="B23" s="355"/>
      <c r="C23" s="367"/>
      <c r="D23" s="366"/>
      <c r="E23" s="367"/>
      <c r="F23" s="366"/>
      <c r="G23" s="367"/>
      <c r="H23" s="366"/>
      <c r="I23" s="367"/>
      <c r="J23" s="355"/>
      <c r="K23" s="343"/>
    </row>
    <row r="24" spans="1:11" ht="15.75">
      <c r="A24" s="361"/>
      <c r="B24" s="374"/>
      <c r="C24" s="370"/>
      <c r="D24" s="369"/>
      <c r="E24" s="370"/>
      <c r="F24" s="369"/>
      <c r="G24" s="370"/>
      <c r="H24" s="369"/>
      <c r="I24" s="364"/>
      <c r="J24" s="355"/>
      <c r="K24" s="343"/>
    </row>
    <row r="25" spans="1:11" ht="15.75">
      <c r="A25" s="361"/>
      <c r="B25" s="355"/>
      <c r="C25" s="367"/>
      <c r="D25" s="366"/>
      <c r="E25" s="367"/>
      <c r="F25" s="366"/>
      <c r="G25" s="367"/>
      <c r="H25" s="366"/>
      <c r="I25" s="367"/>
      <c r="J25" s="355"/>
      <c r="K25" s="343"/>
    </row>
    <row r="26" spans="1:11" ht="15.75">
      <c r="A26" s="361"/>
      <c r="B26" s="355"/>
      <c r="C26" s="367"/>
      <c r="D26" s="366"/>
      <c r="E26" s="367"/>
      <c r="F26" s="366"/>
      <c r="G26" s="367"/>
      <c r="H26" s="366"/>
      <c r="I26" s="367"/>
      <c r="J26" s="355"/>
      <c r="K26" s="343"/>
    </row>
    <row r="27" spans="1:11" ht="15.75">
      <c r="A27" s="361"/>
      <c r="B27" s="373"/>
      <c r="C27" s="361"/>
      <c r="D27" s="365"/>
      <c r="E27" s="361"/>
      <c r="F27" s="366"/>
      <c r="G27" s="367"/>
      <c r="H27" s="366"/>
      <c r="I27" s="367"/>
      <c r="J27" s="355"/>
      <c r="K27" s="343"/>
    </row>
    <row r="28" spans="1:11" ht="15.75">
      <c r="A28" s="358" t="s">
        <v>214</v>
      </c>
      <c r="B28" s="357">
        <f>SUM(B20:B27)</f>
        <v>19285</v>
      </c>
      <c r="C28" s="358" t="s">
        <v>214</v>
      </c>
      <c r="D28" s="357">
        <f>SUM(D20:D27)</f>
        <v>5328</v>
      </c>
      <c r="E28" s="358" t="s">
        <v>214</v>
      </c>
      <c r="F28" s="375">
        <f>SUM(F20:F27)</f>
        <v>0</v>
      </c>
      <c r="G28" s="358" t="s">
        <v>214</v>
      </c>
      <c r="H28" s="375">
        <f>SUM(H20:H27)</f>
        <v>0</v>
      </c>
      <c r="I28" s="358" t="s">
        <v>214</v>
      </c>
      <c r="J28" s="357">
        <f>SUM(J20:J27)</f>
        <v>0</v>
      </c>
      <c r="K28" s="357">
        <f>SUM(B28+D28+F28+H28+J28)</f>
        <v>24613</v>
      </c>
    </row>
    <row r="29" spans="1:12" ht="15.75">
      <c r="A29" s="358" t="s">
        <v>281</v>
      </c>
      <c r="B29" s="357">
        <f>SUM(B18-B28)</f>
        <v>154316</v>
      </c>
      <c r="C29" s="358" t="s">
        <v>281</v>
      </c>
      <c r="D29" s="357">
        <f>SUM(D18-D28)</f>
        <v>68572</v>
      </c>
      <c r="E29" s="358" t="s">
        <v>281</v>
      </c>
      <c r="F29" s="357">
        <f>SUM(F18-F28)</f>
        <v>285548</v>
      </c>
      <c r="G29" s="358" t="s">
        <v>281</v>
      </c>
      <c r="H29" s="357">
        <f>SUM(H18-H28)</f>
        <v>0</v>
      </c>
      <c r="I29" s="358" t="s">
        <v>281</v>
      </c>
      <c r="J29" s="357">
        <f>SUM(J18-J28)</f>
        <v>0</v>
      </c>
      <c r="K29" s="376">
        <f>SUM(B29+D29+F29+H29+J29)</f>
        <v>508436</v>
      </c>
      <c r="L29" s="377" t="s">
        <v>282</v>
      </c>
    </row>
    <row r="30" spans="1:12" ht="15.75">
      <c r="A30" s="358"/>
      <c r="B30" s="378">
        <f>IF(B29&lt;0,"See Tab B","")</f>
      </c>
      <c r="C30" s="358"/>
      <c r="D30" s="378">
        <f>IF(D29&lt;0,"See Tab B","")</f>
      </c>
      <c r="E30" s="358"/>
      <c r="F30" s="378">
        <f>IF(F29&lt;0,"See Tab B","")</f>
      </c>
      <c r="G30" s="106"/>
      <c r="H30" s="378">
        <f>IF(H29&lt;0,"See Tab B","")</f>
      </c>
      <c r="I30" s="106"/>
      <c r="J30" s="378">
        <f>IF(J29&lt;0,"See Tab B","")</f>
      </c>
      <c r="K30" s="376">
        <f>SUM(K7+K17-K28)</f>
        <v>508436</v>
      </c>
      <c r="L30" s="377" t="s">
        <v>282</v>
      </c>
    </row>
    <row r="31" spans="1:11" ht="15.75">
      <c r="A31" s="106"/>
      <c r="B31" s="379"/>
      <c r="C31" s="106"/>
      <c r="D31" s="343"/>
      <c r="E31" s="106"/>
      <c r="F31" s="106"/>
      <c r="G31" s="380" t="s">
        <v>283</v>
      </c>
      <c r="H31" s="380"/>
      <c r="I31" s="380"/>
      <c r="J31" s="380"/>
      <c r="K31" s="106"/>
    </row>
    <row r="32" spans="1:11" ht="15.75">
      <c r="A32" s="106"/>
      <c r="B32" s="379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ht="15.75">
      <c r="A33" s="106"/>
      <c r="B33" s="379"/>
      <c r="C33" s="106"/>
      <c r="D33" s="106"/>
      <c r="E33" s="381" t="s">
        <v>197</v>
      </c>
      <c r="F33" s="338">
        <v>13</v>
      </c>
      <c r="G33" s="106"/>
      <c r="H33" s="106"/>
      <c r="I33" s="106"/>
      <c r="J33" s="106"/>
      <c r="K33" s="106"/>
    </row>
    <row r="34" ht="15.75">
      <c r="B34" s="382"/>
    </row>
    <row r="35" ht="15.75">
      <c r="B35" s="382"/>
    </row>
    <row r="36" ht="15.75">
      <c r="B36" s="382"/>
    </row>
    <row r="37" ht="15.75">
      <c r="B37" s="382"/>
    </row>
    <row r="38" ht="15.75">
      <c r="B38" s="382"/>
    </row>
    <row r="39" ht="15.75">
      <c r="B39" s="382"/>
    </row>
    <row r="40" ht="15.75">
      <c r="B40" s="382"/>
    </row>
    <row r="41" ht="15.75">
      <c r="B41" s="382"/>
    </row>
  </sheetData>
  <sheetProtection/>
  <mergeCells count="5">
    <mergeCell ref="A5:B5"/>
    <mergeCell ref="C5:D5"/>
    <mergeCell ref="E5:F5"/>
    <mergeCell ref="G5:H5"/>
    <mergeCell ref="I5:J5"/>
  </mergeCells>
  <printOptions/>
  <pageMargins left="0" right="0" top="1" bottom="1" header="0.5" footer="0.5"/>
  <pageSetup blackAndWhite="1" fitToHeight="1" fitToWidth="1" horizontalDpi="600" verticalDpi="600" orientation="landscape" scale="82" r:id="rId1"/>
  <headerFooter alignWithMargins="0">
    <oddHeader>&amp;RState of Kansas
City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75" zoomScaleNormal="75" zoomScalePageLayoutView="0" workbookViewId="0" topLeftCell="A10">
      <selection activeCell="J32" sqref="J32"/>
    </sheetView>
  </sheetViews>
  <sheetFormatPr defaultColWidth="9.140625" defaultRowHeight="15"/>
  <cols>
    <col min="1" max="1" width="26.7109375" style="71" customWidth="1"/>
    <col min="2" max="2" width="20.28125" style="71" customWidth="1"/>
    <col min="3" max="3" width="13.8515625" style="71" customWidth="1"/>
    <col min="4" max="4" width="20.28125" style="71" customWidth="1"/>
    <col min="5" max="5" width="13.8515625" style="71" customWidth="1"/>
    <col min="6" max="6" width="20.28125" style="71" customWidth="1"/>
    <col min="7" max="7" width="16.421875" style="71" customWidth="1"/>
    <col min="8" max="8" width="13.8515625" style="71" customWidth="1"/>
    <col min="9" max="9" width="11.421875" style="71" customWidth="1"/>
    <col min="10" max="10" width="16.00390625" style="71" customWidth="1"/>
    <col min="11" max="11" width="15.8515625" style="71" customWidth="1"/>
    <col min="12" max="12" width="13.57421875" style="71" customWidth="1"/>
    <col min="13" max="13" width="15.57421875" style="71" customWidth="1"/>
    <col min="14" max="16384" width="9.140625" style="71" customWidth="1"/>
  </cols>
  <sheetData>
    <row r="1" spans="1:8" ht="15.75">
      <c r="A1" s="106"/>
      <c r="B1" s="106"/>
      <c r="C1" s="106"/>
      <c r="D1" s="106"/>
      <c r="E1" s="106"/>
      <c r="F1" s="106"/>
      <c r="G1" s="106"/>
      <c r="H1" s="106">
        <f>'[1]inputPrYr'!$C$5</f>
        <v>2013</v>
      </c>
    </row>
    <row r="2" spans="1:9" ht="15.75">
      <c r="A2" s="432" t="s">
        <v>284</v>
      </c>
      <c r="B2" s="432"/>
      <c r="C2" s="432"/>
      <c r="D2" s="432"/>
      <c r="E2" s="432"/>
      <c r="F2" s="432"/>
      <c r="G2" s="432"/>
      <c r="H2" s="432"/>
      <c r="I2" s="383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8" ht="15.75">
      <c r="A4" s="424" t="s">
        <v>285</v>
      </c>
      <c r="B4" s="424"/>
      <c r="C4" s="424"/>
      <c r="D4" s="424"/>
      <c r="E4" s="424"/>
      <c r="F4" s="424"/>
      <c r="G4" s="424"/>
      <c r="H4" s="424"/>
    </row>
    <row r="5" spans="1:8" ht="15.75">
      <c r="A5" s="426" t="str">
        <f>'[1]inputPrYr'!D2</f>
        <v>Andale</v>
      </c>
      <c r="B5" s="426"/>
      <c r="C5" s="426"/>
      <c r="D5" s="426"/>
      <c r="E5" s="426"/>
      <c r="F5" s="426"/>
      <c r="G5" s="426"/>
      <c r="H5" s="426"/>
    </row>
    <row r="6" spans="1:8" ht="15.75">
      <c r="A6" s="472" t="str">
        <f>CONCATENATE("will meet on ",'[1]inputBudSum'!B7," at ",'[1]inputBudSum'!B9," at ",'[1]inputBudSum'!B11," for the purpose of")</f>
        <v>will meet on July 23, 2012 at 7:00 p.m. at 326 N. Main, Andale, KS 67001 for the purpose of</v>
      </c>
      <c r="B6" s="472"/>
      <c r="C6" s="472"/>
      <c r="D6" s="472"/>
      <c r="E6" s="472"/>
      <c r="F6" s="472"/>
      <c r="G6" s="472"/>
      <c r="H6" s="472"/>
    </row>
    <row r="7" spans="1:8" ht="15.75">
      <c r="A7" s="424" t="s">
        <v>286</v>
      </c>
      <c r="B7" s="424"/>
      <c r="C7" s="424"/>
      <c r="D7" s="424"/>
      <c r="E7" s="424"/>
      <c r="F7" s="424"/>
      <c r="G7" s="424"/>
      <c r="H7" s="424"/>
    </row>
    <row r="8" spans="1:8" ht="15.75">
      <c r="A8" s="482" t="str">
        <f>CONCATENATE("Detailed budget information is available at ",'[1]inputBudSum'!B14," and will be available at this hearing.")</f>
        <v>Detailed budget information is available at Andale City Hall and will be available at this hearing.</v>
      </c>
      <c r="B8" s="482"/>
      <c r="C8" s="482"/>
      <c r="D8" s="482"/>
      <c r="E8" s="482"/>
      <c r="F8" s="482"/>
      <c r="G8" s="482"/>
      <c r="H8" s="482"/>
    </row>
    <row r="9" spans="1:8" ht="15.75">
      <c r="A9" s="384" t="s">
        <v>287</v>
      </c>
      <c r="B9" s="6"/>
      <c r="C9" s="6"/>
      <c r="D9" s="6"/>
      <c r="E9" s="6"/>
      <c r="F9" s="6"/>
      <c r="G9" s="6"/>
      <c r="H9" s="6"/>
    </row>
    <row r="10" spans="1:8" ht="15.75">
      <c r="A10" s="5" t="str">
        <f>CONCATENATE("Proposed Budget ",H1," Expenditures and Amount of  ",H1-1," Ad Valorem Tax establish the maximum limits of the ",H1," budget.")</f>
        <v>Proposed Budget 2013 Expenditures and Amount of  2012 Ad Valorem Tax establish the maximum limits of the 2013 budget.</v>
      </c>
      <c r="B10" s="6"/>
      <c r="C10" s="6"/>
      <c r="D10" s="6"/>
      <c r="E10" s="6"/>
      <c r="F10" s="6"/>
      <c r="G10" s="6"/>
      <c r="H10" s="6"/>
    </row>
    <row r="11" spans="1:8" ht="15.75">
      <c r="A11" s="5" t="s">
        <v>288</v>
      </c>
      <c r="B11" s="6"/>
      <c r="C11" s="6"/>
      <c r="D11" s="6"/>
      <c r="E11" s="6"/>
      <c r="F11" s="6"/>
      <c r="G11" s="6"/>
      <c r="H11" s="6"/>
    </row>
    <row r="12" spans="1:8" ht="15.75">
      <c r="A12" s="1"/>
      <c r="B12" s="64"/>
      <c r="C12" s="64"/>
      <c r="D12" s="64"/>
      <c r="E12" s="64"/>
      <c r="F12" s="64"/>
      <c r="G12" s="64"/>
      <c r="H12" s="64"/>
    </row>
    <row r="13" spans="1:8" ht="15.75">
      <c r="A13" s="1"/>
      <c r="B13" s="385" t="str">
        <f>CONCATENATE("Prior Year Actual for ",H1-2,"")</f>
        <v>Prior Year Actual for 2011</v>
      </c>
      <c r="C13" s="9"/>
      <c r="D13" s="385" t="str">
        <f>CONCATENATE("Current Year Estimate for ",H1-1,"")</f>
        <v>Current Year Estimate for 2012</v>
      </c>
      <c r="E13" s="9"/>
      <c r="F13" s="7" t="str">
        <f>CONCATENATE("Proposed Budget for ",H1,"")</f>
        <v>Proposed Budget for 2013</v>
      </c>
      <c r="G13" s="8"/>
      <c r="H13" s="9"/>
    </row>
    <row r="14" spans="1:8" ht="21" customHeight="1">
      <c r="A14" s="1"/>
      <c r="B14" s="342"/>
      <c r="C14" s="12" t="s">
        <v>90</v>
      </c>
      <c r="D14" s="12"/>
      <c r="E14" s="12" t="s">
        <v>90</v>
      </c>
      <c r="F14" s="386" t="s">
        <v>8</v>
      </c>
      <c r="G14" s="12" t="str">
        <f>CONCATENATE("Amount of ",H1-1,"")</f>
        <v>Amount of 2012</v>
      </c>
      <c r="H14" s="12" t="s">
        <v>289</v>
      </c>
    </row>
    <row r="15" spans="1:8" ht="15.75">
      <c r="A15" s="31" t="s">
        <v>290</v>
      </c>
      <c r="B15" s="18" t="s">
        <v>291</v>
      </c>
      <c r="C15" s="18" t="s">
        <v>292</v>
      </c>
      <c r="D15" s="18" t="s">
        <v>291</v>
      </c>
      <c r="E15" s="18" t="s">
        <v>292</v>
      </c>
      <c r="F15" s="387" t="s">
        <v>12</v>
      </c>
      <c r="G15" s="19" t="s">
        <v>173</v>
      </c>
      <c r="H15" s="18" t="s">
        <v>292</v>
      </c>
    </row>
    <row r="16" spans="1:8" ht="15.75">
      <c r="A16" s="36" t="str">
        <f>'[1]inputPrYr'!B17</f>
        <v>General</v>
      </c>
      <c r="B16" s="130">
        <f>IF('[1]general'!$C$112&lt;&gt;0,'[1]general'!$C$112,"  ")</f>
        <v>354237</v>
      </c>
      <c r="C16" s="388">
        <f>IF('[1]inputPrYr'!D63&gt;0,'[1]inputPrYr'!D63,"  ")</f>
        <v>24.222</v>
      </c>
      <c r="D16" s="130">
        <f>IF('[1]general'!$D$112&lt;&gt;0,'[1]general'!$D$112,"  ")</f>
        <v>373370</v>
      </c>
      <c r="E16" s="388">
        <f>IF('[1]inputOth'!D21&gt;0,'[1]inputOth'!D21,"  ")</f>
        <v>22.317</v>
      </c>
      <c r="F16" s="130">
        <f>IF('[1]general'!$E$112&lt;&gt;0,'[1]general'!$E$112,"  ")</f>
        <v>355670</v>
      </c>
      <c r="G16" s="130">
        <f>IF('[1]general'!$E$119&lt;&gt;0,'[1]general'!$E$119,"  ")</f>
        <v>117819.85999999999</v>
      </c>
      <c r="H16" s="388">
        <f>IF('[1]general'!E119&gt;0,ROUND(G16/$F$47*1000,3),"  ")</f>
        <v>19.897</v>
      </c>
    </row>
    <row r="17" spans="1:8" ht="15.75">
      <c r="A17" s="36" t="str">
        <f>IF('[1]inputPrYr'!$B18&gt;"  ",('[1]inputPrYr'!$B18),"  ")</f>
        <v>Debt Service</v>
      </c>
      <c r="B17" s="130">
        <f>IF('[1]DebtSvs-Library'!C35&lt;&gt;0,'[1]DebtSvs-Library'!C35,"  ")</f>
        <v>278815.64</v>
      </c>
      <c r="C17" s="388">
        <f>IF('[1]inputPrYr'!D64&gt;0,'[1]inputPrYr'!D64,"  ")</f>
        <v>6.199</v>
      </c>
      <c r="D17" s="130">
        <f>IF('[1]DebtSvs-Library'!D35&lt;&gt;0,'[1]DebtSvs-Library'!D35,"  ")</f>
        <v>317319</v>
      </c>
      <c r="E17" s="388">
        <f>IF('[1]inputOth'!D22&gt;0,'[1]inputOth'!D22,"  ")</f>
        <v>8.481</v>
      </c>
      <c r="F17" s="130">
        <f>IF('[1]DebtSvs-Library'!E35&lt;&gt;0,'[1]DebtSvs-Library'!E35,"  ")</f>
        <v>342091</v>
      </c>
      <c r="G17" s="130">
        <f>IF('[1]DebtSvs-Library'!E42&lt;&gt;0,'[1]DebtSvs-Library'!E42," ")</f>
        <v>82222.64000000001</v>
      </c>
      <c r="H17" s="388">
        <f>IF('[1]DebtSvs-Library'!E42&gt;0,ROUND(G17/$F$47*1000,3)," ")</f>
        <v>13.886</v>
      </c>
    </row>
    <row r="18" spans="1:8" ht="15.75">
      <c r="A18" s="36" t="str">
        <f>IF('[1]inputPrYr'!$B20&gt;"  ",('[1]inputPrYr'!$B20),"  ")</f>
        <v>Special Law &amp; Ambulance</v>
      </c>
      <c r="B18" s="130">
        <f>IF('[1]levy page9'!$C$33&gt;0,'[1]levy page9'!$C$33,"  ")</f>
        <v>17335</v>
      </c>
      <c r="C18" s="388">
        <f>IF('[1]inputPrYr'!D65&gt;0,'[1]inputPrYr'!D65,"  ")</f>
        <v>2.919</v>
      </c>
      <c r="D18" s="130">
        <f>IF('[1]levy page9'!$D$33&gt;0,'[1]levy page9'!$D$33,"  ")</f>
        <v>15400</v>
      </c>
      <c r="E18" s="388">
        <f>IF('[1]inputOth'!D23&gt;0,'[1]inputOth'!D23,"  ")</f>
        <v>2.635</v>
      </c>
      <c r="F18" s="130">
        <f>IF('[1]levy page9'!$E$33&gt;0,'[1]levy page9'!$E$33,"  ")</f>
        <v>11600</v>
      </c>
      <c r="G18" s="130">
        <f>IF('[1]levy page9'!$E$40&lt;&gt;0,'[1]levy page9'!$E$40,"  ")</f>
        <v>2689.279999999999</v>
      </c>
      <c r="H18" s="388">
        <f>IF('[1]levy page9'!E40&lt;&gt;0,ROUND(G18/$F$47*1000,3),"  ")</f>
        <v>0.454</v>
      </c>
    </row>
    <row r="19" spans="1:8" ht="15.75">
      <c r="A19" s="36" t="str">
        <f>IF('[1]inputPrYr'!$B21&gt;"  ",('[1]inputPrYr'!$B21),"  ")</f>
        <v>Employee Benefits</v>
      </c>
      <c r="B19" s="130">
        <f>IF('[1]levy page9'!$C$73&gt;0,'[1]levy page9'!$C$73,"  ")</f>
        <v>60775.54</v>
      </c>
      <c r="C19" s="388">
        <f>IF('[1]inputPrYr'!D66&gt;0,'[1]inputPrYr'!D66,"  ")</f>
        <v>9.021</v>
      </c>
      <c r="D19" s="130">
        <f>IF('[1]levy page9'!$D$73&gt;0,'[1]levy page9'!$D$73,"  ")</f>
        <v>60229</v>
      </c>
      <c r="E19" s="388">
        <f>IF('[1]inputOth'!D24&gt;0,'[1]inputOth'!D24,"  ")</f>
        <v>9.078</v>
      </c>
      <c r="F19" s="130">
        <f>IF('[1]levy page9'!$E$73&gt;0,'[1]levy page9'!$E$73,"  ")</f>
        <v>68600</v>
      </c>
      <c r="G19" s="130">
        <f>IF('[1]levy page9'!$E$80&lt;&gt;0,'[1]levy page9'!$E$80,"  ")</f>
        <v>56660.54000000001</v>
      </c>
      <c r="H19" s="388">
        <f>IF('[1]levy page9'!E80&lt;&gt;0,ROUND(G19/$F$47*1000,3),"  ")</f>
        <v>9.569</v>
      </c>
    </row>
    <row r="20" spans="1:8" ht="15.75">
      <c r="A20" s="36" t="str">
        <f>IF('[1]inputPrYr'!$B22&gt;"  ",('[1]inputPrYr'!$B22),"  ")</f>
        <v>  </v>
      </c>
      <c r="B20" s="130" t="str">
        <f>IF('[1]levy page10'!$C$33&gt;0,'[1]levy page10'!$C$33,"  ")</f>
        <v>  </v>
      </c>
      <c r="C20" s="388" t="str">
        <f>IF('[1]inputPrYr'!D67&gt;0,'[1]inputPrYr'!D67,"  ")</f>
        <v>  </v>
      </c>
      <c r="D20" s="130" t="str">
        <f>IF('[1]levy page10'!$D$33&gt;0,'[1]levy page10'!$D$33,"  ")</f>
        <v>  </v>
      </c>
      <c r="E20" s="388" t="str">
        <f>IF('[1]inputOth'!D25&gt;0,'[1]inputOth'!D25,"  ")</f>
        <v>  </v>
      </c>
      <c r="F20" s="130" t="str">
        <f>IF('[1]levy page10'!$E$33&gt;0,'[1]levy page10'!$E$33,"  ")</f>
        <v>  </v>
      </c>
      <c r="G20" s="130" t="str">
        <f>IF('[1]levy page10'!$E$40&lt;&gt;0,'[1]levy page10'!$E$40,"  ")</f>
        <v>  </v>
      </c>
      <c r="H20" s="388" t="str">
        <f>IF('[1]levy page10'!E40&lt;&gt;0,ROUND(G20/$F$47*1000,3),"  ")</f>
        <v>  </v>
      </c>
    </row>
    <row r="21" spans="1:8" ht="15.75">
      <c r="A21" s="36" t="str">
        <f>IF('[1]inputPrYr'!$B23&gt;"  ",('[1]inputPrYr'!$B23),"  ")</f>
        <v>  </v>
      </c>
      <c r="B21" s="130" t="str">
        <f>IF('[1]levy page10'!$C$73&gt;0,'[1]levy page10'!$C$73,"  ")</f>
        <v>  </v>
      </c>
      <c r="C21" s="388" t="str">
        <f>IF('[1]inputPrYr'!D68&gt;0,'[1]inputPrYr'!D68,"  ")</f>
        <v>  </v>
      </c>
      <c r="D21" s="130" t="str">
        <f>IF('[1]levy page10'!$D$73&gt;0,'[1]levy page10'!$D$73,"  ")</f>
        <v>  </v>
      </c>
      <c r="E21" s="388" t="str">
        <f>IF('[1]inputOth'!D26&gt;0,'[1]inputOth'!D26,"  ")</f>
        <v>  </v>
      </c>
      <c r="F21" s="130" t="str">
        <f>IF('[1]levy page10'!$E$73&gt;0,'[1]levy page10'!$E$73,"  ")</f>
        <v>  </v>
      </c>
      <c r="G21" s="130" t="str">
        <f>IF('[1]levy page10'!$E$80&lt;&gt;0,'[1]levy page10'!$E$80,"  ")</f>
        <v>  </v>
      </c>
      <c r="H21" s="388" t="str">
        <f>IF('[1]levy page10'!E80&lt;&gt;0,ROUND(G21/$F$47*1000,3),"  ")</f>
        <v>  </v>
      </c>
    </row>
    <row r="22" spans="1:8" ht="15.75">
      <c r="A22" s="36" t="str">
        <f>IF('[1]inputPrYr'!$B24&gt;"  ",('[1]inputPrYr'!$B24),"  ")</f>
        <v>  </v>
      </c>
      <c r="B22" s="130" t="str">
        <f>IF('[1]levy page11'!$C$33&gt;0,'[1]levy page11'!$C$33,"  ")</f>
        <v>  </v>
      </c>
      <c r="C22" s="388" t="str">
        <f>IF('[1]inputPrYr'!D69&gt;0,'[1]inputPrYr'!D69,"  ")</f>
        <v>  </v>
      </c>
      <c r="D22" s="130" t="str">
        <f>IF('[1]levy page11'!$D$33&gt;0,'[1]levy page11'!$D$33,"  ")</f>
        <v>  </v>
      </c>
      <c r="E22" s="388" t="str">
        <f>IF('[1]inputOth'!D27&gt;0,'[1]inputOth'!D27,"  ")</f>
        <v>  </v>
      </c>
      <c r="F22" s="130" t="str">
        <f>IF('[1]levy page11'!$E$33&gt;0,'[1]levy page11'!$E$33,"  ")</f>
        <v>  </v>
      </c>
      <c r="G22" s="130" t="str">
        <f>IF('[1]levy page11'!$E$40&lt;&gt;0,'[1]levy page11'!$E$40,"  ")</f>
        <v>  </v>
      </c>
      <c r="H22" s="388" t="str">
        <f>IF('[1]levy page11'!E40&lt;&gt;0,ROUND(G22/$F$47*1000,3),"  ")</f>
        <v>  </v>
      </c>
    </row>
    <row r="23" spans="1:8" ht="15.75">
      <c r="A23" s="36" t="str">
        <f>IF('[1]inputPrYr'!$B25&gt;"  ",('[1]inputPrYr'!$B25),"  ")</f>
        <v>  </v>
      </c>
      <c r="B23" s="130" t="str">
        <f>IF('[1]levy page11'!$C$73&gt;0,'[1]levy page11'!$C$73,"  ")</f>
        <v>  </v>
      </c>
      <c r="C23" s="388" t="str">
        <f>IF('[1]inputPrYr'!D70&gt;0,'[1]inputPrYr'!D70,"  ")</f>
        <v>  </v>
      </c>
      <c r="D23" s="130" t="str">
        <f>IF('[1]levy page11'!$D$73&gt;0,'[1]levy page11'!$D$73,"  ")</f>
        <v>  </v>
      </c>
      <c r="E23" s="388" t="str">
        <f>IF('[1]inputOth'!D28&gt;0,'[1]inputOth'!D28,"  ")</f>
        <v>  </v>
      </c>
      <c r="F23" s="130" t="str">
        <f>IF('[1]levy page11'!$E$73&gt;0,'[1]levy page11'!$E$73,"  ")</f>
        <v>  </v>
      </c>
      <c r="G23" s="130" t="str">
        <f>IF('[1]levy page11'!$E$80&lt;&gt;0,'[1]levy page11'!$E$80,"  ")</f>
        <v>  </v>
      </c>
      <c r="H23" s="388" t="str">
        <f>IF('[1]levy page11'!E80&lt;&gt;0,ROUND(G23/$F$47*1000,3),"  ")</f>
        <v>  </v>
      </c>
    </row>
    <row r="24" spans="1:8" ht="15.75">
      <c r="A24" s="36" t="str">
        <f>IF('[1]inputPrYr'!$B26&gt;"  ",('[1]inputPrYr'!$B26),"  ")</f>
        <v>  </v>
      </c>
      <c r="B24" s="130" t="str">
        <f>IF('[1]levy page12'!$C$33&gt;0,'[1]levy page12'!$C$33,"  ")</f>
        <v>  </v>
      </c>
      <c r="C24" s="388" t="str">
        <f>IF('[1]inputPrYr'!D71&gt;0,'[1]inputPrYr'!D71,"  ")</f>
        <v>  </v>
      </c>
      <c r="D24" s="130" t="str">
        <f>IF('[1]levy page12'!$D$33&gt;0,'[1]levy page12'!$D$33,"  ")</f>
        <v>  </v>
      </c>
      <c r="E24" s="388" t="str">
        <f>IF('[1]inputOth'!D29&gt;0,'[1]inputOth'!D29,"  ")</f>
        <v>  </v>
      </c>
      <c r="F24" s="130" t="str">
        <f>IF('[1]levy page12'!$E$33&gt;0,'[1]levy page12'!$E$33,"  ")</f>
        <v>  </v>
      </c>
      <c r="G24" s="130" t="str">
        <f>IF('[1]levy page12'!$E$40&lt;&gt;0,'[1]levy page12'!$E$40,"  ")</f>
        <v>  </v>
      </c>
      <c r="H24" s="388" t="str">
        <f>IF('[1]levy page12'!E40&lt;&gt;0,ROUND(G24/$F$47*1000,3),"  ")</f>
        <v>  </v>
      </c>
    </row>
    <row r="25" spans="1:8" ht="15.75">
      <c r="A25" s="36" t="str">
        <f>IF('[1]inputPrYr'!$B27&gt;"  ",('[1]inputPrYr'!$B27),"  ")</f>
        <v>  </v>
      </c>
      <c r="B25" s="130" t="str">
        <f>IF('[1]levy page12'!$C$73&gt;0,'[1]levy page12'!$C$73,"  ")</f>
        <v>  </v>
      </c>
      <c r="C25" s="388" t="str">
        <f>IF('[1]inputPrYr'!D72&gt;0,'[1]inputPrYr'!D72,"  ")</f>
        <v>  </v>
      </c>
      <c r="D25" s="130" t="str">
        <f>IF('[1]levy page12'!$D$73&gt;0,'[1]levy page12'!$D$73,"  ")</f>
        <v>  </v>
      </c>
      <c r="E25" s="388" t="str">
        <f>IF('[1]inputOth'!D30&gt;0,'[1]inputOth'!D30,"  ")</f>
        <v>  </v>
      </c>
      <c r="F25" s="130" t="str">
        <f>IF('[1]levy page12'!$E$73&gt;0,'[1]levy page12'!$E$73,"  ")</f>
        <v>  </v>
      </c>
      <c r="G25" s="130" t="str">
        <f>IF('[1]levy page12'!$E$80&lt;&gt;0,'[1]levy page12'!$E$80,"  ")</f>
        <v>  </v>
      </c>
      <c r="H25" s="388" t="str">
        <f>IF('[1]levy page12'!E80&lt;&gt;0,ROUND(G25/$F$47*1000,3),"  ")</f>
        <v>  </v>
      </c>
    </row>
    <row r="26" spans="1:8" ht="15.75">
      <c r="A26" s="36" t="str">
        <f>IF('[1]inputPrYr'!$B28&gt;"  ",('[1]inputPrYr'!$B28),"  ")</f>
        <v>  </v>
      </c>
      <c r="B26" s="130" t="str">
        <f>IF('[1]levy page13'!$C$33&gt;0,'[1]levy page13'!$C$33,"  ")</f>
        <v>  </v>
      </c>
      <c r="C26" s="388" t="str">
        <f>IF('[1]inputPrYr'!D73&gt;0,'[1]inputPrYr'!D73,"  ")</f>
        <v>  </v>
      </c>
      <c r="D26" s="130" t="str">
        <f>IF('[1]levy page13'!$D$33&gt;0,'[1]levy page13'!$D$33,"  ")</f>
        <v>  </v>
      </c>
      <c r="E26" s="388" t="str">
        <f>IF('[1]inputOth'!D31&gt;0,'[1]inputOth'!D31,"  ")</f>
        <v>  </v>
      </c>
      <c r="F26" s="130" t="str">
        <f>IF('[1]levy page13'!$E$33&gt;0,'[1]levy page13'!$E$33,"  ")</f>
        <v>  </v>
      </c>
      <c r="G26" s="130" t="str">
        <f>IF('[1]levy page13'!$E$40&lt;&gt;0,'[1]levy page13'!$E$40,"  ")</f>
        <v>  </v>
      </c>
      <c r="H26" s="388" t="str">
        <f>IF('[1]levy page13'!E40&lt;&gt;0,ROUND(G26/$F$47*1000,3),"  ")</f>
        <v>  </v>
      </c>
    </row>
    <row r="27" spans="1:8" ht="15.75">
      <c r="A27" s="36" t="str">
        <f>IF('[1]inputPrYr'!$B29&gt;"  ",('[1]inputPrYr'!$B29),"  ")</f>
        <v>  </v>
      </c>
      <c r="B27" s="130" t="str">
        <f>IF('[1]levy page13'!$C$73&gt;0,'[1]levy page13'!$C$73,"  ")</f>
        <v>  </v>
      </c>
      <c r="C27" s="388" t="str">
        <f>IF('[1]inputPrYr'!D74&gt;0,'[1]inputPrYr'!D74,"  ")</f>
        <v>  </v>
      </c>
      <c r="D27" s="130" t="str">
        <f>IF('[1]levy page13'!$D$73&gt;0,'[1]levy page13'!$D$73,"  ")</f>
        <v>  </v>
      </c>
      <c r="E27" s="388" t="str">
        <f>IF('[1]inputOth'!D32&gt;0,'[1]inputOth'!D32,"  ")</f>
        <v>  </v>
      </c>
      <c r="F27" s="130" t="str">
        <f>IF('[1]levy page13'!$E$73&gt;0,'[1]levy page13'!$E$73,"  ")</f>
        <v>  </v>
      </c>
      <c r="G27" s="130" t="str">
        <f>IF('[1]levy page13'!$E$80&lt;&gt;0,'[1]levy page13'!$E$80,"  ")</f>
        <v>  </v>
      </c>
      <c r="H27" s="388" t="str">
        <f>IF('[1]levy page13'!E80&lt;&gt;0,ROUND(G27/$F$47*1000,3),"  ")</f>
        <v>  </v>
      </c>
    </row>
    <row r="28" spans="1:8" ht="15.75">
      <c r="A28" s="36" t="str">
        <f>IF('[1]inputPrYr'!$B33&gt;"  ",('[1]inputPrYr'!$B33),"  ")</f>
        <v>Special Highway</v>
      </c>
      <c r="B28" s="130">
        <f>IF('[1]Sp Hiway'!$C$28&gt;0,'[1]Sp Hiway'!$C$28,"  ")</f>
        <v>54908</v>
      </c>
      <c r="C28" s="128"/>
      <c r="D28" s="130">
        <f>IF('[1]Sp Hiway'!$D$28&gt;0,'[1]Sp Hiway'!$D$28,"  ")</f>
        <v>48646</v>
      </c>
      <c r="E28" s="128"/>
      <c r="F28" s="130">
        <f>IF('[1]Sp Hiway'!$E$28&gt;0,'[1]Sp Hiway'!$E$28,"  ")</f>
        <v>35650</v>
      </c>
      <c r="G28" s="130"/>
      <c r="H28" s="128"/>
    </row>
    <row r="29" spans="1:8" ht="15.75">
      <c r="A29" s="36" t="str">
        <f>IF('[1]inputPrYr'!$B34&gt;"  ",('[1]inputPrYr'!$B34),"  ")</f>
        <v>Sewer Utility</v>
      </c>
      <c r="B29" s="130">
        <f>IF('[1]Sp Hiway'!$C$59&gt;0,'[1]Sp Hiway'!$C$59,"  ")</f>
        <v>67376</v>
      </c>
      <c r="C29" s="128"/>
      <c r="D29" s="130">
        <f>IF('[1]Sp Hiway'!$D$59&gt;0,'[1]Sp Hiway'!$D$59,"  ")</f>
        <v>72645</v>
      </c>
      <c r="E29" s="128"/>
      <c r="F29" s="130">
        <f>IF('[1]Sp Hiway'!$E$59&gt;0,'[1]Sp Hiway'!$E$59,"  ")</f>
        <v>90940</v>
      </c>
      <c r="G29" s="130"/>
      <c r="H29" s="128"/>
    </row>
    <row r="30" spans="1:8" ht="15.75">
      <c r="A30" s="36" t="str">
        <f>IF('[1]inputPrYr'!$B35&gt;"  ",('[1]inputPrYr'!$B35),"  ")</f>
        <v>Water Utility</v>
      </c>
      <c r="B30" s="130">
        <f>IF('[1]nolevypage15'!$C$28&gt;0,'[1]nolevypage15'!$C$28,"  ")</f>
        <v>120276</v>
      </c>
      <c r="C30" s="128"/>
      <c r="D30" s="130">
        <f>IF('[1]nolevypage15'!$D$28&gt;0,'[1]nolevypage15'!$D$28,"  ")</f>
        <v>105800</v>
      </c>
      <c r="E30" s="128"/>
      <c r="F30" s="130">
        <f>IF('[1]nolevypage15'!$E$28&gt;0,'[1]nolevypage15'!$E$28,"  ")</f>
        <v>120311</v>
      </c>
      <c r="G30" s="130"/>
      <c r="H30" s="128"/>
    </row>
    <row r="31" spans="1:13" ht="15.75">
      <c r="A31" s="36" t="str">
        <f>IF('[1]inputPrYr'!$B36&gt;"  ",('[1]inputPrYr'!$B36),"  ")</f>
        <v>Solid Waste Utility</v>
      </c>
      <c r="B31" s="130">
        <f>IF('[1]nolevypage15'!$C$59&gt;0,'[1]nolevypage15'!$C$59,"  ")</f>
        <v>51948.13</v>
      </c>
      <c r="C31" s="128"/>
      <c r="D31" s="130">
        <f>IF('[1]nolevypage15'!$D$59&gt;0,'[1]nolevypage15'!$D$59,"  ")</f>
        <v>53130</v>
      </c>
      <c r="E31" s="128"/>
      <c r="F31" s="130">
        <f>IF('[1]nolevypage15'!$E$59&gt;0,'[1]nolevypage15'!$E$59,"  ")</f>
        <v>55488</v>
      </c>
      <c r="G31" s="130"/>
      <c r="H31" s="128"/>
      <c r="J31" s="473" t="str">
        <f>CONCATENATE("Estimated Value Of One Mill For ",H1,"")</f>
        <v>Estimated Value Of One Mill For 2013</v>
      </c>
      <c r="K31" s="474"/>
      <c r="L31" s="474"/>
      <c r="M31" s="475"/>
    </row>
    <row r="32" spans="1:13" ht="15.75">
      <c r="A32" s="36" t="str">
        <f>IF('[1]inputPrYr'!$B37&gt;"  ",('[1]inputPrYr'!$B37),"  ")</f>
        <v>Special Park &amp; Recreation</v>
      </c>
      <c r="B32" s="130">
        <f>IF('[1]nolevypage16'!$C$28&gt;0,'[1]nolevypage16'!$C$28,"  ")</f>
        <v>80</v>
      </c>
      <c r="C32" s="128"/>
      <c r="D32" s="130">
        <f>IF('[1]nolevypage16'!$D$28&gt;0,'[1]nolevypage16'!$D$28,"  ")</f>
        <v>3550</v>
      </c>
      <c r="E32" s="128"/>
      <c r="F32" s="130">
        <f>IF('[1]nolevypage16'!$E$28&gt;0,'[1]nolevypage16'!$E$28,"  ")</f>
        <v>20000</v>
      </c>
      <c r="G32" s="130"/>
      <c r="H32" s="128"/>
      <c r="J32" s="389"/>
      <c r="K32" s="390"/>
      <c r="L32" s="390"/>
      <c r="M32" s="391"/>
    </row>
    <row r="33" spans="1:13" ht="15.75">
      <c r="A33" s="36" t="str">
        <f>IF('[1]inputPrYr'!$B38&gt;"  ",('[1]inputPrYr'!$B38),"  ")</f>
        <v>  </v>
      </c>
      <c r="B33" s="130" t="str">
        <f>IF('[1]nolevypage16'!$C$59&gt;0,'[1]nolevypage16'!$C$59,"  ")</f>
        <v>  </v>
      </c>
      <c r="C33" s="128"/>
      <c r="D33" s="130" t="str">
        <f>IF('[1]nolevypage16'!$D$59&gt;0,'[1]nolevypage16'!$D$59,"  ")</f>
        <v>  </v>
      </c>
      <c r="E33" s="128"/>
      <c r="F33" s="130" t="str">
        <f>IF('[1]nolevypage16'!$E$59&gt;0,'[1]nolevypage16'!$E$59,"  ")</f>
        <v>  </v>
      </c>
      <c r="G33" s="130"/>
      <c r="H33" s="128"/>
      <c r="J33" s="392" t="s">
        <v>293</v>
      </c>
      <c r="K33" s="393"/>
      <c r="L33" s="393"/>
      <c r="M33" s="394">
        <f>ROUND(F47/1000,0)</f>
        <v>5921</v>
      </c>
    </row>
    <row r="34" spans="1:8" ht="15.75">
      <c r="A34" s="36" t="str">
        <f>IF('[1]inputPrYr'!$B39&gt;"  ",('[1]inputPrYr'!$B39),"  ")</f>
        <v>  </v>
      </c>
      <c r="B34" s="130" t="str">
        <f>IF('[1]nolevypage17'!$C$28&gt;0,'[1]nolevypage17'!$C$28,"  ")</f>
        <v>  </v>
      </c>
      <c r="C34" s="128"/>
      <c r="D34" s="130" t="str">
        <f>IF('[1]nolevypage17'!$D$28&gt;0,'[1]nolevypage17'!$D$28,"  ")</f>
        <v>  </v>
      </c>
      <c r="E34" s="128"/>
      <c r="F34" s="130" t="str">
        <f>IF('[1]nolevypage17'!$E$28&gt;0,'[1]nolevypage17'!$E$28,"  ")</f>
        <v>  </v>
      </c>
      <c r="G34" s="130"/>
      <c r="H34" s="128"/>
    </row>
    <row r="35" spans="1:13" ht="15.75">
      <c r="A35" s="36" t="str">
        <f>IF('[1]inputPrYr'!$B40&gt;"  ",('[1]inputPrYr'!$B40),"  ")</f>
        <v>  </v>
      </c>
      <c r="B35" s="130" t="str">
        <f>IF('[1]nolevypage17'!$C$60&gt;0,'[1]nolevypage17'!$C$60,"  ")</f>
        <v>  </v>
      </c>
      <c r="C35" s="128"/>
      <c r="D35" s="130" t="str">
        <f>IF('[1]nolevypage17'!$D$60&gt;0,'[1]nolevypage17'!$D$60,"  ")</f>
        <v>  </v>
      </c>
      <c r="E35" s="128"/>
      <c r="F35" s="130" t="str">
        <f>IF('[1]nolevypage17'!$E$60&gt;0,'[1]nolevypage17'!$E$60,"  ")</f>
        <v>  </v>
      </c>
      <c r="G35" s="130"/>
      <c r="H35" s="128"/>
      <c r="J35" s="473" t="str">
        <f>CONCATENATE("Want The Mill Rate The Same As For ",H1-1,"?")</f>
        <v>Want The Mill Rate The Same As For 2012?</v>
      </c>
      <c r="K35" s="474"/>
      <c r="L35" s="474"/>
      <c r="M35" s="475"/>
    </row>
    <row r="36" spans="1:13" ht="15.75">
      <c r="A36" s="36" t="str">
        <f>IF('[1]inputPrYr'!$B43&gt;"  ",('[1]inputPrYr'!$B43),"  ")</f>
        <v>  </v>
      </c>
      <c r="B36" s="130" t="str">
        <f>IF('[1]SinNoLevy18'!$C$47&gt;0,'[1]SinNoLevy18'!$C$47,"  ")</f>
        <v>  </v>
      </c>
      <c r="C36" s="128"/>
      <c r="D36" s="130" t="str">
        <f>IF('[1]SinNoLevy18'!$D$47&gt;0,'[1]SinNoLevy18'!$D$47,"  ")</f>
        <v>  </v>
      </c>
      <c r="E36" s="128"/>
      <c r="F36" s="130" t="str">
        <f>IF('[1]SinNoLevy18'!$E$47&gt;0,'[1]SinNoLevy18'!$E$47,"  ")</f>
        <v>  </v>
      </c>
      <c r="G36" s="130"/>
      <c r="H36" s="128"/>
      <c r="J36" s="395"/>
      <c r="K36" s="390"/>
      <c r="L36" s="390"/>
      <c r="M36" s="396"/>
    </row>
    <row r="37" spans="1:13" ht="15.75">
      <c r="A37" s="36" t="str">
        <f>IF('[1]inputPrYr'!$B44&gt;"  ",('[1]inputPrYr'!$B44),"  ")</f>
        <v>  </v>
      </c>
      <c r="B37" s="130" t="str">
        <f>IF('[1]SinNoLevy19'!$C$47&gt;0,'[1]SinNoLevy19'!$C$47,"  ")</f>
        <v>  </v>
      </c>
      <c r="C37" s="128"/>
      <c r="D37" s="130" t="str">
        <f>IF('[1]SinNoLevy19'!$D$47&gt;0,'[1]SinNoLevy19'!$D$47,"  ")</f>
        <v>  </v>
      </c>
      <c r="E37" s="128"/>
      <c r="F37" s="130" t="str">
        <f>IF('[1]SinNoLevy19'!$E$47&gt;0,'[1]SinNoLevy19'!$E$47,"  ")</f>
        <v>  </v>
      </c>
      <c r="G37" s="130"/>
      <c r="H37" s="128"/>
      <c r="J37" s="395" t="str">
        <f>CONCATENATE("",H1-1," Mill Rate Was:")</f>
        <v>2012 Mill Rate Was:</v>
      </c>
      <c r="K37" s="390"/>
      <c r="L37" s="390"/>
      <c r="M37" s="397">
        <f>E42</f>
        <v>42.510999999999996</v>
      </c>
    </row>
    <row r="38" spans="1:13" ht="15.75">
      <c r="A38" s="36" t="str">
        <f>IF('[1]inputPrYr'!$B45&gt;"  ",('[1]inputPrYr'!$B45),"  ")</f>
        <v>  </v>
      </c>
      <c r="B38" s="130" t="str">
        <f>IF('[1]SinNoLevy20'!$C$47&gt;0,'[1]SinNoLevy20'!$C$47,"  ")</f>
        <v>  </v>
      </c>
      <c r="C38" s="128"/>
      <c r="D38" s="130" t="str">
        <f>IF('[1]SinNoLevy20'!$D$47&gt;0,'[1]SinNoLevy20'!$D$47,"  ")</f>
        <v>  </v>
      </c>
      <c r="E38" s="128"/>
      <c r="F38" s="130" t="str">
        <f>IF('[1]SinNoLevy20'!$E$47&gt;0,'[1]SinNoLevy20'!$E$47,"  ")</f>
        <v>  </v>
      </c>
      <c r="G38" s="130"/>
      <c r="H38" s="128"/>
      <c r="J38" s="398" t="str">
        <f>CONCATENATE("",H1," Tax Levy Fund Expenditures Must Be")</f>
        <v>2013 Tax Levy Fund Expenditures Must Be</v>
      </c>
      <c r="K38" s="399"/>
      <c r="L38" s="399"/>
      <c r="M38" s="396"/>
    </row>
    <row r="39" spans="1:13" ht="15.75">
      <c r="A39" s="36" t="str">
        <f>IF('[1]inputPrYr'!$B46&gt;"  ",('[1]inputPrYr'!$B46),"  ")</f>
        <v>  </v>
      </c>
      <c r="B39" s="130" t="str">
        <f>IF('[1]SinNoLevy21'!$C$47&gt;0,'[1]SinNoLevy21'!$C$47,"  ")</f>
        <v>  </v>
      </c>
      <c r="C39" s="128"/>
      <c r="D39" s="130" t="str">
        <f>IF('[1]SinNoLevy21'!$D$47&gt;0,'[1]SinNoLevy21'!$D$47,"  ")</f>
        <v>  </v>
      </c>
      <c r="E39" s="128"/>
      <c r="F39" s="130" t="str">
        <f>IF('[1]SinNoLevy21'!$E$47&gt;0,'[1]SinNoLevy21'!$E$47,"  ")</f>
        <v>  </v>
      </c>
      <c r="G39" s="130"/>
      <c r="H39" s="128"/>
      <c r="J39" s="398">
        <f>IF(M39&gt;0,"Increased By:","")</f>
      </c>
      <c r="K39" s="399"/>
      <c r="L39" s="399"/>
      <c r="M39" s="400">
        <f>IF(M46&lt;0,M46*-1,0)</f>
        <v>0</v>
      </c>
    </row>
    <row r="40" spans="1:13" ht="15.75">
      <c r="A40" s="36" t="str">
        <f>IF('[1]inputPrYr'!$B50&gt;" ",('[1]NonBudA'!$A3),"  ")</f>
        <v>Non-Budgeted Funds-A</v>
      </c>
      <c r="B40" s="130">
        <f>IF('[1]NonBudA'!$K$28&gt;0,'[1]NonBudA'!$K$28,"  ")</f>
        <v>24613</v>
      </c>
      <c r="C40" s="128"/>
      <c r="D40" s="130"/>
      <c r="E40" s="128"/>
      <c r="F40" s="130"/>
      <c r="G40" s="130"/>
      <c r="H40" s="128"/>
      <c r="J40" s="401" t="str">
        <f>IF(M40&lt;0,"Reduced By:","")</f>
        <v>Reduced By:</v>
      </c>
      <c r="K40" s="402"/>
      <c r="L40" s="402"/>
      <c r="M40" s="403">
        <f>IF(M46&gt;0,M46*-1,0)</f>
        <v>-7664.320000000007</v>
      </c>
    </row>
    <row r="41" spans="1:13" ht="15.75">
      <c r="A41" s="36" t="str">
        <f>IF('[1]inputPrYr'!$B56&gt;" ",('[1]NonBudB'!$A3),"  ")</f>
        <v>  </v>
      </c>
      <c r="B41" s="404" t="str">
        <f>IF('[1]NonBudB'!$K$28&gt;0,'[1]NonBudB'!$K$28,"  ")</f>
        <v>  </v>
      </c>
      <c r="C41" s="23"/>
      <c r="D41" s="404"/>
      <c r="E41" s="23"/>
      <c r="F41" s="404"/>
      <c r="G41" s="404"/>
      <c r="H41" s="23"/>
      <c r="J41" s="405"/>
      <c r="K41" s="405"/>
      <c r="L41" s="405"/>
      <c r="M41" s="405"/>
    </row>
    <row r="42" spans="1:13" ht="15.75">
      <c r="A42" s="11" t="s">
        <v>21</v>
      </c>
      <c r="B42" s="406">
        <f>SUM(B16:B41)</f>
        <v>1030364.31</v>
      </c>
      <c r="C42" s="407">
        <f>SUM(C16:C27)</f>
        <v>42.361</v>
      </c>
      <c r="D42" s="406">
        <f>SUM(D16:D41)</f>
        <v>1050089</v>
      </c>
      <c r="E42" s="407">
        <f>SUM(E16:E27)</f>
        <v>42.510999999999996</v>
      </c>
      <c r="F42" s="406">
        <f>SUM(F16:F41)</f>
        <v>1100350</v>
      </c>
      <c r="G42" s="406">
        <f>SUM(G16:G41)</f>
        <v>259392.32</v>
      </c>
      <c r="H42" s="408">
        <f>SUM(H16:H27)</f>
        <v>43.806000000000004</v>
      </c>
      <c r="J42" s="473" t="str">
        <f>CONCATENATE("Impact On Keeping The Same Mill Rate As For ",H1-1,"")</f>
        <v>Impact On Keeping The Same Mill Rate As For 2012</v>
      </c>
      <c r="K42" s="476"/>
      <c r="L42" s="476"/>
      <c r="M42" s="477"/>
    </row>
    <row r="43" spans="1:13" ht="15.75">
      <c r="A43" s="13" t="s">
        <v>294</v>
      </c>
      <c r="B43" s="409">
        <f>'[1]transfers'!C28</f>
        <v>99000</v>
      </c>
      <c r="C43" s="410"/>
      <c r="D43" s="409">
        <f>'[1]transfers'!D28</f>
        <v>89000</v>
      </c>
      <c r="E43" s="410"/>
      <c r="F43" s="409">
        <f>'[1]transfers'!E28</f>
        <v>98675</v>
      </c>
      <c r="G43" s="82"/>
      <c r="H43" s="411"/>
      <c r="I43" s="412"/>
      <c r="J43" s="395"/>
      <c r="K43" s="390"/>
      <c r="L43" s="390"/>
      <c r="M43" s="396"/>
    </row>
    <row r="44" spans="1:13" ht="16.5" thickBot="1">
      <c r="A44" s="13" t="s">
        <v>295</v>
      </c>
      <c r="B44" s="413">
        <f>B42-B43</f>
        <v>931364.31</v>
      </c>
      <c r="C44" s="1"/>
      <c r="D44" s="413">
        <f>D42-D43</f>
        <v>961089</v>
      </c>
      <c r="E44" s="1"/>
      <c r="F44" s="413">
        <f>F42-F43</f>
        <v>1001675</v>
      </c>
      <c r="G44" s="1"/>
      <c r="H44" s="1"/>
      <c r="J44" s="395" t="str">
        <f>CONCATENATE("",H1," Ad Valorem Tax Revenue:")</f>
        <v>2013 Ad Valorem Tax Revenue:</v>
      </c>
      <c r="K44" s="390"/>
      <c r="L44" s="390"/>
      <c r="M44" s="391">
        <f>G42</f>
        <v>259392.32</v>
      </c>
    </row>
    <row r="45" spans="1:13" ht="16.5" thickTop="1">
      <c r="A45" s="13" t="s">
        <v>296</v>
      </c>
      <c r="B45" s="409">
        <f>'[1]inputPrYr'!E77</f>
        <v>260288</v>
      </c>
      <c r="C45" s="73"/>
      <c r="D45" s="409">
        <f>'[1]inputPrYr'!E30</f>
        <v>259460</v>
      </c>
      <c r="E45" s="73"/>
      <c r="F45" s="414" t="s">
        <v>22</v>
      </c>
      <c r="G45" s="1"/>
      <c r="H45" s="1"/>
      <c r="J45" s="395" t="str">
        <f>CONCATENATE("",H1-1," Ad Valorem Tax Revenue:")</f>
        <v>2012 Ad Valorem Tax Revenue:</v>
      </c>
      <c r="K45" s="390"/>
      <c r="L45" s="390"/>
      <c r="M45" s="415">
        <f>ROUND(F47*M37/1000,0)</f>
        <v>251728</v>
      </c>
    </row>
    <row r="46" spans="1:13" ht="15.75">
      <c r="A46" s="13" t="s">
        <v>297</v>
      </c>
      <c r="B46" s="404"/>
      <c r="C46" s="1"/>
      <c r="D46" s="404"/>
      <c r="E46" s="100"/>
      <c r="F46" s="23"/>
      <c r="G46" s="1"/>
      <c r="H46" s="1"/>
      <c r="J46" s="416" t="s">
        <v>298</v>
      </c>
      <c r="K46" s="417"/>
      <c r="L46" s="417"/>
      <c r="M46" s="394">
        <f>SUM(M44-M45)</f>
        <v>7664.320000000007</v>
      </c>
    </row>
    <row r="47" spans="1:13" ht="15.75">
      <c r="A47" s="13" t="s">
        <v>299</v>
      </c>
      <c r="B47" s="409">
        <f>'[1]inputPrYr'!E78</f>
        <v>6144502</v>
      </c>
      <c r="C47" s="54"/>
      <c r="D47" s="409">
        <f>'[1]inputOth'!E35</f>
        <v>6103271</v>
      </c>
      <c r="E47" s="54"/>
      <c r="F47" s="409">
        <f>'[1]inputOth'!E7</f>
        <v>5921473</v>
      </c>
      <c r="G47" s="1"/>
      <c r="H47" s="1"/>
      <c r="J47" s="418"/>
      <c r="K47" s="418"/>
      <c r="L47" s="418"/>
      <c r="M47" s="405"/>
    </row>
    <row r="48" spans="1:13" ht="15.75">
      <c r="A48" s="13" t="s">
        <v>300</v>
      </c>
      <c r="B48" s="1"/>
      <c r="C48" s="1"/>
      <c r="D48" s="1"/>
      <c r="E48" s="1"/>
      <c r="F48" s="1"/>
      <c r="G48" s="1"/>
      <c r="H48" s="1"/>
      <c r="J48" s="473" t="s">
        <v>301</v>
      </c>
      <c r="K48" s="478"/>
      <c r="L48" s="478"/>
      <c r="M48" s="479"/>
    </row>
    <row r="49" spans="1:13" ht="15.75">
      <c r="A49" s="13" t="s">
        <v>302</v>
      </c>
      <c r="B49" s="419">
        <f>$H$1-3</f>
        <v>2010</v>
      </c>
      <c r="C49" s="1"/>
      <c r="D49" s="419">
        <f>$H$1-2</f>
        <v>2011</v>
      </c>
      <c r="E49" s="1"/>
      <c r="F49" s="419">
        <f>$H$1-1</f>
        <v>2012</v>
      </c>
      <c r="G49" s="1"/>
      <c r="H49" s="1"/>
      <c r="J49" s="395"/>
      <c r="K49" s="390"/>
      <c r="L49" s="390"/>
      <c r="M49" s="396"/>
    </row>
    <row r="50" spans="1:13" ht="15.75">
      <c r="A50" s="13" t="s">
        <v>303</v>
      </c>
      <c r="B50" s="145">
        <f>'[1]inputPrYr'!D81</f>
        <v>1800000</v>
      </c>
      <c r="C50" s="1"/>
      <c r="D50" s="145">
        <f>'[1]inputPrYr'!E81</f>
        <v>1580000</v>
      </c>
      <c r="E50" s="1"/>
      <c r="F50" s="145">
        <f>'[1]debt'!G29</f>
        <v>1780000</v>
      </c>
      <c r="G50" s="1"/>
      <c r="H50" s="1"/>
      <c r="J50" s="395" t="str">
        <f>CONCATENATE("Current ",H1," Estimated Mill Rate:")</f>
        <v>Current 2013 Estimated Mill Rate:</v>
      </c>
      <c r="K50" s="390"/>
      <c r="L50" s="390"/>
      <c r="M50" s="397">
        <f>H42</f>
        <v>43.806000000000004</v>
      </c>
    </row>
    <row r="51" spans="1:13" ht="15.75">
      <c r="A51" s="13" t="s">
        <v>304</v>
      </c>
      <c r="B51" s="145">
        <f>'[1]inputPrYr'!D82</f>
        <v>0</v>
      </c>
      <c r="C51" s="1"/>
      <c r="D51" s="145">
        <f>'[1]inputPrYr'!E82</f>
        <v>0</v>
      </c>
      <c r="E51" s="1"/>
      <c r="F51" s="145">
        <f>'[1]debt'!G41</f>
        <v>0</v>
      </c>
      <c r="G51" s="1"/>
      <c r="H51" s="1"/>
      <c r="J51" s="395" t="str">
        <f>CONCATENATE("Desired ",H1," Mill Rate:")</f>
        <v>Desired 2013 Mill Rate:</v>
      </c>
      <c r="K51" s="390"/>
      <c r="L51" s="390"/>
      <c r="M51" s="420">
        <v>43</v>
      </c>
    </row>
    <row r="52" spans="1:13" ht="15.75">
      <c r="A52" s="1" t="s">
        <v>305</v>
      </c>
      <c r="B52" s="145">
        <f>'[1]inputPrYr'!D83</f>
        <v>468775</v>
      </c>
      <c r="C52" s="1"/>
      <c r="D52" s="145">
        <f>'[1]inputPrYr'!E83</f>
        <v>443292</v>
      </c>
      <c r="E52" s="1"/>
      <c r="F52" s="145">
        <f>'[1]debt'!G51</f>
        <v>417083</v>
      </c>
      <c r="G52" s="1"/>
      <c r="H52" s="1"/>
      <c r="J52" s="395" t="s">
        <v>306</v>
      </c>
      <c r="K52" s="390"/>
      <c r="L52" s="390"/>
      <c r="M52" s="415">
        <f>ROUND(F47*M51/1000,0)</f>
        <v>254623</v>
      </c>
    </row>
    <row r="53" spans="1:13" ht="15.75">
      <c r="A53" s="13" t="s">
        <v>307</v>
      </c>
      <c r="B53" s="145">
        <f>'[1]inputPrYr'!D84</f>
        <v>0</v>
      </c>
      <c r="C53" s="1"/>
      <c r="D53" s="145">
        <f>'[1]inputPrYr'!E84</f>
        <v>0</v>
      </c>
      <c r="E53" s="1"/>
      <c r="F53" s="145">
        <f>'[1]lpform'!G28</f>
        <v>0</v>
      </c>
      <c r="G53" s="1"/>
      <c r="H53" s="1"/>
      <c r="J53" s="416" t="str">
        <f>CONCATENATE("",H1," Tax Levy Fund Exp. Changed By:")</f>
        <v>2013 Tax Levy Fund Exp. Changed By:</v>
      </c>
      <c r="K53" s="417"/>
      <c r="L53" s="417"/>
      <c r="M53" s="394">
        <f>IF(M51=0,0,(M52-G42))</f>
        <v>-4769.320000000007</v>
      </c>
    </row>
    <row r="54" spans="1:8" ht="16.5" thickBot="1">
      <c r="A54" s="13" t="s">
        <v>308</v>
      </c>
      <c r="B54" s="421">
        <f>SUM(B50:B53)</f>
        <v>2268775</v>
      </c>
      <c r="C54" s="1"/>
      <c r="D54" s="421">
        <f>SUM(D50:D53)</f>
        <v>2023292</v>
      </c>
      <c r="E54" s="1"/>
      <c r="F54" s="421">
        <f>SUM(F50:F53)</f>
        <v>2197083</v>
      </c>
      <c r="G54" s="1"/>
      <c r="H54" s="1"/>
    </row>
    <row r="55" spans="1:8" ht="16.5" thickTop="1">
      <c r="A55" s="13" t="s">
        <v>309</v>
      </c>
      <c r="B55" s="1"/>
      <c r="C55" s="1"/>
      <c r="D55" s="1"/>
      <c r="E55" s="1"/>
      <c r="F55" s="1"/>
      <c r="G55" s="1"/>
      <c r="H55" s="1"/>
    </row>
    <row r="56" spans="1:8" ht="15.75">
      <c r="A56" s="1"/>
      <c r="B56" s="1"/>
      <c r="C56" s="1"/>
      <c r="D56" s="1"/>
      <c r="E56" s="1"/>
      <c r="F56" s="1"/>
      <c r="G56" s="1"/>
      <c r="H56" s="1"/>
    </row>
    <row r="57" spans="1:8" ht="15.75">
      <c r="A57" s="480" t="str">
        <f>'[1]inputBudSum'!B3</f>
        <v>Virginia Edwards, CMC</v>
      </c>
      <c r="B57" s="481"/>
      <c r="C57" s="1"/>
      <c r="D57" s="1"/>
      <c r="E57" s="1"/>
      <c r="F57" s="1"/>
      <c r="G57" s="1"/>
      <c r="H57" s="1"/>
    </row>
    <row r="58" spans="1:8" ht="15.75">
      <c r="A58" s="65" t="s">
        <v>310</v>
      </c>
      <c r="B58" s="422" t="str">
        <f>'[1]inputBudSum'!B5</f>
        <v>City Clerk</v>
      </c>
      <c r="C58" s="423"/>
      <c r="D58" s="1"/>
      <c r="E58" s="1"/>
      <c r="F58" s="1"/>
      <c r="G58" s="1"/>
      <c r="H58" s="1"/>
    </row>
    <row r="59" spans="1:8" ht="15.75">
      <c r="A59" s="1"/>
      <c r="B59" s="1"/>
      <c r="C59" s="1"/>
      <c r="D59" s="1"/>
      <c r="E59" s="1"/>
      <c r="F59" s="1"/>
      <c r="G59" s="1"/>
      <c r="H59" s="1"/>
    </row>
    <row r="60" spans="1:8" ht="15.75">
      <c r="A60" s="1"/>
      <c r="B60" s="1"/>
      <c r="C60" s="4" t="s">
        <v>311</v>
      </c>
      <c r="D60" s="338">
        <v>14</v>
      </c>
      <c r="E60" s="1"/>
      <c r="F60" s="1"/>
      <c r="G60" s="1"/>
      <c r="H60" s="1"/>
    </row>
  </sheetData>
  <sheetProtection sheet="1"/>
  <mergeCells count="11">
    <mergeCell ref="J35:M35"/>
    <mergeCell ref="J42:M42"/>
    <mergeCell ref="J48:M48"/>
    <mergeCell ref="A57:B57"/>
    <mergeCell ref="A8:H8"/>
    <mergeCell ref="A2:H2"/>
    <mergeCell ref="A4:H4"/>
    <mergeCell ref="A5:H5"/>
    <mergeCell ref="A6:H6"/>
    <mergeCell ref="A7:H7"/>
    <mergeCell ref="J31:M31"/>
  </mergeCells>
  <printOptions/>
  <pageMargins left="0.5" right="0.5" top="1" bottom="0.5" header="0.5" footer="0.5"/>
  <pageSetup blackAndWhite="1" fitToHeight="1" fitToWidth="1" horizontalDpi="120" verticalDpi="120" orientation="landscape" scale="60" r:id="rId1"/>
  <headerFooter alignWithMargins="0">
    <oddHeader>&amp;RState of Kansas
City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zoomScalePageLayoutView="0" workbookViewId="0" topLeftCell="A18">
      <selection activeCell="G50" sqref="G50:G51"/>
    </sheetView>
  </sheetViews>
  <sheetFormatPr defaultColWidth="9.140625" defaultRowHeight="15"/>
  <cols>
    <col min="1" max="1" width="9.140625" style="2" customWidth="1"/>
    <col min="2" max="2" width="31.421875" style="72" customWidth="1"/>
    <col min="3" max="3" width="13.8515625" style="72" customWidth="1"/>
    <col min="4" max="4" width="7.421875" style="72" customWidth="1"/>
    <col min="5" max="5" width="18.00390625" style="72" customWidth="1"/>
    <col min="6" max="7" width="17.7109375" style="72" customWidth="1"/>
    <col min="8" max="16384" width="9.140625" style="2" customWidth="1"/>
  </cols>
  <sheetData>
    <row r="1" spans="2:7" ht="15.75">
      <c r="B1" s="1"/>
      <c r="C1" s="1"/>
      <c r="D1" s="1"/>
      <c r="E1" s="1"/>
      <c r="F1" s="1"/>
      <c r="G1" s="1">
        <f>'[1]inputPrYr'!C5</f>
        <v>2013</v>
      </c>
    </row>
    <row r="2" spans="2:7" ht="15.75">
      <c r="B2" s="1"/>
      <c r="C2" s="1"/>
      <c r="D2" s="3" t="s">
        <v>0</v>
      </c>
      <c r="E2" s="1"/>
      <c r="F2" s="1"/>
      <c r="G2" s="4"/>
    </row>
    <row r="3" spans="2:7" ht="15.75">
      <c r="B3" s="424" t="str">
        <f>CONCATENATE("To the Clerk of ",'[1]inputPrYr'!D3,", State of Kansas")</f>
        <v>To the Clerk of Sedgwick, State of Kansas</v>
      </c>
      <c r="C3" s="425"/>
      <c r="D3" s="425"/>
      <c r="E3" s="425"/>
      <c r="F3" s="425"/>
      <c r="G3" s="425"/>
    </row>
    <row r="4" spans="2:7" ht="15.75">
      <c r="B4" s="5" t="s">
        <v>1</v>
      </c>
      <c r="C4" s="6"/>
      <c r="D4" s="6"/>
      <c r="E4" s="6"/>
      <c r="F4" s="6"/>
      <c r="G4" s="6"/>
    </row>
    <row r="5" spans="2:7" ht="15.75">
      <c r="B5" s="426" t="str">
        <f>('[1]inputPrYr'!D2)</f>
        <v>Andale</v>
      </c>
      <c r="C5" s="427"/>
      <c r="D5" s="427"/>
      <c r="E5" s="427"/>
      <c r="F5" s="427"/>
      <c r="G5" s="427"/>
    </row>
    <row r="6" spans="2:7" ht="15.75">
      <c r="B6" s="5" t="s">
        <v>2</v>
      </c>
      <c r="C6" s="6"/>
      <c r="D6" s="6"/>
      <c r="E6" s="6"/>
      <c r="F6" s="6"/>
      <c r="G6" s="6"/>
    </row>
    <row r="7" spans="2:7" ht="15.75">
      <c r="B7" s="5" t="s">
        <v>3</v>
      </c>
      <c r="C7" s="6"/>
      <c r="D7" s="6"/>
      <c r="E7" s="6"/>
      <c r="F7" s="6"/>
      <c r="G7" s="6"/>
    </row>
    <row r="8" spans="2:7" ht="15.75">
      <c r="B8" s="5" t="str">
        <f>CONCATENATE("maximum expenditures for the various funds for the year ",G1,"; and")</f>
        <v>maximum expenditures for the various funds for the year 2013; and</v>
      </c>
      <c r="C8" s="6"/>
      <c r="D8" s="6"/>
      <c r="E8" s="6"/>
      <c r="F8" s="6"/>
      <c r="G8" s="6"/>
    </row>
    <row r="9" spans="2:7" ht="15.75">
      <c r="B9" s="5" t="str">
        <f>CONCATENATE("(3) the Amount(s) of ",G1-1," Ad Valorem Tax are within statutory limitations.")</f>
        <v>(3) the Amount(s) of 2012 Ad Valorem Tax are within statutory limitations.</v>
      </c>
      <c r="C9" s="6"/>
      <c r="D9" s="6"/>
      <c r="E9" s="6"/>
      <c r="F9" s="6"/>
      <c r="G9" s="6"/>
    </row>
    <row r="10" spans="2:7" ht="15.75">
      <c r="B10" s="1"/>
      <c r="C10" s="1"/>
      <c r="D10" s="1"/>
      <c r="E10" s="7" t="str">
        <f>CONCATENATE("",G1," Adopted Budget")</f>
        <v>2013 Adopted Budget</v>
      </c>
      <c r="F10" s="8"/>
      <c r="G10" s="9"/>
    </row>
    <row r="11" spans="2:7" ht="21" customHeight="1">
      <c r="B11" s="1"/>
      <c r="C11" s="1"/>
      <c r="D11" s="10"/>
      <c r="E11" s="11" t="s">
        <v>4</v>
      </c>
      <c r="F11" s="12" t="s">
        <v>5</v>
      </c>
      <c r="G11" s="12" t="s">
        <v>6</v>
      </c>
    </row>
    <row r="12" spans="2:7" ht="15.75">
      <c r="B12" s="13"/>
      <c r="C12" s="1"/>
      <c r="D12" s="12" t="s">
        <v>7</v>
      </c>
      <c r="E12" s="14" t="s">
        <v>8</v>
      </c>
      <c r="F12" s="15" t="str">
        <f>CONCATENATE("",G1-1," Ad")</f>
        <v>2012 Ad</v>
      </c>
      <c r="G12" s="14" t="s">
        <v>9</v>
      </c>
    </row>
    <row r="13" spans="2:7" ht="15.75">
      <c r="B13" s="16" t="s">
        <v>10</v>
      </c>
      <c r="C13" s="17"/>
      <c r="D13" s="18" t="s">
        <v>11</v>
      </c>
      <c r="E13" s="18" t="s">
        <v>12</v>
      </c>
      <c r="F13" s="19" t="s">
        <v>13</v>
      </c>
      <c r="G13" s="18" t="s">
        <v>14</v>
      </c>
    </row>
    <row r="14" spans="2:7" ht="15.75">
      <c r="B14" s="20" t="str">
        <f>CONCATENATE("Computation to Determine Limit for ",G1,"")</f>
        <v>Computation to Determine Limit for 2013</v>
      </c>
      <c r="C14" s="21"/>
      <c r="D14" s="22">
        <v>2</v>
      </c>
      <c r="E14" s="23"/>
      <c r="F14" s="23"/>
      <c r="G14" s="23"/>
    </row>
    <row r="15" spans="2:7" ht="15.75">
      <c r="B15" s="20" t="s">
        <v>15</v>
      </c>
      <c r="C15" s="17"/>
      <c r="D15" s="18">
        <v>3</v>
      </c>
      <c r="E15" s="14"/>
      <c r="F15" s="14"/>
      <c r="G15" s="14"/>
    </row>
    <row r="16" spans="2:7" ht="15.75">
      <c r="B16" s="20" t="s">
        <v>16</v>
      </c>
      <c r="C16" s="17"/>
      <c r="D16" s="18">
        <v>4</v>
      </c>
      <c r="E16" s="14"/>
      <c r="F16" s="14"/>
      <c r="G16" s="14"/>
    </row>
    <row r="17" spans="2:7" ht="15.75">
      <c r="B17" s="20" t="s">
        <v>17</v>
      </c>
      <c r="C17" s="21"/>
      <c r="D17" s="22">
        <v>5</v>
      </c>
      <c r="E17" s="24"/>
      <c r="F17" s="24"/>
      <c r="G17" s="24"/>
    </row>
    <row r="18" spans="2:7" ht="15.75">
      <c r="B18" s="20" t="s">
        <v>18</v>
      </c>
      <c r="C18" s="21"/>
      <c r="D18" s="22">
        <v>6</v>
      </c>
      <c r="E18" s="24"/>
      <c r="F18" s="24"/>
      <c r="G18" s="24"/>
    </row>
    <row r="19" spans="2:7" ht="15.75">
      <c r="B19" s="25"/>
      <c r="C19" s="21"/>
      <c r="D19" s="26"/>
      <c r="E19" s="24"/>
      <c r="F19" s="24"/>
      <c r="G19" s="24"/>
    </row>
    <row r="20" spans="2:7" ht="15.75">
      <c r="B20" s="27" t="s">
        <v>19</v>
      </c>
      <c r="C20" s="28" t="s">
        <v>20</v>
      </c>
      <c r="D20" s="29"/>
      <c r="E20" s="30"/>
      <c r="F20" s="30"/>
      <c r="G20" s="30"/>
    </row>
    <row r="21" spans="2:7" ht="15.75">
      <c r="B21" s="31" t="str">
        <f>'[1]inputPrYr'!B17</f>
        <v>General</v>
      </c>
      <c r="C21" s="32" t="str">
        <f>IF('[1]inputPrYr'!C17&gt;0,('[1]inputPrYr'!C17),"  ")</f>
        <v>12-101a</v>
      </c>
      <c r="D21" s="22">
        <v>7</v>
      </c>
      <c r="E21" s="33">
        <f>IF('[1]general'!$E$112&lt;&gt;0,'[1]general'!$E$112,"  ")</f>
        <v>355670</v>
      </c>
      <c r="F21" s="34">
        <f>IF('[1]general'!$E$119&lt;&gt;0,'[1]general'!$E$119,0)</f>
        <v>117819.85999999999</v>
      </c>
      <c r="G21" s="35">
        <v>19.997</v>
      </c>
    </row>
    <row r="22" spans="2:7" ht="15.75">
      <c r="B22" s="36" t="str">
        <f>IF('[1]inputPrYr'!$B18&gt;"  ",('[1]inputPrYr'!$B18),"  ")</f>
        <v>Debt Service</v>
      </c>
      <c r="C22" s="32" t="str">
        <f>IF('[1]inputPrYr'!C18&gt;0,('[1]inputPrYr'!C18),"  ")</f>
        <v>10-113</v>
      </c>
      <c r="D22" s="22">
        <f>IF('[1]DebtSvs-Library'!C85=0,"",'[1]DebtSvs-Library'!C85)</f>
        <v>8</v>
      </c>
      <c r="E22" s="33">
        <f>IF('[1]DebtSvs-Library'!E35&lt;&gt;0,'[1]DebtSvs-Library'!E35,"  ")</f>
        <v>342091</v>
      </c>
      <c r="F22" s="34">
        <f>IF('[1]DebtSvs-Library'!E42&lt;&gt;0,'[1]DebtSvs-Library'!E42,0)</f>
        <v>82222.64000000001</v>
      </c>
      <c r="G22" s="35">
        <v>13.955</v>
      </c>
    </row>
    <row r="23" spans="2:7" ht="15.75">
      <c r="B23" s="36" t="str">
        <f>IF('[1]inputPrYr'!$B20&gt;"  ",('[1]inputPrYr'!$B20),"  ")</f>
        <v>Special Law &amp; Ambulance</v>
      </c>
      <c r="C23" s="32" t="str">
        <f>IF('[1]inputPrYr'!C20&gt;0,('[1]inputPrYr'!C20),"  ")</f>
        <v>12-110</v>
      </c>
      <c r="D23" s="22">
        <f>IF('[1]levy page9'!C83&gt;0,'[1]levy page9'!C83,"  ")</f>
        <v>9</v>
      </c>
      <c r="E23" s="33">
        <f>IF('[1]levy page9'!$E$33&gt;0,'[1]levy page9'!$E$33,"  ")</f>
        <v>11600</v>
      </c>
      <c r="F23" s="34">
        <f>IF('[1]levy page9'!$E$40&lt;&gt;0,'[1]levy page9'!$E$40,0)</f>
        <v>2689.279999999999</v>
      </c>
      <c r="G23" s="35">
        <v>0.456</v>
      </c>
    </row>
    <row r="24" spans="2:7" ht="15.75">
      <c r="B24" s="36" t="str">
        <f>IF('[1]inputPrYr'!$B21&gt;"  ",('[1]inputPrYr'!$B21),"  ")</f>
        <v>Employee Benefits</v>
      </c>
      <c r="C24" s="32" t="str">
        <f>IF('[1]inputPrYr'!C21&gt;0,('[1]inputPrYr'!C21),"  ")</f>
        <v>12-16, 201</v>
      </c>
      <c r="D24" s="22">
        <f>IF('[1]levy page9'!C83&gt;0,'[1]levy page9'!C83,"  ")</f>
        <v>9</v>
      </c>
      <c r="E24" s="33">
        <f>IF('[1]levy page9'!$E$73&gt;0,'[1]levy page9'!$E$73,"  ")</f>
        <v>68600</v>
      </c>
      <c r="F24" s="34">
        <f>IF('[1]levy page9'!$E$80&lt;&gt;0,'[1]levy page9'!$E$80,0)</f>
        <v>56660.54000000001</v>
      </c>
      <c r="G24" s="35">
        <v>9.617</v>
      </c>
    </row>
    <row r="25" spans="2:7" ht="15.75">
      <c r="B25" s="36" t="str">
        <f>IF('[1]inputPrYr'!$B22&gt;"  ",('[1]inputPrYr'!$B22),"  ")</f>
        <v>  </v>
      </c>
      <c r="C25" s="32" t="str">
        <f>IF('[1]inputPrYr'!C22&gt;0,('[1]inputPrYr'!C22),"  ")</f>
        <v>  </v>
      </c>
      <c r="D25" s="22" t="str">
        <f>IF('[1]levy page10'!C83&gt;0,'[1]levy page10'!C83,"  ")</f>
        <v>  </v>
      </c>
      <c r="E25" s="33" t="str">
        <f>IF('[1]levy page10'!$E$33&gt;0,'[1]levy page10'!$E$33,"  ")</f>
        <v>  </v>
      </c>
      <c r="F25" s="34">
        <f>IF('[1]levy page10'!$E$40&lt;&gt;0,'[1]levy page10'!$E$40,0)</f>
        <v>0</v>
      </c>
      <c r="G25" s="35">
        <f aca="true" t="shared" si="0" ref="G25:G32">IF($G$49=0,"",ROUND(F25/$G$49*1000,3))</f>
        <v>0</v>
      </c>
    </row>
    <row r="26" spans="2:7" ht="15.75">
      <c r="B26" s="36" t="str">
        <f>IF('[1]inputPrYr'!$B23&gt;"  ",('[1]inputPrYr'!$B23),"  ")</f>
        <v>  </v>
      </c>
      <c r="C26" s="32" t="str">
        <f>IF('[1]inputPrYr'!C23&gt;0,('[1]inputPrYr'!C23),"  ")</f>
        <v>  </v>
      </c>
      <c r="D26" s="22" t="str">
        <f>IF('[1]levy page10'!C83&gt;0,'[1]levy page10'!C83,"  ")</f>
        <v>  </v>
      </c>
      <c r="E26" s="33" t="str">
        <f>IF('[1]levy page10'!$E$73&gt;0,'[1]levy page10'!$E$73,"  ")</f>
        <v>  </v>
      </c>
      <c r="F26" s="34">
        <f>IF('[1]levy page10'!$E$80&lt;&gt;0,'[1]levy page10'!$E$80,0)</f>
        <v>0</v>
      </c>
      <c r="G26" s="35">
        <f t="shared" si="0"/>
        <v>0</v>
      </c>
    </row>
    <row r="27" spans="2:7" ht="15.75">
      <c r="B27" s="36" t="str">
        <f>IF('[1]inputPrYr'!$B24&gt;"  ",('[1]inputPrYr'!$B24),"  ")</f>
        <v>  </v>
      </c>
      <c r="C27" s="32" t="str">
        <f>IF('[1]inputPrYr'!C24&gt;0,('[1]inputPrYr'!C24),"  ")</f>
        <v>  </v>
      </c>
      <c r="D27" s="22" t="str">
        <f>IF('[1]levy page11'!C83&gt;0,'[1]levy page11'!C83,"  ")</f>
        <v>  </v>
      </c>
      <c r="E27" s="33" t="str">
        <f>IF('[1]levy page11'!$E$33&gt;0,'[1]levy page11'!$E$33,"  ")</f>
        <v>  </v>
      </c>
      <c r="F27" s="34">
        <f>IF('[1]levy page11'!$E$40&lt;&gt;0,'[1]levy page11'!$E$40,0)</f>
        <v>0</v>
      </c>
      <c r="G27" s="35">
        <f t="shared" si="0"/>
        <v>0</v>
      </c>
    </row>
    <row r="28" spans="2:7" ht="15.75">
      <c r="B28" s="36" t="str">
        <f>IF('[1]inputPrYr'!$B25&gt;"  ",('[1]inputPrYr'!$B25),"  ")</f>
        <v>  </v>
      </c>
      <c r="C28" s="32" t="str">
        <f>IF('[1]inputPrYr'!C25&gt;0,('[1]inputPrYr'!C25),"  ")</f>
        <v>  </v>
      </c>
      <c r="D28" s="22" t="str">
        <f>IF('[1]levy page11'!C83&gt;0,'[1]levy page11'!C83,"  ")</f>
        <v>  </v>
      </c>
      <c r="E28" s="33" t="str">
        <f>IF('[1]levy page11'!$E$73&gt;0,'[1]levy page11'!$E$73,"  ")</f>
        <v>  </v>
      </c>
      <c r="F28" s="34">
        <f>IF('[1]levy page11'!$E$80&lt;&gt;0,'[1]levy page11'!$E$80,0)</f>
        <v>0</v>
      </c>
      <c r="G28" s="35">
        <f t="shared" si="0"/>
        <v>0</v>
      </c>
    </row>
    <row r="29" spans="2:7" ht="15.75">
      <c r="B29" s="36" t="str">
        <f>IF('[1]inputPrYr'!$B26&gt;"  ",('[1]inputPrYr'!$B26),"  ")</f>
        <v>  </v>
      </c>
      <c r="C29" s="32" t="str">
        <f>IF('[1]inputPrYr'!C26&gt;0,('[1]inputPrYr'!C26),"  ")</f>
        <v>  </v>
      </c>
      <c r="D29" s="22" t="str">
        <f>IF('[1]levy page12'!C83&gt;0,'[1]levy page12'!C83,"  ")</f>
        <v>  </v>
      </c>
      <c r="E29" s="33" t="str">
        <f>IF('[1]levy page12'!$E$33&gt;0,'[1]levy page12'!$E$33,"  ")</f>
        <v>  </v>
      </c>
      <c r="F29" s="34">
        <f>IF('[1]levy page12'!$E$40&lt;&gt;0,'[1]levy page12'!$E$40,0)</f>
        <v>0</v>
      </c>
      <c r="G29" s="35">
        <f t="shared" si="0"/>
        <v>0</v>
      </c>
    </row>
    <row r="30" spans="2:7" ht="15.75">
      <c r="B30" s="36" t="str">
        <f>IF('[1]inputPrYr'!$B27&gt;"  ",('[1]inputPrYr'!$B27),"  ")</f>
        <v>  </v>
      </c>
      <c r="C30" s="32" t="str">
        <f>IF('[1]inputPrYr'!C27&gt;0,('[1]inputPrYr'!C27),"  ")</f>
        <v>  </v>
      </c>
      <c r="D30" s="22" t="str">
        <f>IF('[1]levy page12'!C83&gt;0,'[1]levy page12'!C83,"  ")</f>
        <v>  </v>
      </c>
      <c r="E30" s="33" t="str">
        <f>IF('[1]levy page12'!$E$73&gt;0,'[1]levy page12'!$E$73,"  ")</f>
        <v>  </v>
      </c>
      <c r="F30" s="34">
        <f>IF('[1]levy page12'!$E$80&lt;&gt;0,'[1]levy page12'!$E$80,0)</f>
        <v>0</v>
      </c>
      <c r="G30" s="35">
        <f t="shared" si="0"/>
        <v>0</v>
      </c>
    </row>
    <row r="31" spans="2:7" ht="15.75">
      <c r="B31" s="36" t="str">
        <f>IF('[1]inputPrYr'!$B28&gt;"  ",('[1]inputPrYr'!$B28),"  ")</f>
        <v>  </v>
      </c>
      <c r="C31" s="32" t="str">
        <f>IF('[1]inputPrYr'!C28&gt;0,('[1]inputPrYr'!C28),"  ")</f>
        <v>  </v>
      </c>
      <c r="D31" s="22" t="str">
        <f>IF('[1]levy page13'!C83&gt;0,'[1]levy page13'!C83,"  ")</f>
        <v>  </v>
      </c>
      <c r="E31" s="33" t="str">
        <f>IF('[1]levy page13'!$E$33&gt;0,'[1]levy page13'!$E$33,"  ")</f>
        <v>  </v>
      </c>
      <c r="F31" s="34">
        <f>IF('[1]levy page13'!$E$40&lt;&gt;0,'[1]levy page13'!$E$40,0)</f>
        <v>0</v>
      </c>
      <c r="G31" s="35">
        <f t="shared" si="0"/>
        <v>0</v>
      </c>
    </row>
    <row r="32" spans="1:7" ht="15.75">
      <c r="A32" s="37" t="str">
        <f>IF('[1]inputPrYr'!$B32&gt;"  ",('[1]inputPrYr'!$B32),"  ")</f>
        <v>  </v>
      </c>
      <c r="B32" s="36" t="str">
        <f>IF('[1]inputPrYr'!$B29&gt;"  ",('[1]inputPrYr'!$B29),"  ")</f>
        <v>  </v>
      </c>
      <c r="C32" s="32" t="str">
        <f>IF('[1]inputPrYr'!C29&gt;0,('[1]inputPrYr'!C29),"  ")</f>
        <v>  </v>
      </c>
      <c r="D32" s="22" t="str">
        <f>IF('[1]levy page13'!C83&gt;0,'[1]levy page13'!C83,"  ")</f>
        <v>  </v>
      </c>
      <c r="E32" s="33" t="str">
        <f>IF('[1]levy page13'!$E$73&gt;0,'[1]levy page13'!$E$73,"  ")</f>
        <v>  </v>
      </c>
      <c r="F32" s="34">
        <f>IF('[1]levy page13'!$E$80&lt;&gt;0,'[1]levy page13'!$E$80,0)</f>
        <v>0</v>
      </c>
      <c r="G32" s="35">
        <f t="shared" si="0"/>
        <v>0</v>
      </c>
    </row>
    <row r="33" spans="2:7" ht="15.75">
      <c r="B33" s="37" t="str">
        <f>IF('[1]inputPrYr'!$B33&gt;"  ",('[1]inputPrYr'!$B33),"  ")</f>
        <v>Special Highway</v>
      </c>
      <c r="C33" s="21"/>
      <c r="D33" s="26">
        <f>IF('[1]Sp Hiway'!C65&gt;0,'[1]Sp Hiway'!C65,"  ")</f>
        <v>10</v>
      </c>
      <c r="E33" s="33">
        <f>IF('[1]Sp Hiway'!$E$28&gt;0,'[1]Sp Hiway'!$E$28,"  ")</f>
        <v>35650</v>
      </c>
      <c r="F33" s="33"/>
      <c r="G33" s="38"/>
    </row>
    <row r="34" spans="2:7" ht="15.75">
      <c r="B34" s="37" t="str">
        <f>IF('[1]inputPrYr'!$B34&gt;"  ",('[1]inputPrYr'!$B34),"  ")</f>
        <v>Sewer Utility</v>
      </c>
      <c r="C34" s="21"/>
      <c r="D34" s="26">
        <f>IF('[1]Sp Hiway'!C65&gt;0,'[1]Sp Hiway'!C65,"  ")</f>
        <v>10</v>
      </c>
      <c r="E34" s="33">
        <f>IF('[1]Sp Hiway'!$E$59&gt;0,'[1]Sp Hiway'!$E$59,"  ")</f>
        <v>90940</v>
      </c>
      <c r="F34" s="33"/>
      <c r="G34" s="38"/>
    </row>
    <row r="35" spans="2:7" ht="15.75">
      <c r="B35" s="37" t="str">
        <f>IF('[1]inputPrYr'!$B35&gt;"  ",('[1]inputPrYr'!$B35),"  ")</f>
        <v>Water Utility</v>
      </c>
      <c r="C35" s="21"/>
      <c r="D35" s="26">
        <f>IF('[1]nolevypage15'!C65&gt;0,'[1]nolevypage15'!C65,"  ")</f>
        <v>11</v>
      </c>
      <c r="E35" s="33">
        <f>IF('[1]nolevypage15'!$E$28&gt;0,'[1]nolevypage15'!$E$28,"  ")</f>
        <v>120311</v>
      </c>
      <c r="F35" s="33"/>
      <c r="G35" s="38"/>
    </row>
    <row r="36" spans="2:7" ht="15.75">
      <c r="B36" s="37" t="str">
        <f>IF('[1]inputPrYr'!$B36&gt;"  ",('[1]inputPrYr'!$B36),"  ")</f>
        <v>Solid Waste Utility</v>
      </c>
      <c r="C36" s="21"/>
      <c r="D36" s="26">
        <f>IF('[1]nolevypage15'!C65&gt;0,'[1]nolevypage15'!C65,"  ")</f>
        <v>11</v>
      </c>
      <c r="E36" s="33">
        <f>IF('[1]nolevypage15'!$E$59&gt;0,'[1]nolevypage15'!$E$59,"  ")</f>
        <v>55488</v>
      </c>
      <c r="F36" s="33"/>
      <c r="G36" s="38"/>
    </row>
    <row r="37" spans="2:7" ht="15.75">
      <c r="B37" s="37" t="str">
        <f>IF('[1]inputPrYr'!$B37&gt;"  ",('[1]inputPrYr'!$B37),"  ")</f>
        <v>Special Park &amp; Recreation</v>
      </c>
      <c r="C37" s="21"/>
      <c r="D37" s="26">
        <f>IF('[1]nolevypage16'!C65&gt;0,'[1]nolevypage16'!C65,"  ")</f>
        <v>12</v>
      </c>
      <c r="E37" s="33">
        <f>IF('[1]nolevypage16'!$E$28&gt;0,'[1]nolevypage16'!$E$28,"  ")</f>
        <v>20000</v>
      </c>
      <c r="F37" s="33"/>
      <c r="G37" s="38"/>
    </row>
    <row r="38" spans="2:7" ht="15.75">
      <c r="B38" s="39" t="str">
        <f>IF('[1]inputPrYr'!$B38&gt;"  ",('[1]inputPrYr'!$B38),"  ")</f>
        <v>  </v>
      </c>
      <c r="C38" s="21"/>
      <c r="D38" s="26">
        <f>IF('[1]nolevypage16'!C65&gt;0,'[1]nolevypage16'!C65,"  ")</f>
        <v>12</v>
      </c>
      <c r="E38" s="33" t="str">
        <f>IF('[1]nolevypage16'!$E$59&gt;0,'[1]nolevypage16'!$E$59,"  ")</f>
        <v>  </v>
      </c>
      <c r="F38" s="33"/>
      <c r="G38" s="38"/>
    </row>
    <row r="39" spans="2:7" ht="15.75">
      <c r="B39" s="37" t="str">
        <f>IF('[1]inputPrYr'!$B39&gt;"  ",('[1]inputPrYr'!$B39),"  ")</f>
        <v>  </v>
      </c>
      <c r="C39" s="21"/>
      <c r="D39" s="26" t="str">
        <f>IF('[1]nolevypage17'!C66&gt;0,'[1]nolevypage17'!C66,"  ")</f>
        <v>  </v>
      </c>
      <c r="E39" s="33" t="str">
        <f>IF('[1]nolevypage17'!$E$28&gt;0,'[1]nolevypage17'!$E$28,"  ")</f>
        <v>  </v>
      </c>
      <c r="F39" s="33"/>
      <c r="G39" s="38"/>
    </row>
    <row r="40" spans="2:7" ht="15.75">
      <c r="B40" s="37" t="str">
        <f>IF('[1]inputPrYr'!$B40&gt;"  ",('[1]inputPrYr'!$B40),"  ")</f>
        <v>  </v>
      </c>
      <c r="C40" s="21"/>
      <c r="D40" s="26" t="str">
        <f>IF('[1]nolevypage17'!C66&gt;0,'[1]nolevypage17'!C66,"  ")</f>
        <v>  </v>
      </c>
      <c r="E40" s="33" t="str">
        <f>IF('[1]nolevypage17'!$E$60&gt;0,'[1]nolevypage17'!$E$60,"  ")</f>
        <v>  </v>
      </c>
      <c r="F40" s="33"/>
      <c r="G40" s="38"/>
    </row>
    <row r="41" spans="2:7" ht="15.75">
      <c r="B41" s="37" t="str">
        <f>IF('[1]inputPrYr'!$B43&gt;"  ",('[1]inputPrYr'!$B43),"  ")</f>
        <v>  </v>
      </c>
      <c r="C41" s="40"/>
      <c r="D41" s="26" t="str">
        <f>IF('[1]SinNoLevy18'!$C$53&gt;0,'[1]SinNoLevy18'!$C$53,"  ")</f>
        <v>  </v>
      </c>
      <c r="E41" s="33" t="str">
        <f>IF('[1]SinNoLevy18'!$E$47&gt;0,'[1]SinNoLevy18'!$E$47,"  ")</f>
        <v>  </v>
      </c>
      <c r="F41" s="33"/>
      <c r="G41" s="38"/>
    </row>
    <row r="42" spans="2:7" ht="15.75">
      <c r="B42" s="37" t="str">
        <f>IF('[1]inputPrYr'!$B44&gt;"  ",('[1]inputPrYr'!$B44),"  ")</f>
        <v>  </v>
      </c>
      <c r="C42" s="40"/>
      <c r="D42" s="26" t="str">
        <f>IF('[1]SinNoLevy19'!$C$53&gt;0,'[1]SinNoLevy19'!$C$53,"  ")</f>
        <v>  </v>
      </c>
      <c r="E42" s="33" t="str">
        <f>IF('[1]SinNoLevy19'!$E$47&gt;0,'[1]SinNoLevy19'!$E$47,"  ")</f>
        <v>  </v>
      </c>
      <c r="F42" s="33"/>
      <c r="G42" s="38"/>
    </row>
    <row r="43" spans="2:7" ht="15.75">
      <c r="B43" s="37" t="str">
        <f>IF('[1]inputPrYr'!$B45&gt;"  ",('[1]inputPrYr'!$B45),"  ")</f>
        <v>  </v>
      </c>
      <c r="C43" s="40"/>
      <c r="D43" s="26" t="str">
        <f>IF('[1]SinNoLevy20'!$C$53&gt;0,'[1]SinNoLevy20'!$C$53,"  ")</f>
        <v>  </v>
      </c>
      <c r="E43" s="33" t="str">
        <f>IF('[1]SinNoLevy20'!$E$47&gt;0,'[1]SinNoLevy20'!$E$47,"  ")</f>
        <v>  </v>
      </c>
      <c r="F43" s="33"/>
      <c r="G43" s="38"/>
    </row>
    <row r="44" spans="2:7" ht="15.75">
      <c r="B44" s="37" t="str">
        <f>IF('[1]inputPrYr'!$B46&gt;"  ",('[1]inputPrYr'!$B46),"  ")</f>
        <v>  </v>
      </c>
      <c r="C44" s="40"/>
      <c r="D44" s="26" t="str">
        <f>IF('[1]SinNoLevy21'!$C$53&gt;0,'[1]SinNoLevy21'!$C$53,"  ")</f>
        <v>  </v>
      </c>
      <c r="E44" s="33" t="str">
        <f>IF('[1]SinNoLevy21'!$E$47&gt;0,'[1]SinNoLevy21'!$E$47,"  ")</f>
        <v>  </v>
      </c>
      <c r="F44" s="33"/>
      <c r="G44" s="38"/>
    </row>
    <row r="45" spans="2:7" ht="15.75">
      <c r="B45" s="37" t="str">
        <f>IF('[1]inputPrYr'!$B50&gt;"  ",('[1]NonBudA'!$A3),"  ")</f>
        <v>Non-Budgeted Funds-A</v>
      </c>
      <c r="C45" s="40"/>
      <c r="D45" s="26">
        <f>IF('[1]NonBudA'!F33&gt;0,'[1]NonBudA'!F33,"  ")</f>
        <v>13</v>
      </c>
      <c r="E45" s="33"/>
      <c r="F45" s="33"/>
      <c r="G45" s="38"/>
    </row>
    <row r="46" spans="2:7" ht="16.5" thickBot="1">
      <c r="B46" s="37" t="str">
        <f>IF('[1]inputPrYr'!$B56&gt;"  ",('[1]NonBudB'!$A3),"  ")</f>
        <v>  </v>
      </c>
      <c r="C46" s="40"/>
      <c r="D46" s="26" t="str">
        <f>IF('[1]NonBudB'!F33&gt;0,'[1]NonBudB'!F33,"  ")</f>
        <v>  </v>
      </c>
      <c r="E46" s="33"/>
      <c r="F46" s="33"/>
      <c r="G46" s="38"/>
    </row>
    <row r="47" spans="2:7" ht="16.5" thickBot="1">
      <c r="B47" s="41" t="s">
        <v>21</v>
      </c>
      <c r="C47" s="40"/>
      <c r="D47" s="42" t="s">
        <v>22</v>
      </c>
      <c r="E47" s="43">
        <f>SUM(E21:E46)</f>
        <v>1100350</v>
      </c>
      <c r="F47" s="43">
        <f>SUM(F21:F46)</f>
        <v>259392.32</v>
      </c>
      <c r="G47" s="44">
        <f>IF(SUM(G21:G46)=0,"",SUM(G21:G46))</f>
        <v>44.025000000000006</v>
      </c>
    </row>
    <row r="48" spans="2:7" ht="16.5" thickTop="1">
      <c r="B48" s="45" t="s">
        <v>23</v>
      </c>
      <c r="C48" s="46"/>
      <c r="D48" s="47"/>
      <c r="E48" s="48"/>
      <c r="F48" s="49" t="str">
        <f>IF(F47&gt;'[1]computation'!J40,"Yes","No")</f>
        <v>No</v>
      </c>
      <c r="G48" s="50" t="s">
        <v>24</v>
      </c>
    </row>
    <row r="49" spans="2:7" ht="15.75">
      <c r="B49" s="20" t="s">
        <v>25</v>
      </c>
      <c r="C49" s="21"/>
      <c r="D49" s="22">
        <f>'[1]summ'!D60</f>
        <v>14</v>
      </c>
      <c r="E49" s="51"/>
      <c r="F49" s="1"/>
      <c r="G49" s="52">
        <v>5891892</v>
      </c>
    </row>
    <row r="50" spans="2:7" ht="15.75">
      <c r="B50" s="20" t="s">
        <v>26</v>
      </c>
      <c r="C50" s="21"/>
      <c r="D50" s="22">
        <f>IF('[1]nhood'!C40&gt;0,'[1]nhood'!C40,"")</f>
      </c>
      <c r="E50" s="51"/>
      <c r="F50" s="1"/>
      <c r="G50" s="428" t="str">
        <f>CONCATENATE("Nov 1, ",G1-1," Total Assessed Valuation")</f>
        <v>Nov 1, 2012 Total Assessed Valuation</v>
      </c>
    </row>
    <row r="51" spans="2:7" ht="15.75">
      <c r="B51" s="53"/>
      <c r="C51" s="54"/>
      <c r="D51" s="55"/>
      <c r="E51" s="56"/>
      <c r="F51" s="57"/>
      <c r="G51" s="429"/>
    </row>
    <row r="52" spans="2:7" ht="15.75">
      <c r="B52" s="53" t="s">
        <v>27</v>
      </c>
      <c r="C52" s="54"/>
      <c r="D52" s="1"/>
      <c r="E52" s="58"/>
      <c r="F52" s="54"/>
      <c r="G52" s="54"/>
    </row>
    <row r="53" spans="2:7" ht="15.75">
      <c r="B53" s="59"/>
      <c r="C53" s="54"/>
      <c r="D53" s="54" t="s">
        <v>28</v>
      </c>
      <c r="E53" s="60"/>
      <c r="F53" s="54"/>
      <c r="G53" s="54"/>
    </row>
    <row r="54" spans="2:7" ht="15.75">
      <c r="B54" s="61"/>
      <c r="C54" s="1"/>
      <c r="D54" s="53"/>
      <c r="E54" s="62"/>
      <c r="F54" s="54"/>
      <c r="G54" s="54"/>
    </row>
    <row r="55" spans="2:7" ht="15.75">
      <c r="B55" s="53" t="s">
        <v>29</v>
      </c>
      <c r="C55" s="54"/>
      <c r="D55" s="54" t="s">
        <v>28</v>
      </c>
      <c r="E55" s="63"/>
      <c r="F55" s="64"/>
      <c r="G55" s="64"/>
    </row>
    <row r="56" spans="2:7" ht="15.75">
      <c r="B56" s="59"/>
      <c r="C56" s="13"/>
      <c r="D56" s="54"/>
      <c r="E56" s="54"/>
      <c r="F56" s="1"/>
      <c r="G56" s="1"/>
    </row>
    <row r="57" spans="2:7" ht="15.75">
      <c r="B57" s="61"/>
      <c r="C57" s="65"/>
      <c r="D57" s="54" t="s">
        <v>28</v>
      </c>
      <c r="E57" s="54"/>
      <c r="F57" s="64"/>
      <c r="G57" s="64"/>
    </row>
    <row r="58" spans="2:7" ht="15.75">
      <c r="B58" s="53" t="s">
        <v>30</v>
      </c>
      <c r="C58" s="54"/>
      <c r="D58" s="1"/>
      <c r="E58" s="1"/>
      <c r="F58" s="1"/>
      <c r="G58" s="1"/>
    </row>
    <row r="59" spans="2:7" ht="15.75">
      <c r="B59" s="59"/>
      <c r="C59" s="66"/>
      <c r="D59" s="54" t="s">
        <v>28</v>
      </c>
      <c r="E59" s="54"/>
      <c r="F59" s="64"/>
      <c r="G59" s="64"/>
    </row>
    <row r="60" spans="2:7" ht="15.75">
      <c r="B60" s="67" t="s">
        <v>31</v>
      </c>
      <c r="C60" s="68">
        <f>G1-1</f>
        <v>2012</v>
      </c>
      <c r="D60" s="1"/>
      <c r="E60" s="1"/>
      <c r="F60" s="5"/>
      <c r="G60" s="1"/>
    </row>
    <row r="61" spans="2:7" ht="15.75">
      <c r="B61" s="69"/>
      <c r="C61" s="1"/>
      <c r="D61" s="54" t="s">
        <v>28</v>
      </c>
      <c r="E61" s="54"/>
      <c r="F61" s="54"/>
      <c r="G61" s="54"/>
    </row>
    <row r="62" spans="2:7" ht="15.75">
      <c r="B62" s="70" t="s">
        <v>32</v>
      </c>
      <c r="C62" s="1"/>
      <c r="D62" s="430" t="s">
        <v>33</v>
      </c>
      <c r="E62" s="431"/>
      <c r="F62" s="431"/>
      <c r="G62" s="431"/>
    </row>
    <row r="63" ht="15.75">
      <c r="B63" s="71"/>
    </row>
    <row r="73" spans="2:7" ht="15">
      <c r="B73" s="2"/>
      <c r="C73" s="2"/>
      <c r="D73" s="2"/>
      <c r="E73" s="2"/>
      <c r="F73" s="2"/>
      <c r="G73" s="2"/>
    </row>
    <row r="74" spans="2:7" ht="15">
      <c r="B74" s="2"/>
      <c r="C74" s="2"/>
      <c r="D74" s="2"/>
      <c r="E74" s="2"/>
      <c r="F74" s="2"/>
      <c r="G74" s="2"/>
    </row>
    <row r="75" spans="2:7" ht="15">
      <c r="B75" s="2"/>
      <c r="C75" s="2"/>
      <c r="D75" s="2"/>
      <c r="E75" s="2"/>
      <c r="F75" s="2"/>
      <c r="G75" s="2"/>
    </row>
    <row r="76" spans="2:7" ht="15">
      <c r="B76" s="2"/>
      <c r="C76" s="2"/>
      <c r="D76" s="2"/>
      <c r="E76" s="2"/>
      <c r="F76" s="2"/>
      <c r="G76" s="2"/>
    </row>
    <row r="77" spans="2:7" ht="15">
      <c r="B77" s="2"/>
      <c r="C77" s="2"/>
      <c r="D77" s="2"/>
      <c r="E77" s="2"/>
      <c r="F77" s="2"/>
      <c r="G77" s="2"/>
    </row>
    <row r="78" spans="2:7" ht="15">
      <c r="B78" s="2"/>
      <c r="C78" s="2"/>
      <c r="D78" s="2"/>
      <c r="E78" s="2"/>
      <c r="F78" s="2"/>
      <c r="G78" s="2"/>
    </row>
    <row r="79" spans="2:7" ht="15">
      <c r="B79" s="2"/>
      <c r="C79" s="2"/>
      <c r="D79" s="2"/>
      <c r="E79" s="2"/>
      <c r="F79" s="2"/>
      <c r="G79" s="2"/>
    </row>
    <row r="80" spans="2:7" ht="15">
      <c r="B80" s="2"/>
      <c r="C80" s="2"/>
      <c r="D80" s="2"/>
      <c r="E80" s="2"/>
      <c r="F80" s="2"/>
      <c r="G80" s="2"/>
    </row>
    <row r="81" spans="2:7" ht="15">
      <c r="B81" s="2"/>
      <c r="C81" s="2"/>
      <c r="D81" s="2"/>
      <c r="E81" s="2"/>
      <c r="F81" s="2"/>
      <c r="G81" s="2"/>
    </row>
    <row r="82" spans="2:7" ht="15">
      <c r="B82" s="2"/>
      <c r="C82" s="2"/>
      <c r="D82" s="2"/>
      <c r="E82" s="2"/>
      <c r="F82" s="2"/>
      <c r="G82" s="2"/>
    </row>
    <row r="83" spans="2:7" ht="15">
      <c r="B83" s="2"/>
      <c r="C83" s="2"/>
      <c r="D83" s="2"/>
      <c r="E83" s="2"/>
      <c r="F83" s="2"/>
      <c r="G83" s="2"/>
    </row>
    <row r="84" spans="2:7" ht="15">
      <c r="B84" s="2"/>
      <c r="C84" s="2"/>
      <c r="D84" s="2"/>
      <c r="E84" s="2"/>
      <c r="F84" s="2"/>
      <c r="G84" s="2"/>
    </row>
    <row r="85" spans="2:7" ht="15">
      <c r="B85" s="2"/>
      <c r="C85" s="2"/>
      <c r="D85" s="2"/>
      <c r="E85" s="2"/>
      <c r="F85" s="2"/>
      <c r="G85" s="2"/>
    </row>
    <row r="86" spans="2:7" ht="15">
      <c r="B86" s="2"/>
      <c r="C86" s="2"/>
      <c r="D86" s="2"/>
      <c r="E86" s="2"/>
      <c r="F86" s="2"/>
      <c r="G86" s="2"/>
    </row>
    <row r="87" spans="2:7" ht="15">
      <c r="B87" s="2"/>
      <c r="C87" s="2"/>
      <c r="D87" s="2"/>
      <c r="E87" s="2"/>
      <c r="F87" s="2"/>
      <c r="G87" s="2"/>
    </row>
    <row r="88" spans="2:7" ht="15">
      <c r="B88" s="2"/>
      <c r="C88" s="2"/>
      <c r="D88" s="2"/>
      <c r="E88" s="2"/>
      <c r="F88" s="2"/>
      <c r="G88" s="2"/>
    </row>
    <row r="91" spans="2:7" ht="15.75">
      <c r="B91" s="71"/>
      <c r="C91" s="71"/>
      <c r="D91" s="71"/>
      <c r="E91" s="71"/>
      <c r="F91" s="71"/>
      <c r="G91" s="71"/>
    </row>
  </sheetData>
  <sheetProtection/>
  <mergeCells count="4">
    <mergeCell ref="B3:G3"/>
    <mergeCell ref="B5:G5"/>
    <mergeCell ref="G50:G51"/>
    <mergeCell ref="D62:G62"/>
  </mergeCells>
  <printOptions/>
  <pageMargins left="1" right="0.5" top="0.75" bottom="0.5" header="0.5" footer="0.25"/>
  <pageSetup blackAndWhite="1" fitToHeight="1" fitToWidth="1" horizontalDpi="120" verticalDpi="120" orientation="portrait" scale="75" r:id="rId1"/>
  <headerFooter alignWithMargins="0">
    <oddHeader>&amp;RState of Kansas
City
</oddHeader>
    <oddFooter>&amp;CPage No.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85" zoomScaleNormal="85" zoomScalePageLayoutView="0" workbookViewId="0" topLeftCell="A1">
      <selection activeCell="E28" sqref="E28"/>
    </sheetView>
  </sheetViews>
  <sheetFormatPr defaultColWidth="9.140625" defaultRowHeight="15.75" customHeight="1"/>
  <cols>
    <col min="1" max="2" width="4.28125" style="71" customWidth="1"/>
    <col min="3" max="3" width="40.28125" style="71" customWidth="1"/>
    <col min="4" max="4" width="3.00390625" style="71" customWidth="1"/>
    <col min="5" max="5" width="20.28125" style="71" customWidth="1"/>
    <col min="6" max="6" width="2.57421875" style="71" customWidth="1"/>
    <col min="7" max="7" width="20.28125" style="71" customWidth="1"/>
    <col min="8" max="8" width="2.421875" style="71" customWidth="1"/>
    <col min="9" max="9" width="2.28125" style="71" customWidth="1"/>
    <col min="10" max="10" width="20.28125" style="71" customWidth="1"/>
    <col min="11" max="16384" width="9.140625" style="71" customWidth="1"/>
  </cols>
  <sheetData>
    <row r="1" spans="1:10" ht="15.75" customHeight="1">
      <c r="A1" s="1"/>
      <c r="B1" s="1"/>
      <c r="C1" s="73" t="str">
        <f>'[1]inputPrYr'!D2</f>
        <v>Andale</v>
      </c>
      <c r="D1" s="1"/>
      <c r="E1" s="1"/>
      <c r="F1" s="1"/>
      <c r="G1" s="1"/>
      <c r="H1" s="1"/>
      <c r="I1" s="1"/>
      <c r="J1" s="1">
        <f>'[1]inputPrYr'!$C$5</f>
        <v>2013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432" t="str">
        <f>CONCATENATE("Computation to Determine Limit for ",J1,"")</f>
        <v>Computation to Determine Limit for 2013</v>
      </c>
      <c r="B3" s="433"/>
      <c r="C3" s="433"/>
      <c r="D3" s="433"/>
      <c r="E3" s="433"/>
      <c r="F3" s="433"/>
      <c r="G3" s="433"/>
      <c r="H3" s="433"/>
      <c r="I3" s="433"/>
      <c r="J3" s="433"/>
    </row>
    <row r="4" spans="1:10" ht="15.75">
      <c r="A4" s="1"/>
      <c r="B4" s="1"/>
      <c r="C4" s="1"/>
      <c r="D4" s="1"/>
      <c r="E4" s="433"/>
      <c r="F4" s="433"/>
      <c r="G4" s="433"/>
      <c r="H4" s="74"/>
      <c r="I4" s="1"/>
      <c r="J4" s="75" t="s">
        <v>34</v>
      </c>
    </row>
    <row r="5" spans="1:10" ht="15.75">
      <c r="A5" s="76" t="s">
        <v>35</v>
      </c>
      <c r="B5" s="1" t="str">
        <f>CONCATENATE("Total Tax Levy Amount in ",J1-1," Budget")</f>
        <v>Total Tax Levy Amount in 2012 Budget</v>
      </c>
      <c r="C5" s="1"/>
      <c r="D5" s="1"/>
      <c r="E5" s="77"/>
      <c r="F5" s="77"/>
      <c r="G5" s="77"/>
      <c r="H5" s="78" t="s">
        <v>36</v>
      </c>
      <c r="I5" s="77" t="s">
        <v>37</v>
      </c>
      <c r="J5" s="79">
        <f>'[1]inputPrYr'!E30</f>
        <v>259460</v>
      </c>
    </row>
    <row r="6" spans="1:10" ht="15.75">
      <c r="A6" s="76" t="s">
        <v>38</v>
      </c>
      <c r="B6" s="1" t="str">
        <f>CONCATENATE("Debt Service Levy in ",J1-1," Budget")</f>
        <v>Debt Service Levy in 2012 Budget</v>
      </c>
      <c r="C6" s="1"/>
      <c r="D6" s="1"/>
      <c r="E6" s="77"/>
      <c r="F6" s="77"/>
      <c r="G6" s="77"/>
      <c r="H6" s="78" t="s">
        <v>39</v>
      </c>
      <c r="I6" s="77" t="s">
        <v>37</v>
      </c>
      <c r="J6" s="80">
        <f>'[1]inputPrYr'!E18</f>
        <v>51763</v>
      </c>
    </row>
    <row r="7" spans="1:10" ht="15.75">
      <c r="A7" s="76" t="s">
        <v>40</v>
      </c>
      <c r="B7" s="81" t="s">
        <v>41</v>
      </c>
      <c r="C7" s="1"/>
      <c r="D7" s="1"/>
      <c r="E7" s="77"/>
      <c r="F7" s="77"/>
      <c r="G7" s="77"/>
      <c r="H7" s="77"/>
      <c r="I7" s="77" t="s">
        <v>37</v>
      </c>
      <c r="J7" s="80">
        <f>J5-J6</f>
        <v>207697</v>
      </c>
    </row>
    <row r="8" spans="1:10" ht="15.75">
      <c r="A8" s="1"/>
      <c r="B8" s="1"/>
      <c r="C8" s="1"/>
      <c r="D8" s="1"/>
      <c r="E8" s="77"/>
      <c r="F8" s="77"/>
      <c r="G8" s="77"/>
      <c r="H8" s="77"/>
      <c r="I8" s="77"/>
      <c r="J8" s="77"/>
    </row>
    <row r="9" spans="1:10" ht="15.75">
      <c r="A9" s="1"/>
      <c r="B9" s="81" t="str">
        <f>CONCATENATE("",J1-1," Valuation Information for Valuation Adjustments:")</f>
        <v>2012 Valuation Information for Valuation Adjustments:</v>
      </c>
      <c r="C9" s="1"/>
      <c r="D9" s="1"/>
      <c r="E9" s="77"/>
      <c r="F9" s="77"/>
      <c r="G9" s="77"/>
      <c r="H9" s="77"/>
      <c r="I9" s="77"/>
      <c r="J9" s="77"/>
    </row>
    <row r="10" spans="1:10" ht="15.75">
      <c r="A10" s="1"/>
      <c r="B10" s="1"/>
      <c r="C10" s="81"/>
      <c r="D10" s="1"/>
      <c r="E10" s="77"/>
      <c r="F10" s="77"/>
      <c r="G10" s="77"/>
      <c r="H10" s="77"/>
      <c r="I10" s="77"/>
      <c r="J10" s="77"/>
    </row>
    <row r="11" spans="1:10" ht="15.75">
      <c r="A11" s="76" t="s">
        <v>42</v>
      </c>
      <c r="B11" s="81" t="str">
        <f>CONCATENATE("New Improvements for ",J1-1,":")</f>
        <v>New Improvements for 2012:</v>
      </c>
      <c r="C11" s="1"/>
      <c r="D11" s="1"/>
      <c r="E11" s="78"/>
      <c r="F11" s="78" t="s">
        <v>36</v>
      </c>
      <c r="G11" s="79">
        <f>'[1]inputOth'!E8</f>
        <v>121979</v>
      </c>
      <c r="H11" s="82"/>
      <c r="I11" s="77"/>
      <c r="J11" s="77"/>
    </row>
    <row r="12" spans="1:10" ht="15.75">
      <c r="A12" s="76"/>
      <c r="B12" s="83"/>
      <c r="C12" s="1"/>
      <c r="D12" s="1"/>
      <c r="E12" s="78"/>
      <c r="F12" s="78"/>
      <c r="G12" s="82"/>
      <c r="H12" s="82"/>
      <c r="I12" s="77"/>
      <c r="J12" s="77"/>
    </row>
    <row r="13" spans="1:10" ht="15.75">
      <c r="A13" s="76" t="s">
        <v>43</v>
      </c>
      <c r="B13" s="81" t="str">
        <f>CONCATENATE("Increase in Personal Property for ",J1-1,":")</f>
        <v>Increase in Personal Property for 2012:</v>
      </c>
      <c r="C13" s="1"/>
      <c r="D13" s="1"/>
      <c r="E13" s="78"/>
      <c r="F13" s="78"/>
      <c r="G13" s="82"/>
      <c r="H13" s="82"/>
      <c r="I13" s="77"/>
      <c r="J13" s="77"/>
    </row>
    <row r="14" spans="1:10" ht="15.75">
      <c r="A14" s="4"/>
      <c r="B14" s="1" t="s">
        <v>44</v>
      </c>
      <c r="C14" s="1" t="str">
        <f>CONCATENATE("Personal Property ",J1-1,"")</f>
        <v>Personal Property 2012</v>
      </c>
      <c r="D14" s="83" t="s">
        <v>36</v>
      </c>
      <c r="E14" s="79">
        <f>'[1]inputOth'!E9</f>
        <v>361094</v>
      </c>
      <c r="F14" s="78"/>
      <c r="G14" s="77"/>
      <c r="H14" s="77"/>
      <c r="I14" s="82"/>
      <c r="J14" s="77"/>
    </row>
    <row r="15" spans="1:10" ht="15.75">
      <c r="A15" s="83"/>
      <c r="B15" s="1" t="s">
        <v>45</v>
      </c>
      <c r="C15" s="1" t="str">
        <f>CONCATENATE("Personal Property ",J1-2,"")</f>
        <v>Personal Property 2011</v>
      </c>
      <c r="D15" s="83" t="s">
        <v>39</v>
      </c>
      <c r="E15" s="80">
        <f>'[1]inputOth'!E15</f>
        <v>448510</v>
      </c>
      <c r="F15" s="78"/>
      <c r="G15" s="82"/>
      <c r="H15" s="82"/>
      <c r="I15" s="77"/>
      <c r="J15" s="77"/>
    </row>
    <row r="16" spans="1:10" ht="15.75">
      <c r="A16" s="83"/>
      <c r="B16" s="1" t="s">
        <v>46</v>
      </c>
      <c r="C16" s="1" t="s">
        <v>47</v>
      </c>
      <c r="D16" s="1"/>
      <c r="E16" s="77"/>
      <c r="F16" s="77" t="s">
        <v>36</v>
      </c>
      <c r="G16" s="79">
        <f>IF(E14&gt;E15,E14-E15,0)</f>
        <v>0</v>
      </c>
      <c r="H16" s="82"/>
      <c r="I16" s="77"/>
      <c r="J16" s="77"/>
    </row>
    <row r="17" spans="1:10" ht="15.75">
      <c r="A17" s="83"/>
      <c r="B17" s="83"/>
      <c r="C17" s="1"/>
      <c r="D17" s="1"/>
      <c r="E17" s="77"/>
      <c r="F17" s="77"/>
      <c r="G17" s="82" t="s">
        <v>48</v>
      </c>
      <c r="H17" s="82"/>
      <c r="I17" s="77"/>
      <c r="J17" s="77"/>
    </row>
    <row r="18" spans="1:10" ht="15.75">
      <c r="A18" s="83" t="s">
        <v>49</v>
      </c>
      <c r="B18" s="81" t="str">
        <f>CONCATENATE("Valuation of annexed territory for ",J1-1,":")</f>
        <v>Valuation of annexed territory for 2012:</v>
      </c>
      <c r="C18" s="1"/>
      <c r="D18" s="1"/>
      <c r="E18" s="82"/>
      <c r="F18" s="77"/>
      <c r="G18" s="77"/>
      <c r="H18" s="77"/>
      <c r="I18" s="77"/>
      <c r="J18" s="77"/>
    </row>
    <row r="19" spans="1:10" ht="15.75">
      <c r="A19" s="83"/>
      <c r="B19" s="1" t="s">
        <v>50</v>
      </c>
      <c r="C19" s="1" t="s">
        <v>51</v>
      </c>
      <c r="D19" s="83" t="s">
        <v>36</v>
      </c>
      <c r="E19" s="79">
        <f>'[1]inputOth'!E11</f>
        <v>0</v>
      </c>
      <c r="F19" s="77"/>
      <c r="G19" s="77"/>
      <c r="H19" s="77"/>
      <c r="I19" s="77"/>
      <c r="J19" s="77"/>
    </row>
    <row r="20" spans="1:10" ht="15.75">
      <c r="A20" s="83"/>
      <c r="B20" s="1" t="s">
        <v>52</v>
      </c>
      <c r="C20" s="1" t="s">
        <v>53</v>
      </c>
      <c r="D20" s="83" t="s">
        <v>36</v>
      </c>
      <c r="E20" s="79">
        <f>'[1]inputOth'!E12</f>
        <v>0</v>
      </c>
      <c r="F20" s="77"/>
      <c r="G20" s="82"/>
      <c r="H20" s="82"/>
      <c r="I20" s="77"/>
      <c r="J20" s="77"/>
    </row>
    <row r="21" spans="1:10" ht="15.75">
      <c r="A21" s="83"/>
      <c r="B21" s="1" t="s">
        <v>54</v>
      </c>
      <c r="C21" s="1" t="s">
        <v>55</v>
      </c>
      <c r="D21" s="83" t="s">
        <v>39</v>
      </c>
      <c r="E21" s="79">
        <f>'[1]inputOth'!E13</f>
        <v>0</v>
      </c>
      <c r="F21" s="77"/>
      <c r="G21" s="82"/>
      <c r="H21" s="82"/>
      <c r="I21" s="77"/>
      <c r="J21" s="77"/>
    </row>
    <row r="22" spans="1:10" ht="15.75">
      <c r="A22" s="83"/>
      <c r="B22" s="1" t="s">
        <v>56</v>
      </c>
      <c r="C22" s="1" t="s">
        <v>57</v>
      </c>
      <c r="D22" s="83"/>
      <c r="E22" s="82"/>
      <c r="F22" s="77" t="s">
        <v>36</v>
      </c>
      <c r="G22" s="79">
        <f>E19+E20-E21</f>
        <v>0</v>
      </c>
      <c r="H22" s="82"/>
      <c r="I22" s="77"/>
      <c r="J22" s="77"/>
    </row>
    <row r="23" spans="1:10" ht="15.75">
      <c r="A23" s="83"/>
      <c r="B23" s="83"/>
      <c r="C23" s="1"/>
      <c r="D23" s="83"/>
      <c r="E23" s="82"/>
      <c r="F23" s="77"/>
      <c r="G23" s="82"/>
      <c r="H23" s="82"/>
      <c r="I23" s="77"/>
      <c r="J23" s="77"/>
    </row>
    <row r="24" spans="1:10" ht="15.75">
      <c r="A24" s="83" t="s">
        <v>58</v>
      </c>
      <c r="B24" s="81" t="str">
        <f>CONCATENATE("Valuation of Property that has Changed in Use during ",J1-1,":")</f>
        <v>Valuation of Property that has Changed in Use during 2012:</v>
      </c>
      <c r="C24" s="1"/>
      <c r="D24" s="1"/>
      <c r="E24" s="77"/>
      <c r="F24" s="77"/>
      <c r="G24" s="77">
        <f>'[1]inputOth'!E14</f>
        <v>0</v>
      </c>
      <c r="H24" s="77"/>
      <c r="I24" s="77"/>
      <c r="J24" s="77"/>
    </row>
    <row r="25" spans="1:10" ht="15.75">
      <c r="A25" s="1" t="s">
        <v>4</v>
      </c>
      <c r="B25" s="1"/>
      <c r="C25" s="1"/>
      <c r="D25" s="83"/>
      <c r="E25" s="82"/>
      <c r="F25" s="77"/>
      <c r="G25" s="84"/>
      <c r="H25" s="82"/>
      <c r="I25" s="77"/>
      <c r="J25" s="77"/>
    </row>
    <row r="26" spans="1:10" ht="15.75">
      <c r="A26" s="83" t="s">
        <v>59</v>
      </c>
      <c r="B26" s="81" t="s">
        <v>60</v>
      </c>
      <c r="C26" s="1"/>
      <c r="D26" s="1"/>
      <c r="E26" s="77"/>
      <c r="F26" s="77"/>
      <c r="G26" s="79">
        <f>G11+G16+G22+G24</f>
        <v>121979</v>
      </c>
      <c r="H26" s="82"/>
      <c r="I26" s="77"/>
      <c r="J26" s="77"/>
    </row>
    <row r="27" spans="1:10" ht="15.75">
      <c r="A27" s="83"/>
      <c r="B27" s="83"/>
      <c r="C27" s="81"/>
      <c r="D27" s="1"/>
      <c r="E27" s="77"/>
      <c r="F27" s="77"/>
      <c r="G27" s="82"/>
      <c r="H27" s="82"/>
      <c r="I27" s="77"/>
      <c r="J27" s="77"/>
    </row>
    <row r="28" spans="1:10" ht="15.75">
      <c r="A28" s="83" t="s">
        <v>61</v>
      </c>
      <c r="B28" s="1" t="str">
        <f>CONCATENATE("Total Estimated Valuation July 1, ",J1-1,"")</f>
        <v>Total Estimated Valuation July 1, 2012</v>
      </c>
      <c r="C28" s="1"/>
      <c r="D28" s="1"/>
      <c r="E28" s="79">
        <f>'[1]inputOth'!E7</f>
        <v>5921473</v>
      </c>
      <c r="F28" s="77"/>
      <c r="G28" s="77"/>
      <c r="H28" s="77"/>
      <c r="I28" s="78"/>
      <c r="J28" s="77"/>
    </row>
    <row r="29" spans="1:10" ht="15.75">
      <c r="A29" s="83"/>
      <c r="B29" s="83"/>
      <c r="C29" s="1"/>
      <c r="D29" s="1"/>
      <c r="E29" s="82"/>
      <c r="F29" s="77"/>
      <c r="G29" s="77"/>
      <c r="H29" s="77"/>
      <c r="I29" s="78"/>
      <c r="J29" s="77"/>
    </row>
    <row r="30" spans="1:10" ht="15.75">
      <c r="A30" s="83" t="s">
        <v>62</v>
      </c>
      <c r="B30" s="81" t="s">
        <v>63</v>
      </c>
      <c r="C30" s="1"/>
      <c r="D30" s="1"/>
      <c r="E30" s="77"/>
      <c r="F30" s="77"/>
      <c r="G30" s="79">
        <f>E28-G26</f>
        <v>5799494</v>
      </c>
      <c r="H30" s="82"/>
      <c r="I30" s="78"/>
      <c r="J30" s="77"/>
    </row>
    <row r="31" spans="1:10" ht="15.75">
      <c r="A31" s="83"/>
      <c r="B31" s="83"/>
      <c r="C31" s="81"/>
      <c r="D31" s="1"/>
      <c r="E31" s="1"/>
      <c r="F31" s="1"/>
      <c r="G31" s="85"/>
      <c r="H31" s="54"/>
      <c r="I31" s="83"/>
      <c r="J31" s="1"/>
    </row>
    <row r="32" spans="1:10" ht="15.75">
      <c r="A32" s="83" t="s">
        <v>64</v>
      </c>
      <c r="B32" s="1" t="s">
        <v>65</v>
      </c>
      <c r="C32" s="1"/>
      <c r="D32" s="1"/>
      <c r="E32" s="1"/>
      <c r="F32" s="1"/>
      <c r="G32" s="86">
        <f>IF(G30&gt;0,G26/G30,0)</f>
        <v>0.02103269699046158</v>
      </c>
      <c r="H32" s="54"/>
      <c r="I32" s="1"/>
      <c r="J32" s="1"/>
    </row>
    <row r="33" spans="1:10" ht="15.75">
      <c r="A33" s="83"/>
      <c r="B33" s="83"/>
      <c r="C33" s="1"/>
      <c r="D33" s="1"/>
      <c r="E33" s="1"/>
      <c r="F33" s="1"/>
      <c r="G33" s="54"/>
      <c r="H33" s="54"/>
      <c r="I33" s="1"/>
      <c r="J33" s="1"/>
    </row>
    <row r="34" spans="1:10" ht="15.75">
      <c r="A34" s="83" t="s">
        <v>66</v>
      </c>
      <c r="B34" s="1" t="s">
        <v>67</v>
      </c>
      <c r="C34" s="1"/>
      <c r="D34" s="1"/>
      <c r="E34" s="1"/>
      <c r="F34" s="1"/>
      <c r="G34" s="54"/>
      <c r="H34" s="87" t="s">
        <v>36</v>
      </c>
      <c r="I34" s="1" t="s">
        <v>37</v>
      </c>
      <c r="J34" s="79">
        <f>ROUND(G32*J7,0)</f>
        <v>4368</v>
      </c>
    </row>
    <row r="35" spans="1:10" ht="15.75">
      <c r="A35" s="83"/>
      <c r="B35" s="83"/>
      <c r="C35" s="1"/>
      <c r="D35" s="1"/>
      <c r="E35" s="1"/>
      <c r="F35" s="1"/>
      <c r="G35" s="54"/>
      <c r="H35" s="87"/>
      <c r="I35" s="1"/>
      <c r="J35" s="82"/>
    </row>
    <row r="36" spans="1:10" ht="16.5" thickBot="1">
      <c r="A36" s="83" t="s">
        <v>68</v>
      </c>
      <c r="B36" s="81" t="s">
        <v>69</v>
      </c>
      <c r="C36" s="1"/>
      <c r="D36" s="1"/>
      <c r="E36" s="1"/>
      <c r="F36" s="1"/>
      <c r="G36" s="1"/>
      <c r="H36" s="1"/>
      <c r="I36" s="1" t="s">
        <v>37</v>
      </c>
      <c r="J36" s="88">
        <f>J7+J34</f>
        <v>212065</v>
      </c>
    </row>
    <row r="37" spans="1:10" ht="16.5" thickTop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83" t="s">
        <v>70</v>
      </c>
      <c r="B38" s="81" t="str">
        <f>CONCATENATE("Debt Service Levy in this ",J1," Budget")</f>
        <v>Debt Service Levy in this 2013 Budget</v>
      </c>
      <c r="C38" s="1"/>
      <c r="D38" s="1"/>
      <c r="E38" s="1"/>
      <c r="F38" s="1"/>
      <c r="G38" s="1"/>
      <c r="H38" s="1"/>
      <c r="I38" s="1"/>
      <c r="J38" s="89">
        <f>'[1]DebtSvs-Library'!E42</f>
        <v>82222.64000000001</v>
      </c>
    </row>
    <row r="39" spans="1:10" ht="15.75">
      <c r="A39" s="83"/>
      <c r="B39" s="81"/>
      <c r="C39" s="1"/>
      <c r="D39" s="1"/>
      <c r="E39" s="1"/>
      <c r="F39" s="1"/>
      <c r="G39" s="1"/>
      <c r="H39" s="1"/>
      <c r="I39" s="1"/>
      <c r="J39" s="54"/>
    </row>
    <row r="40" spans="1:10" ht="16.5" thickBot="1">
      <c r="A40" s="83" t="s">
        <v>71</v>
      </c>
      <c r="B40" s="81" t="s">
        <v>72</v>
      </c>
      <c r="C40" s="1"/>
      <c r="D40" s="1"/>
      <c r="E40" s="1"/>
      <c r="F40" s="1"/>
      <c r="G40" s="1"/>
      <c r="H40" s="1"/>
      <c r="I40" s="1"/>
      <c r="J40" s="88">
        <f>J36+J38</f>
        <v>294287.64</v>
      </c>
    </row>
    <row r="41" spans="1:10" ht="16.5" thickTop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s="90" customFormat="1" ht="18.75">
      <c r="A42" s="434" t="str">
        <f>CONCATENATE("If the ",J1," budget includes tax levies exceeding the total on line 15, you must")</f>
        <v>If the 2013 budget includes tax levies exceeding the total on line 15, you must</v>
      </c>
      <c r="B42" s="434"/>
      <c r="C42" s="434"/>
      <c r="D42" s="434"/>
      <c r="E42" s="434"/>
      <c r="F42" s="434"/>
      <c r="G42" s="434"/>
      <c r="H42" s="434"/>
      <c r="I42" s="434"/>
      <c r="J42" s="434"/>
    </row>
    <row r="43" spans="1:10" s="90" customFormat="1" ht="18.75">
      <c r="A43" s="435" t="s">
        <v>73</v>
      </c>
      <c r="B43" s="435"/>
      <c r="C43" s="435"/>
      <c r="D43" s="435"/>
      <c r="E43" s="435"/>
      <c r="F43" s="435"/>
      <c r="G43" s="435"/>
      <c r="H43" s="435"/>
      <c r="I43" s="435"/>
      <c r="J43" s="435"/>
    </row>
    <row r="44" spans="1:10" ht="15.75" customHeight="1">
      <c r="A44" s="430" t="s">
        <v>74</v>
      </c>
      <c r="B44" s="430"/>
      <c r="C44" s="430"/>
      <c r="D44" s="430"/>
      <c r="E44" s="436"/>
      <c r="F44" s="430"/>
      <c r="G44" s="430"/>
      <c r="H44" s="430"/>
      <c r="I44" s="430"/>
      <c r="J44" s="430"/>
    </row>
  </sheetData>
  <sheetProtection sheet="1"/>
  <mergeCells count="5">
    <mergeCell ref="A3:J3"/>
    <mergeCell ref="E4:G4"/>
    <mergeCell ref="A42:J42"/>
    <mergeCell ref="A43:J43"/>
    <mergeCell ref="A44:J44"/>
  </mergeCells>
  <printOptions/>
  <pageMargins left="0.5" right="0.5" top="1" bottom="0.5" header="0.5" footer="0.5"/>
  <pageSetup blackAndWhite="1" fitToHeight="1" fitToWidth="1" horizontalDpi="600" verticalDpi="600" orientation="portrait" scale="80" r:id="rId1"/>
  <headerFooter alignWithMargins="0">
    <oddHeader>&amp;RState of Kansas
City
</oddHeader>
    <oddFooter>&amp;CPage No.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9">
      <selection activeCell="B9" sqref="B9:F9"/>
    </sheetView>
  </sheetViews>
  <sheetFormatPr defaultColWidth="9.140625" defaultRowHeight="15"/>
  <cols>
    <col min="1" max="1" width="9.140625" style="72" customWidth="1"/>
    <col min="2" max="2" width="23.00390625" style="72" customWidth="1"/>
    <col min="3" max="3" width="19.7109375" style="72" customWidth="1"/>
    <col min="4" max="7" width="13.8515625" style="72" customWidth="1"/>
    <col min="8" max="16384" width="9.140625" style="72" customWidth="1"/>
  </cols>
  <sheetData>
    <row r="1" spans="1:7" ht="15.75">
      <c r="A1" s="91"/>
      <c r="B1" s="73" t="str">
        <f>'[1]inputPrYr'!D2</f>
        <v>Andale</v>
      </c>
      <c r="C1" s="73"/>
      <c r="D1" s="1"/>
      <c r="E1" s="1"/>
      <c r="F1" s="1"/>
      <c r="G1" s="1"/>
    </row>
    <row r="2" spans="1:7" ht="15.75">
      <c r="A2" s="91"/>
      <c r="B2" s="1"/>
      <c r="C2" s="1"/>
      <c r="D2" s="1"/>
      <c r="E2" s="1"/>
      <c r="F2" s="1"/>
      <c r="G2" s="1">
        <f>'[1]inputPrYr'!$C$5</f>
        <v>2013</v>
      </c>
    </row>
    <row r="3" spans="1:7" ht="15.75">
      <c r="A3" s="91"/>
      <c r="B3" s="432" t="s">
        <v>75</v>
      </c>
      <c r="C3" s="432"/>
      <c r="D3" s="432"/>
      <c r="E3" s="432"/>
      <c r="F3" s="432"/>
      <c r="G3" s="1"/>
    </row>
    <row r="4" spans="1:7" ht="15.75">
      <c r="A4" s="91"/>
      <c r="B4" s="1"/>
      <c r="C4" s="92"/>
      <c r="D4" s="93"/>
      <c r="E4" s="93"/>
      <c r="F4" s="1"/>
      <c r="G4" s="1"/>
    </row>
    <row r="5" spans="1:7" ht="21" customHeight="1">
      <c r="A5" s="91"/>
      <c r="B5" s="94" t="s">
        <v>76</v>
      </c>
      <c r="C5" s="95" t="s">
        <v>77</v>
      </c>
      <c r="D5" s="437" t="str">
        <f>CONCATENATE("Allocation for Year ",G2,"")</f>
        <v>Allocation for Year 2013</v>
      </c>
      <c r="E5" s="438"/>
      <c r="F5" s="439"/>
      <c r="G5" s="96"/>
    </row>
    <row r="6" spans="1:7" ht="15.75">
      <c r="A6" s="91"/>
      <c r="B6" s="97" t="str">
        <f>CONCATENATE("for ",G2-1,"")</f>
        <v>for 2012</v>
      </c>
      <c r="C6" s="97" t="str">
        <f>CONCATENATE("Amount for ",G2-2,"")</f>
        <v>Amount for 2011</v>
      </c>
      <c r="D6" s="18" t="s">
        <v>78</v>
      </c>
      <c r="E6" s="18" t="s">
        <v>79</v>
      </c>
      <c r="F6" s="18" t="s">
        <v>80</v>
      </c>
      <c r="G6" s="98"/>
    </row>
    <row r="7" spans="1:7" ht="15.75">
      <c r="A7" s="91"/>
      <c r="B7" s="36" t="str">
        <f>('[1]inputPrYr'!B17)</f>
        <v>General</v>
      </c>
      <c r="C7" s="22">
        <f>('[1]inputPrYr'!E17)</f>
        <v>136208</v>
      </c>
      <c r="D7" s="22">
        <f>IF('[1]inputOth'!E38=0,0,D21-SUM(D8:D18))</f>
        <v>18321</v>
      </c>
      <c r="E7" s="22">
        <f>IF('[1]inputOth'!E39=0,0,E22-SUM(E8:E18))</f>
        <v>170</v>
      </c>
      <c r="F7" s="22">
        <f>IF('[1]inputOth'!E40=0,0,F23-SUM(F8:F18))</f>
        <v>262</v>
      </c>
      <c r="G7" s="96"/>
    </row>
    <row r="8" spans="1:7" ht="15.75">
      <c r="A8" s="91"/>
      <c r="B8" s="36" t="str">
        <f>IF('[1]inputPrYr'!$B18&gt;"  ",('[1]inputPrYr'!$B18),"  ")</f>
        <v>Debt Service</v>
      </c>
      <c r="C8" s="22">
        <f>IF('[1]inputPrYr'!$E18&gt;0,('[1]inputPrYr'!$E18),"  ")</f>
        <v>51763</v>
      </c>
      <c r="D8" s="22">
        <f>IF('[1]inputPrYr'!E18&gt;0,ROUND(C8*$D$26,0),"  ")</f>
        <v>6963</v>
      </c>
      <c r="E8" s="22">
        <f>IF('[1]inputPrYr'!E18&gt;0,ROUND(+C8*E$27,0)," ")</f>
        <v>64</v>
      </c>
      <c r="F8" s="22">
        <f>IF('[1]inputPrYr'!E18&gt;0,ROUND(+C8*F$28,0)," ")</f>
        <v>100</v>
      </c>
      <c r="G8" s="96"/>
    </row>
    <row r="9" spans="1:7" ht="15.75">
      <c r="A9" s="91"/>
      <c r="B9" s="36" t="str">
        <f>IF('[1]inputPrYr'!$B20&gt;"  ",('[1]inputPrYr'!$B20),"  ")</f>
        <v>Special Law &amp; Ambulance</v>
      </c>
      <c r="C9" s="22">
        <f>IF('[1]inputPrYr'!$E20&gt;0,('[1]inputPrYr'!$E20),"  ")</f>
        <v>16084</v>
      </c>
      <c r="D9" s="22">
        <f>IF('[1]inputPrYr'!E20&gt;0,ROUND(C9*$D$26,0),"  ")</f>
        <v>2164</v>
      </c>
      <c r="E9" s="22">
        <f>IF('[1]inputPrYr'!E20&gt;0,ROUND(+C9*E$27,0)," ")</f>
        <v>20</v>
      </c>
      <c r="F9" s="22">
        <f>IF('[1]inputPrYr'!E20&gt;0,ROUND(+C9*F$28,0)," ")</f>
        <v>31</v>
      </c>
      <c r="G9" s="96"/>
    </row>
    <row r="10" spans="1:7" ht="15.75">
      <c r="A10" s="91"/>
      <c r="B10" s="36" t="str">
        <f>IF('[1]inputPrYr'!$B21&gt;"  ",('[1]inputPrYr'!$B21),"  ")</f>
        <v>Employee Benefits</v>
      </c>
      <c r="C10" s="22">
        <f>IF('[1]inputPrYr'!$E21&gt;0,('[1]inputPrYr'!$E21),"  ")</f>
        <v>55405</v>
      </c>
      <c r="D10" s="22">
        <f>IF('[1]inputPrYr'!E21&gt;0,ROUND(C10*$D$26,0),"  ")</f>
        <v>7453</v>
      </c>
      <c r="E10" s="22">
        <f>IF('[1]inputPrYr'!E21&gt;0,ROUND(+C10*E$27,0)," ")</f>
        <v>69</v>
      </c>
      <c r="F10" s="22">
        <f>IF('[1]inputPrYr'!E21&gt;0,ROUND(+C10*F$28,0)," ")</f>
        <v>107</v>
      </c>
      <c r="G10" s="96"/>
    </row>
    <row r="11" spans="1:7" ht="15.75">
      <c r="A11" s="91"/>
      <c r="B11" s="36" t="str">
        <f>IF('[1]inputPrYr'!$B22&gt;"  ",('[1]inputPrYr'!$B22),"  ")</f>
        <v>  </v>
      </c>
      <c r="C11" s="22" t="str">
        <f>IF('[1]inputPrYr'!$E22&gt;0,('[1]inputPrYr'!$E22),"  ")</f>
        <v>  </v>
      </c>
      <c r="D11" s="22" t="str">
        <f>IF('[1]inputPrYr'!E22&gt;0,ROUND(C11*$D$26,0),"  ")</f>
        <v>  </v>
      </c>
      <c r="E11" s="22" t="str">
        <f>IF('[1]inputPrYr'!E22&gt;0,ROUND(+C11*E$27,0)," ")</f>
        <v> </v>
      </c>
      <c r="F11" s="22" t="str">
        <f>IF('[1]inputPrYr'!E22&gt;0,ROUND(+C11*F$28,0)," ")</f>
        <v> </v>
      </c>
      <c r="G11" s="96"/>
    </row>
    <row r="12" spans="1:7" ht="15.75">
      <c r="A12" s="91"/>
      <c r="B12" s="36" t="str">
        <f>IF('[1]inputPrYr'!$B23&gt;"  ",('[1]inputPrYr'!$B23),"  ")</f>
        <v>  </v>
      </c>
      <c r="C12" s="22" t="str">
        <f>IF('[1]inputPrYr'!$E23&gt;0,('[1]inputPrYr'!$E23),"  ")</f>
        <v>  </v>
      </c>
      <c r="D12" s="22" t="str">
        <f>IF('[1]inputPrYr'!E23&gt;0,ROUND(C12*$D$26,0),"  ")</f>
        <v>  </v>
      </c>
      <c r="E12" s="22" t="str">
        <f>IF('[1]inputPrYr'!E23&gt;0,ROUND(+C12*E$27,0)," ")</f>
        <v> </v>
      </c>
      <c r="F12" s="22" t="str">
        <f>IF('[1]inputPrYr'!E23&gt;0,ROUND(+C12*F$28,0)," ")</f>
        <v> </v>
      </c>
      <c r="G12" s="96"/>
    </row>
    <row r="13" spans="1:7" ht="15.75">
      <c r="A13" s="91"/>
      <c r="B13" s="36" t="str">
        <f>IF('[1]inputPrYr'!$B24&gt;"  ",('[1]inputPrYr'!$B24),"  ")</f>
        <v>  </v>
      </c>
      <c r="C13" s="22" t="str">
        <f>IF('[1]inputPrYr'!$E24&gt;0,('[1]inputPrYr'!$E24),"  ")</f>
        <v>  </v>
      </c>
      <c r="D13" s="22" t="str">
        <f>IF('[1]inputPrYr'!E24&gt;0,ROUND(C13*$D$26,0),"  ")</f>
        <v>  </v>
      </c>
      <c r="E13" s="22" t="str">
        <f>IF('[1]inputPrYr'!E24&gt;0,ROUND(+C13*E$27,0)," ")</f>
        <v> </v>
      </c>
      <c r="F13" s="22" t="str">
        <f>IF('[1]inputPrYr'!E24&gt;0,ROUND(+C13*F$28,0)," ")</f>
        <v> </v>
      </c>
      <c r="G13" s="96"/>
    </row>
    <row r="14" spans="1:7" ht="15.75">
      <c r="A14" s="91"/>
      <c r="B14" s="36" t="str">
        <f>IF('[1]inputPrYr'!$B25&gt;"  ",('[1]inputPrYr'!$B25),"  ")</f>
        <v>  </v>
      </c>
      <c r="C14" s="22" t="str">
        <f>IF('[1]inputPrYr'!$E25&gt;0,('[1]inputPrYr'!$E25),"  ")</f>
        <v>  </v>
      </c>
      <c r="D14" s="22" t="str">
        <f>IF('[1]inputPrYr'!E25&gt;0,ROUND(C14*$D$26,0),"  ")</f>
        <v>  </v>
      </c>
      <c r="E14" s="22" t="str">
        <f>IF('[1]inputPrYr'!E25&gt;0,ROUND(+C14*E$27,0)," ")</f>
        <v> </v>
      </c>
      <c r="F14" s="22" t="str">
        <f>IF('[1]inputPrYr'!E25&gt;0,ROUND(+C14*F$28,0)," ")</f>
        <v> </v>
      </c>
      <c r="G14" s="96"/>
    </row>
    <row r="15" spans="1:7" ht="15.75">
      <c r="A15" s="91"/>
      <c r="B15" s="36" t="str">
        <f>IF('[1]inputPrYr'!$B26&gt;"  ",('[1]inputPrYr'!$B26),"  ")</f>
        <v>  </v>
      </c>
      <c r="C15" s="22" t="str">
        <f>IF('[1]inputPrYr'!$E26&gt;0,('[1]inputPrYr'!$E26),"  ")</f>
        <v>  </v>
      </c>
      <c r="D15" s="22" t="str">
        <f>IF('[1]inputPrYr'!E26&gt;0,ROUND(C15*$D$26,0),"  ")</f>
        <v>  </v>
      </c>
      <c r="E15" s="22" t="str">
        <f>IF('[1]inputPrYr'!E26&gt;0,ROUND(+C15*E$27,0)," ")</f>
        <v> </v>
      </c>
      <c r="F15" s="22" t="str">
        <f>IF('[1]inputPrYr'!E26&gt;0,ROUND(+C15*F$28,0)," ")</f>
        <v> </v>
      </c>
      <c r="G15" s="96"/>
    </row>
    <row r="16" spans="1:7" ht="15.75">
      <c r="A16" s="91"/>
      <c r="B16" s="36" t="str">
        <f>IF('[1]inputPrYr'!$B27&gt;"  ",('[1]inputPrYr'!$B27),"  ")</f>
        <v>  </v>
      </c>
      <c r="C16" s="22" t="str">
        <f>IF('[1]inputPrYr'!$E27&gt;0,('[1]inputPrYr'!$E27),"  ")</f>
        <v>  </v>
      </c>
      <c r="D16" s="22" t="str">
        <f>IF('[1]inputPrYr'!E27&gt;0,ROUND(C16*$D$26,0),"  ")</f>
        <v>  </v>
      </c>
      <c r="E16" s="22" t="str">
        <f>IF('[1]inputPrYr'!E27&gt;0,ROUND(+C16*E$27,0)," ")</f>
        <v> </v>
      </c>
      <c r="F16" s="22" t="str">
        <f>IF('[1]inputPrYr'!E27&gt;0,ROUND(+C16*F$28,0)," ")</f>
        <v> </v>
      </c>
      <c r="G16" s="96"/>
    </row>
    <row r="17" spans="1:7" ht="15.75">
      <c r="A17" s="91"/>
      <c r="B17" s="36" t="str">
        <f>IF('[1]inputPrYr'!$B28&gt;"  ",('[1]inputPrYr'!$B28),"  ")</f>
        <v>  </v>
      </c>
      <c r="C17" s="22" t="str">
        <f>IF('[1]inputPrYr'!$E28&gt;0,('[1]inputPrYr'!$E28),"  ")</f>
        <v>  </v>
      </c>
      <c r="D17" s="22" t="str">
        <f>IF('[1]inputPrYr'!E28&gt;0,ROUND(C17*$D$26,0),"  ")</f>
        <v>  </v>
      </c>
      <c r="E17" s="22" t="str">
        <f>IF('[1]inputPrYr'!E28&gt;0,ROUND(+C17*E$27,0)," ")</f>
        <v> </v>
      </c>
      <c r="F17" s="22" t="str">
        <f>IF('[1]inputPrYr'!E28&gt;0,ROUND(+C17*F$28,0)," ")</f>
        <v> </v>
      </c>
      <c r="G17" s="96"/>
    </row>
    <row r="18" spans="1:7" ht="15.75">
      <c r="A18" s="91"/>
      <c r="B18" s="36" t="str">
        <f>IF('[1]inputPrYr'!$B29&gt;"  ",('[1]inputPrYr'!$B29),"  ")</f>
        <v>  </v>
      </c>
      <c r="C18" s="22" t="str">
        <f>IF('[1]inputPrYr'!$E29&gt;0,('[1]inputPrYr'!$E29),"  ")</f>
        <v>  </v>
      </c>
      <c r="D18" s="22" t="str">
        <f>IF('[1]inputPrYr'!E29&gt;0,ROUND(C18*$D$26,0),"  ")</f>
        <v>  </v>
      </c>
      <c r="E18" s="22" t="str">
        <f>IF('[1]inputPrYr'!E29&gt;0,ROUND(+C18*E$27,0)," ")</f>
        <v> </v>
      </c>
      <c r="F18" s="22" t="str">
        <f>IF('[1]inputPrYr'!E29&gt;0,ROUND(+C18*F$28,0)," ")</f>
        <v> </v>
      </c>
      <c r="G18" s="96"/>
    </row>
    <row r="19" spans="1:7" ht="15.75">
      <c r="A19" s="91"/>
      <c r="B19" s="99" t="s">
        <v>81</v>
      </c>
      <c r="C19" s="32">
        <f>SUM(C7:C18)</f>
        <v>259460</v>
      </c>
      <c r="D19" s="32">
        <f>SUM(D7:D18)</f>
        <v>34901</v>
      </c>
      <c r="E19" s="32">
        <f>SUM(E7:E18)</f>
        <v>323</v>
      </c>
      <c r="F19" s="32">
        <f>SUM(F7:F18)</f>
        <v>500</v>
      </c>
      <c r="G19" s="96"/>
    </row>
    <row r="20" spans="1:7" ht="15.75">
      <c r="A20" s="91"/>
      <c r="B20" s="1"/>
      <c r="C20" s="1"/>
      <c r="D20" s="1"/>
      <c r="E20" s="1"/>
      <c r="F20" s="1"/>
      <c r="G20" s="1"/>
    </row>
    <row r="21" spans="1:7" ht="15.75">
      <c r="A21" s="91"/>
      <c r="B21" s="13" t="s">
        <v>82</v>
      </c>
      <c r="C21" s="100"/>
      <c r="D21" s="101">
        <f>('[1]inputOth'!E38)</f>
        <v>34901</v>
      </c>
      <c r="E21" s="100"/>
      <c r="F21" s="1"/>
      <c r="G21" s="1"/>
    </row>
    <row r="22" spans="1:7" ht="15.75">
      <c r="A22" s="91"/>
      <c r="B22" s="13" t="s">
        <v>83</v>
      </c>
      <c r="C22" s="1"/>
      <c r="D22" s="1"/>
      <c r="E22" s="101">
        <f>('[1]inputOth'!E39)</f>
        <v>323</v>
      </c>
      <c r="F22" s="1"/>
      <c r="G22" s="1"/>
    </row>
    <row r="23" spans="1:7" ht="15.75">
      <c r="A23" s="91"/>
      <c r="B23" s="13" t="s">
        <v>84</v>
      </c>
      <c r="C23" s="1"/>
      <c r="D23" s="1"/>
      <c r="E23" s="1"/>
      <c r="F23" s="101">
        <f>'[1]inputOth'!E40</f>
        <v>500</v>
      </c>
      <c r="G23" s="1"/>
    </row>
    <row r="24" spans="1:7" ht="15.75">
      <c r="A24" s="91"/>
      <c r="B24" s="53"/>
      <c r="C24" s="54"/>
      <c r="D24" s="54"/>
      <c r="E24" s="54"/>
      <c r="F24" s="55"/>
      <c r="G24" s="82"/>
    </row>
    <row r="25" spans="1:7" ht="15.75">
      <c r="A25" s="91"/>
      <c r="B25" s="13"/>
      <c r="C25" s="1"/>
      <c r="D25" s="1"/>
      <c r="E25" s="1"/>
      <c r="F25" s="55"/>
      <c r="G25" s="1"/>
    </row>
    <row r="26" spans="1:7" ht="15.75">
      <c r="A26" s="91"/>
      <c r="B26" s="13" t="s">
        <v>85</v>
      </c>
      <c r="C26" s="1"/>
      <c r="D26" s="102">
        <f>IF(C19=0,0,D21/C19)</f>
        <v>0.13451399059585292</v>
      </c>
      <c r="E26" s="1"/>
      <c r="F26" s="1"/>
      <c r="G26" s="1"/>
    </row>
    <row r="27" spans="1:7" ht="15.75">
      <c r="A27" s="91"/>
      <c r="B27" s="1"/>
      <c r="C27" s="13" t="s">
        <v>86</v>
      </c>
      <c r="D27" s="1"/>
      <c r="E27" s="102">
        <f>IF(C19=0,0,E22/C19)</f>
        <v>0.0012448932398057503</v>
      </c>
      <c r="F27" s="1"/>
      <c r="G27" s="1"/>
    </row>
    <row r="28" spans="1:7" ht="15.75">
      <c r="A28" s="91"/>
      <c r="B28" s="1"/>
      <c r="C28" s="1"/>
      <c r="D28" s="13" t="s">
        <v>87</v>
      </c>
      <c r="E28" s="1"/>
      <c r="F28" s="102">
        <f>IF(F23=0,0,F23/C19)</f>
        <v>0.001927079318584753</v>
      </c>
      <c r="G28" s="1"/>
    </row>
    <row r="29" spans="1:7" ht="15.75">
      <c r="A29" s="91"/>
      <c r="B29" s="1"/>
      <c r="C29" s="1"/>
      <c r="D29" s="1"/>
      <c r="E29" s="1"/>
      <c r="F29" s="1"/>
      <c r="G29" s="1"/>
    </row>
    <row r="30" spans="1:7" ht="15" customHeight="1">
      <c r="A30" s="91"/>
      <c r="B30" s="103"/>
      <c r="C30" s="103"/>
      <c r="D30" s="103"/>
      <c r="E30" s="103"/>
      <c r="F30" s="103"/>
      <c r="G30" s="103"/>
    </row>
    <row r="31" ht="15" customHeight="1"/>
    <row r="32" s="104" customFormat="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 sheet="1"/>
  <mergeCells count="2">
    <mergeCell ref="B3:F3"/>
    <mergeCell ref="D5:F5"/>
  </mergeCells>
  <printOptions/>
  <pageMargins left="0.5" right="0.5" top="0.5" bottom="0" header="0.25" footer="0"/>
  <pageSetup blackAndWhite="1" fitToHeight="1" fitToWidth="1" horizontalDpi="120" verticalDpi="120" orientation="portrait" scale="87" r:id="rId1"/>
  <headerFooter alignWithMargins="0">
    <oddHeader>&amp;RState of Kansas
City
</oddHeader>
    <oddFooter>&amp;CPage No.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9.28125" style="71" customWidth="1"/>
    <col min="2" max="2" width="22.8515625" style="71" customWidth="1"/>
    <col min="3" max="6" width="16.421875" style="71" customWidth="1"/>
    <col min="7" max="16384" width="9.140625" style="71" customWidth="1"/>
  </cols>
  <sheetData>
    <row r="1" spans="1:6" ht="15.75">
      <c r="A1" s="105" t="str">
        <f>'[1]inputPrYr'!D2</f>
        <v>Andale</v>
      </c>
      <c r="B1" s="105"/>
      <c r="C1" s="106"/>
      <c r="D1" s="106"/>
      <c r="E1" s="106"/>
      <c r="F1" s="106">
        <f>'[1]inputPrYr'!$C$5</f>
        <v>2013</v>
      </c>
    </row>
    <row r="2" spans="1:6" ht="15.75">
      <c r="A2" s="106"/>
      <c r="B2" s="106"/>
      <c r="C2" s="106"/>
      <c r="D2" s="106"/>
      <c r="E2" s="106"/>
      <c r="F2" s="106"/>
    </row>
    <row r="3" spans="1:6" ht="15.75">
      <c r="A3" s="433" t="s">
        <v>16</v>
      </c>
      <c r="B3" s="433"/>
      <c r="C3" s="433"/>
      <c r="D3" s="433"/>
      <c r="E3" s="433"/>
      <c r="F3" s="433"/>
    </row>
    <row r="4" spans="1:6" ht="15.75">
      <c r="A4" s="107"/>
      <c r="B4" s="107"/>
      <c r="C4" s="107"/>
      <c r="D4" s="107"/>
      <c r="E4" s="107"/>
      <c r="F4" s="107"/>
    </row>
    <row r="5" spans="1:6" ht="15.75">
      <c r="A5" s="108" t="s">
        <v>88</v>
      </c>
      <c r="B5" s="108" t="s">
        <v>89</v>
      </c>
      <c r="C5" s="108" t="s">
        <v>90</v>
      </c>
      <c r="D5" s="108" t="s">
        <v>91</v>
      </c>
      <c r="E5" s="108" t="s">
        <v>92</v>
      </c>
      <c r="F5" s="108" t="s">
        <v>93</v>
      </c>
    </row>
    <row r="6" spans="1:6" ht="15.75">
      <c r="A6" s="109" t="s">
        <v>94</v>
      </c>
      <c r="B6" s="109" t="s">
        <v>95</v>
      </c>
      <c r="C6" s="109" t="s">
        <v>96</v>
      </c>
      <c r="D6" s="109" t="s">
        <v>96</v>
      </c>
      <c r="E6" s="109" t="s">
        <v>96</v>
      </c>
      <c r="F6" s="109" t="s">
        <v>97</v>
      </c>
    </row>
    <row r="7" spans="1:6" ht="15" customHeight="1">
      <c r="A7" s="110" t="s">
        <v>98</v>
      </c>
      <c r="B7" s="110" t="s">
        <v>99</v>
      </c>
      <c r="C7" s="111">
        <f>F1-2</f>
        <v>2011</v>
      </c>
      <c r="D7" s="111">
        <f>F1-1</f>
        <v>2012</v>
      </c>
      <c r="E7" s="111">
        <f>F1</f>
        <v>2013</v>
      </c>
      <c r="F7" s="110" t="s">
        <v>100</v>
      </c>
    </row>
    <row r="8" spans="1:6" ht="14.25" customHeight="1">
      <c r="A8" s="112" t="s">
        <v>101</v>
      </c>
      <c r="B8" s="112" t="s">
        <v>102</v>
      </c>
      <c r="C8" s="113">
        <v>45000</v>
      </c>
      <c r="D8" s="113">
        <v>50000</v>
      </c>
      <c r="E8" s="113">
        <v>48175</v>
      </c>
      <c r="F8" s="112" t="s">
        <v>103</v>
      </c>
    </row>
    <row r="9" spans="1:6" ht="15" customHeight="1">
      <c r="A9" s="114" t="s">
        <v>101</v>
      </c>
      <c r="B9" s="114" t="s">
        <v>104</v>
      </c>
      <c r="C9" s="115">
        <v>30000</v>
      </c>
      <c r="D9" s="115">
        <v>10000</v>
      </c>
      <c r="E9" s="115">
        <v>20000</v>
      </c>
      <c r="F9" s="114" t="s">
        <v>103</v>
      </c>
    </row>
    <row r="10" spans="1:6" ht="15" customHeight="1">
      <c r="A10" s="114" t="s">
        <v>105</v>
      </c>
      <c r="B10" s="114" t="s">
        <v>106</v>
      </c>
      <c r="C10" s="115">
        <v>10000</v>
      </c>
      <c r="D10" s="115">
        <v>10000</v>
      </c>
      <c r="E10" s="115">
        <v>10000</v>
      </c>
      <c r="F10" s="114" t="s">
        <v>107</v>
      </c>
    </row>
    <row r="11" spans="1:6" ht="15" customHeight="1">
      <c r="A11" s="114" t="s">
        <v>108</v>
      </c>
      <c r="B11" s="114" t="s">
        <v>109</v>
      </c>
      <c r="C11" s="115">
        <v>4000</v>
      </c>
      <c r="D11" s="115">
        <v>4000</v>
      </c>
      <c r="E11" s="115">
        <v>2000</v>
      </c>
      <c r="F11" s="114" t="s">
        <v>110</v>
      </c>
    </row>
    <row r="12" spans="1:6" ht="15" customHeight="1">
      <c r="A12" s="114" t="s">
        <v>111</v>
      </c>
      <c r="B12" s="114" t="s">
        <v>109</v>
      </c>
      <c r="C12" s="115">
        <v>10000</v>
      </c>
      <c r="D12" s="115">
        <v>10000</v>
      </c>
      <c r="E12" s="115">
        <v>10000</v>
      </c>
      <c r="F12" s="114" t="s">
        <v>110</v>
      </c>
    </row>
    <row r="13" spans="1:6" ht="15" customHeight="1">
      <c r="A13" s="114" t="s">
        <v>105</v>
      </c>
      <c r="B13" s="114" t="s">
        <v>102</v>
      </c>
      <c r="C13" s="115"/>
      <c r="D13" s="115">
        <v>5000</v>
      </c>
      <c r="E13" s="115"/>
      <c r="F13" s="114" t="s">
        <v>103</v>
      </c>
    </row>
    <row r="14" spans="1:6" ht="15" customHeight="1">
      <c r="A14" s="114" t="s">
        <v>112</v>
      </c>
      <c r="B14" s="114" t="s">
        <v>102</v>
      </c>
      <c r="C14" s="115"/>
      <c r="D14" s="115"/>
      <c r="E14" s="115">
        <v>8500</v>
      </c>
      <c r="F14" s="114"/>
    </row>
    <row r="15" spans="1:6" ht="15" customHeight="1">
      <c r="A15" s="114"/>
      <c r="B15" s="114"/>
      <c r="C15" s="115"/>
      <c r="D15" s="115"/>
      <c r="E15" s="115"/>
      <c r="F15" s="114"/>
    </row>
    <row r="16" spans="1:6" ht="15" customHeight="1">
      <c r="A16" s="114"/>
      <c r="B16" s="114"/>
      <c r="C16" s="115"/>
      <c r="D16" s="115"/>
      <c r="E16" s="115"/>
      <c r="F16" s="114"/>
    </row>
    <row r="17" spans="1:6" ht="15" customHeight="1">
      <c r="A17" s="114"/>
      <c r="B17" s="114"/>
      <c r="C17" s="115"/>
      <c r="D17" s="115"/>
      <c r="E17" s="115"/>
      <c r="F17" s="114"/>
    </row>
    <row r="18" spans="1:6" ht="15" customHeight="1">
      <c r="A18" s="114"/>
      <c r="B18" s="114"/>
      <c r="C18" s="115"/>
      <c r="D18" s="115"/>
      <c r="E18" s="115"/>
      <c r="F18" s="114"/>
    </row>
    <row r="19" spans="1:6" ht="15" customHeight="1">
      <c r="A19" s="114"/>
      <c r="B19" s="114"/>
      <c r="C19" s="115"/>
      <c r="D19" s="115"/>
      <c r="E19" s="115"/>
      <c r="F19" s="114"/>
    </row>
    <row r="20" spans="1:6" ht="15" customHeight="1">
      <c r="A20" s="114"/>
      <c r="B20" s="114"/>
      <c r="C20" s="115"/>
      <c r="D20" s="115"/>
      <c r="E20" s="115"/>
      <c r="F20" s="114"/>
    </row>
    <row r="21" spans="1:6" ht="15" customHeight="1">
      <c r="A21" s="114"/>
      <c r="B21" s="114"/>
      <c r="C21" s="115"/>
      <c r="D21" s="115"/>
      <c r="E21" s="115"/>
      <c r="F21" s="114"/>
    </row>
    <row r="22" spans="1:6" ht="15" customHeight="1">
      <c r="A22" s="114"/>
      <c r="B22" s="114"/>
      <c r="C22" s="115"/>
      <c r="D22" s="115"/>
      <c r="E22" s="115"/>
      <c r="F22" s="114"/>
    </row>
    <row r="23" spans="1:6" ht="15" customHeight="1">
      <c r="A23" s="114"/>
      <c r="B23" s="114"/>
      <c r="C23" s="115"/>
      <c r="D23" s="115"/>
      <c r="E23" s="115"/>
      <c r="F23" s="114"/>
    </row>
    <row r="24" spans="1:6" ht="15" customHeight="1">
      <c r="A24" s="114"/>
      <c r="B24" s="114"/>
      <c r="C24" s="115"/>
      <c r="D24" s="115"/>
      <c r="E24" s="115"/>
      <c r="F24" s="114"/>
    </row>
    <row r="25" spans="1:6" ht="15" customHeight="1">
      <c r="A25" s="114"/>
      <c r="B25" s="114"/>
      <c r="C25" s="115"/>
      <c r="D25" s="115"/>
      <c r="E25" s="115"/>
      <c r="F25" s="114"/>
    </row>
    <row r="26" spans="1:6" ht="15" customHeight="1">
      <c r="A26" s="116"/>
      <c r="B26" s="117" t="s">
        <v>113</v>
      </c>
      <c r="C26" s="33">
        <f>SUM(C8:C25)</f>
        <v>99000</v>
      </c>
      <c r="D26" s="33">
        <f>SUM(D8:D25)</f>
        <v>89000</v>
      </c>
      <c r="E26" s="33">
        <f>SUM(E8:E25)</f>
        <v>98675</v>
      </c>
      <c r="F26" s="116"/>
    </row>
    <row r="27" spans="1:6" ht="15" customHeight="1">
      <c r="A27" s="116"/>
      <c r="B27" s="118" t="s">
        <v>114</v>
      </c>
      <c r="C27" s="29"/>
      <c r="D27" s="114"/>
      <c r="E27" s="114"/>
      <c r="F27" s="116"/>
    </row>
    <row r="28" spans="1:6" ht="15" customHeight="1">
      <c r="A28" s="116"/>
      <c r="B28" s="117" t="s">
        <v>115</v>
      </c>
      <c r="C28" s="33">
        <f>C26</f>
        <v>99000</v>
      </c>
      <c r="D28" s="33">
        <f>SUM(D26-D27)</f>
        <v>89000</v>
      </c>
      <c r="E28" s="33">
        <f>SUM(E26-E27)</f>
        <v>98675</v>
      </c>
      <c r="F28" s="116"/>
    </row>
    <row r="29" spans="1:6" ht="15" customHeight="1">
      <c r="A29" s="91"/>
      <c r="B29" s="91"/>
      <c r="C29" s="91"/>
      <c r="D29" s="91"/>
      <c r="E29" s="91"/>
      <c r="F29" s="91"/>
    </row>
    <row r="30" spans="1:6" ht="15" customHeight="1">
      <c r="A30" s="91"/>
      <c r="B30" s="91"/>
      <c r="C30" s="91"/>
      <c r="D30" s="91"/>
      <c r="E30" s="91"/>
      <c r="F30" s="91"/>
    </row>
    <row r="31" spans="1:6" ht="21.75" customHeight="1">
      <c r="A31" s="119" t="s">
        <v>116</v>
      </c>
      <c r="B31" s="120" t="str">
        <f>CONCATENATE("Adjustments are required only if the transfer is being made in ",D7," and/or ",E7," from a non-budgeted fund.")</f>
        <v>Adjustments are required only if the transfer is being made in 2012 and/or 2013 from a non-budgeted fund.</v>
      </c>
      <c r="C31" s="91"/>
      <c r="D31" s="91"/>
      <c r="E31" s="91"/>
      <c r="F31" s="91"/>
    </row>
    <row r="32" ht="15" customHeight="1"/>
  </sheetData>
  <sheetProtection/>
  <mergeCells count="1">
    <mergeCell ref="A3:F3"/>
  </mergeCells>
  <printOptions/>
  <pageMargins left="1" right="1" top="1" bottom="1" header="0.5" footer="0.5"/>
  <pageSetup blackAndWhite="1" fitToHeight="1" fitToWidth="1" horizontalDpi="600" verticalDpi="600" orientation="portrait" scale="70" r:id="rId1"/>
  <headerFooter alignWithMargins="0">
    <oddHeader>&amp;RState of Kansans
City</oddHeader>
    <oddFooter>&amp;CPage No.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C57"/>
  <sheetViews>
    <sheetView zoomScale="75" zoomScaleNormal="75" zoomScalePageLayoutView="0" workbookViewId="0" topLeftCell="A28">
      <selection activeCell="E57" sqref="E57"/>
    </sheetView>
  </sheetViews>
  <sheetFormatPr defaultColWidth="9.140625" defaultRowHeight="15"/>
  <cols>
    <col min="1" max="1" width="5.8515625" style="72" customWidth="1"/>
    <col min="2" max="2" width="28.00390625" style="72" customWidth="1"/>
    <col min="3" max="3" width="12.00390625" style="72" customWidth="1"/>
    <col min="4" max="4" width="11.7109375" style="72" customWidth="1"/>
    <col min="5" max="5" width="11.28125" style="72" customWidth="1"/>
    <col min="6" max="6" width="16.28125" style="72" customWidth="1"/>
    <col min="7" max="7" width="17.57421875" style="72" customWidth="1"/>
    <col min="8" max="9" width="12.00390625" style="72" customWidth="1"/>
    <col min="10" max="13" width="12.57421875" style="72" customWidth="1"/>
    <col min="14" max="16384" width="9.140625" style="72" customWidth="1"/>
  </cols>
  <sheetData>
    <row r="1" spans="2:13" ht="18.75" customHeight="1">
      <c r="B1" s="73" t="str">
        <f>'[1]inputPrYr'!$D$2</f>
        <v>Andale</v>
      </c>
      <c r="C1" s="1"/>
      <c r="D1" s="1"/>
      <c r="E1" s="1"/>
      <c r="F1" s="1"/>
      <c r="G1" s="1"/>
      <c r="H1" s="1"/>
      <c r="I1" s="1"/>
      <c r="J1" s="1"/>
      <c r="K1" s="1"/>
      <c r="L1" s="1"/>
      <c r="M1" s="121">
        <f>'[1]inputPrYr'!$C$5</f>
        <v>2013</v>
      </c>
    </row>
    <row r="2" spans="2:13" ht="15.75">
      <c r="B2" s="73"/>
      <c r="C2" s="1"/>
      <c r="D2" s="1"/>
      <c r="E2" s="1"/>
      <c r="F2" s="1"/>
      <c r="G2" s="1"/>
      <c r="H2" s="1"/>
      <c r="I2" s="1"/>
      <c r="J2" s="1"/>
      <c r="K2" s="1"/>
      <c r="L2" s="1"/>
      <c r="M2" s="65"/>
    </row>
    <row r="3" spans="2:13" ht="15.75">
      <c r="B3" s="122" t="s">
        <v>117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ht="15.75">
      <c r="B4" s="1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2:13" ht="15.75">
      <c r="B5" s="23"/>
      <c r="C5" s="94" t="s">
        <v>118</v>
      </c>
      <c r="D5" s="94" t="s">
        <v>118</v>
      </c>
      <c r="E5" s="94" t="s">
        <v>119</v>
      </c>
      <c r="F5" s="94"/>
      <c r="G5" s="94" t="s">
        <v>120</v>
      </c>
      <c r="H5" s="1"/>
      <c r="I5" s="1"/>
      <c r="J5" s="124" t="s">
        <v>121</v>
      </c>
      <c r="K5" s="125"/>
      <c r="L5" s="124" t="s">
        <v>121</v>
      </c>
      <c r="M5" s="125"/>
    </row>
    <row r="6" spans="2:13" ht="15.75">
      <c r="B6" s="15" t="s">
        <v>122</v>
      </c>
      <c r="C6" s="15" t="s">
        <v>123</v>
      </c>
      <c r="D6" s="15" t="s">
        <v>124</v>
      </c>
      <c r="E6" s="15" t="s">
        <v>125</v>
      </c>
      <c r="F6" s="15" t="s">
        <v>126</v>
      </c>
      <c r="G6" s="15" t="s">
        <v>127</v>
      </c>
      <c r="H6" s="440" t="s">
        <v>128</v>
      </c>
      <c r="I6" s="441"/>
      <c r="J6" s="442">
        <f>M1-1</f>
        <v>2012</v>
      </c>
      <c r="K6" s="443"/>
      <c r="L6" s="442">
        <f>M1</f>
        <v>2013</v>
      </c>
      <c r="M6" s="443"/>
    </row>
    <row r="7" spans="2:13" ht="15.75">
      <c r="B7" s="19" t="s">
        <v>129</v>
      </c>
      <c r="C7" s="19" t="s">
        <v>130</v>
      </c>
      <c r="D7" s="19" t="s">
        <v>131</v>
      </c>
      <c r="E7" s="19" t="s">
        <v>132</v>
      </c>
      <c r="F7" s="19" t="s">
        <v>133</v>
      </c>
      <c r="G7" s="126" t="str">
        <f>CONCATENATE("Jan 1,",M1-1,"")</f>
        <v>Jan 1,2012</v>
      </c>
      <c r="H7" s="29" t="s">
        <v>119</v>
      </c>
      <c r="I7" s="29" t="s">
        <v>134</v>
      </c>
      <c r="J7" s="29" t="s">
        <v>119</v>
      </c>
      <c r="K7" s="29" t="s">
        <v>134</v>
      </c>
      <c r="L7" s="29" t="s">
        <v>119</v>
      </c>
      <c r="M7" s="29" t="s">
        <v>134</v>
      </c>
    </row>
    <row r="8" spans="2:13" ht="15.75">
      <c r="B8" s="127" t="s">
        <v>135</v>
      </c>
      <c r="C8" s="128"/>
      <c r="D8" s="128"/>
      <c r="E8" s="129"/>
      <c r="F8" s="130"/>
      <c r="G8" s="130"/>
      <c r="H8" s="128"/>
      <c r="I8" s="128"/>
      <c r="J8" s="130"/>
      <c r="K8" s="130"/>
      <c r="L8" s="130"/>
      <c r="M8" s="130"/>
    </row>
    <row r="9" spans="2:13" ht="15.75">
      <c r="B9" s="131" t="s">
        <v>136</v>
      </c>
      <c r="C9" s="132">
        <v>35977</v>
      </c>
      <c r="D9" s="132">
        <v>41518</v>
      </c>
      <c r="E9" s="133">
        <v>4.5</v>
      </c>
      <c r="F9" s="134">
        <v>200000</v>
      </c>
      <c r="G9" s="135">
        <v>40000</v>
      </c>
      <c r="H9" s="136">
        <v>40969</v>
      </c>
      <c r="I9" s="136"/>
      <c r="J9" s="135">
        <v>905</v>
      </c>
      <c r="K9" s="135"/>
      <c r="L9" s="135">
        <v>455</v>
      </c>
      <c r="M9" s="135"/>
    </row>
    <row r="10" spans="2:13" ht="15.75">
      <c r="B10" s="131"/>
      <c r="C10" s="132"/>
      <c r="D10" s="132"/>
      <c r="E10" s="133"/>
      <c r="F10" s="134"/>
      <c r="G10" s="135"/>
      <c r="H10" s="136">
        <v>41153</v>
      </c>
      <c r="I10" s="136">
        <v>41153</v>
      </c>
      <c r="J10" s="135">
        <v>905</v>
      </c>
      <c r="K10" s="135">
        <v>20000</v>
      </c>
      <c r="L10" s="135">
        <v>455</v>
      </c>
      <c r="M10" s="135">
        <v>20000</v>
      </c>
    </row>
    <row r="11" spans="2:13" ht="15.75">
      <c r="B11" s="131" t="s">
        <v>136</v>
      </c>
      <c r="C11" s="132">
        <v>36703</v>
      </c>
      <c r="D11" s="132">
        <v>42248</v>
      </c>
      <c r="E11" s="133">
        <v>5.75</v>
      </c>
      <c r="F11" s="134">
        <v>240000</v>
      </c>
      <c r="G11" s="135">
        <v>85000</v>
      </c>
      <c r="H11" s="136">
        <v>40969</v>
      </c>
      <c r="I11" s="136"/>
      <c r="J11" s="135">
        <v>2536</v>
      </c>
      <c r="K11" s="135"/>
      <c r="L11" s="135">
        <v>1951</v>
      </c>
      <c r="M11" s="135"/>
    </row>
    <row r="12" spans="2:13" ht="15.75">
      <c r="B12" s="131"/>
      <c r="C12" s="132"/>
      <c r="D12" s="132"/>
      <c r="E12" s="133"/>
      <c r="F12" s="134"/>
      <c r="G12" s="135"/>
      <c r="H12" s="136">
        <v>41153</v>
      </c>
      <c r="I12" s="136">
        <v>41153</v>
      </c>
      <c r="J12" s="135">
        <v>2537</v>
      </c>
      <c r="K12" s="135">
        <v>20000</v>
      </c>
      <c r="L12" s="135">
        <v>1952</v>
      </c>
      <c r="M12" s="135">
        <v>20000</v>
      </c>
    </row>
    <row r="13" spans="2:13" ht="15.75">
      <c r="B13" s="131" t="s">
        <v>137</v>
      </c>
      <c r="C13" s="132">
        <v>37035</v>
      </c>
      <c r="D13" s="132">
        <v>42614</v>
      </c>
      <c r="E13" s="133">
        <v>4.75</v>
      </c>
      <c r="F13" s="134">
        <v>277250</v>
      </c>
      <c r="G13" s="135">
        <v>115000</v>
      </c>
      <c r="H13" s="136">
        <v>40969</v>
      </c>
      <c r="I13" s="136"/>
      <c r="J13" s="135">
        <v>2887</v>
      </c>
      <c r="K13" s="135"/>
      <c r="L13" s="135">
        <v>2402</v>
      </c>
      <c r="M13" s="135"/>
    </row>
    <row r="14" spans="2:13" ht="15.75">
      <c r="B14" s="131"/>
      <c r="C14" s="132"/>
      <c r="D14" s="132"/>
      <c r="E14" s="133"/>
      <c r="F14" s="134"/>
      <c r="G14" s="135"/>
      <c r="H14" s="136">
        <v>41153</v>
      </c>
      <c r="I14" s="136">
        <v>41153</v>
      </c>
      <c r="J14" s="135">
        <v>2888</v>
      </c>
      <c r="K14" s="135">
        <v>20000</v>
      </c>
      <c r="L14" s="135">
        <v>2403</v>
      </c>
      <c r="M14" s="135">
        <v>20000</v>
      </c>
    </row>
    <row r="15" spans="2:13" ht="15.75">
      <c r="B15" s="131" t="s">
        <v>138</v>
      </c>
      <c r="C15" s="132">
        <v>37279</v>
      </c>
      <c r="D15" s="132">
        <v>41518</v>
      </c>
      <c r="E15" s="133">
        <v>4.5</v>
      </c>
      <c r="F15" s="134">
        <v>575000</v>
      </c>
      <c r="G15" s="135">
        <v>115000</v>
      </c>
      <c r="H15" s="136">
        <v>40969</v>
      </c>
      <c r="I15" s="136"/>
      <c r="J15" s="135">
        <v>2675</v>
      </c>
      <c r="K15" s="135"/>
      <c r="L15" s="135">
        <v>1410</v>
      </c>
      <c r="M15" s="135"/>
    </row>
    <row r="16" spans="2:13" ht="15.75">
      <c r="B16" s="131"/>
      <c r="C16" s="132"/>
      <c r="D16" s="132"/>
      <c r="E16" s="133"/>
      <c r="F16" s="134"/>
      <c r="G16" s="135"/>
      <c r="H16" s="136">
        <v>41153</v>
      </c>
      <c r="I16" s="136">
        <v>41153</v>
      </c>
      <c r="J16" s="135">
        <v>2675</v>
      </c>
      <c r="K16" s="135">
        <v>55000</v>
      </c>
      <c r="L16" s="135">
        <v>1410</v>
      </c>
      <c r="M16" s="135">
        <v>60000</v>
      </c>
    </row>
    <row r="17" spans="2:13" ht="15.75">
      <c r="B17" s="131" t="s">
        <v>139</v>
      </c>
      <c r="C17" s="132">
        <v>38121</v>
      </c>
      <c r="D17" s="132">
        <v>43709</v>
      </c>
      <c r="E17" s="133">
        <v>3.75</v>
      </c>
      <c r="F17" s="134">
        <v>650000</v>
      </c>
      <c r="G17" s="135">
        <v>360000</v>
      </c>
      <c r="H17" s="136">
        <v>40969</v>
      </c>
      <c r="I17" s="136"/>
      <c r="J17" s="135">
        <v>7182</v>
      </c>
      <c r="K17" s="135"/>
      <c r="L17" s="135">
        <v>6295</v>
      </c>
      <c r="M17" s="135"/>
    </row>
    <row r="18" spans="2:13" ht="15.75">
      <c r="B18" s="131"/>
      <c r="C18" s="132"/>
      <c r="D18" s="132"/>
      <c r="E18" s="133"/>
      <c r="F18" s="134"/>
      <c r="G18" s="135"/>
      <c r="H18" s="136">
        <v>41153</v>
      </c>
      <c r="I18" s="136">
        <v>41153</v>
      </c>
      <c r="J18" s="135">
        <v>7183</v>
      </c>
      <c r="K18" s="135">
        <v>50000</v>
      </c>
      <c r="L18" s="135">
        <v>6295</v>
      </c>
      <c r="M18" s="135">
        <v>50000</v>
      </c>
    </row>
    <row r="19" spans="2:13" ht="15.75">
      <c r="B19" s="131" t="s">
        <v>140</v>
      </c>
      <c r="C19" s="132">
        <v>38842</v>
      </c>
      <c r="D19" s="132">
        <v>44441</v>
      </c>
      <c r="E19" s="133">
        <v>4.25</v>
      </c>
      <c r="F19" s="134">
        <v>200000</v>
      </c>
      <c r="G19" s="135">
        <v>145000</v>
      </c>
      <c r="H19" s="136">
        <v>40969</v>
      </c>
      <c r="I19" s="136"/>
      <c r="J19" s="135">
        <v>3290</v>
      </c>
      <c r="K19" s="135"/>
      <c r="L19" s="135">
        <v>3090</v>
      </c>
      <c r="M19" s="135"/>
    </row>
    <row r="20" spans="2:13" ht="15.75">
      <c r="B20" s="131"/>
      <c r="C20" s="132"/>
      <c r="D20" s="132"/>
      <c r="E20" s="133"/>
      <c r="F20" s="134"/>
      <c r="G20" s="135"/>
      <c r="H20" s="136">
        <v>41153</v>
      </c>
      <c r="I20" s="136">
        <v>41153</v>
      </c>
      <c r="J20" s="135">
        <v>3290</v>
      </c>
      <c r="K20" s="135">
        <v>10000</v>
      </c>
      <c r="L20" s="135">
        <v>3090</v>
      </c>
      <c r="M20" s="135">
        <v>15000</v>
      </c>
    </row>
    <row r="21" spans="2:13" ht="15.75">
      <c r="B21" s="131" t="s">
        <v>141</v>
      </c>
      <c r="C21" s="132">
        <v>39573</v>
      </c>
      <c r="D21" s="132">
        <v>41944</v>
      </c>
      <c r="E21" s="133">
        <v>3.5</v>
      </c>
      <c r="F21" s="134">
        <v>200000</v>
      </c>
      <c r="G21" s="135">
        <v>120000</v>
      </c>
      <c r="H21" s="136">
        <v>41030</v>
      </c>
      <c r="I21" s="136"/>
      <c r="J21" s="135">
        <v>2244</v>
      </c>
      <c r="K21" s="135"/>
      <c r="L21" s="135">
        <v>1543</v>
      </c>
      <c r="M21" s="135"/>
    </row>
    <row r="22" spans="2:13" ht="15.75">
      <c r="B22" s="131"/>
      <c r="C22" s="132"/>
      <c r="D22" s="132"/>
      <c r="E22" s="133"/>
      <c r="F22" s="134"/>
      <c r="G22" s="135"/>
      <c r="H22" s="136">
        <v>41214</v>
      </c>
      <c r="I22" s="136">
        <v>41214</v>
      </c>
      <c r="J22" s="135">
        <v>2243</v>
      </c>
      <c r="K22" s="135">
        <v>40000</v>
      </c>
      <c r="L22" s="135">
        <v>1544</v>
      </c>
      <c r="M22" s="135">
        <v>45000</v>
      </c>
    </row>
    <row r="23" spans="2:13" ht="15.75">
      <c r="B23" s="131" t="s">
        <v>142</v>
      </c>
      <c r="C23" s="132">
        <v>40032</v>
      </c>
      <c r="D23" s="132">
        <v>45505</v>
      </c>
      <c r="E23" s="133">
        <v>4.34</v>
      </c>
      <c r="F23" s="134">
        <v>410000</v>
      </c>
      <c r="G23" s="135">
        <v>370000</v>
      </c>
      <c r="H23" s="136">
        <v>40940</v>
      </c>
      <c r="I23" s="136"/>
      <c r="J23" s="135">
        <v>7618</v>
      </c>
      <c r="K23" s="135"/>
      <c r="L23" s="135">
        <v>7358</v>
      </c>
      <c r="M23" s="135"/>
    </row>
    <row r="24" spans="2:13" ht="15.75">
      <c r="B24" s="131"/>
      <c r="C24" s="132"/>
      <c r="D24" s="132"/>
      <c r="E24" s="133"/>
      <c r="F24" s="134"/>
      <c r="G24" s="135"/>
      <c r="H24" s="136">
        <v>41122</v>
      </c>
      <c r="I24" s="136">
        <v>41122</v>
      </c>
      <c r="J24" s="135">
        <v>7619</v>
      </c>
      <c r="K24" s="135">
        <v>20000</v>
      </c>
      <c r="L24" s="135">
        <v>7359</v>
      </c>
      <c r="M24" s="135">
        <v>20000</v>
      </c>
    </row>
    <row r="25" spans="2:13" ht="15.75">
      <c r="B25" s="131" t="s">
        <v>143</v>
      </c>
      <c r="C25" s="132">
        <v>40639</v>
      </c>
      <c r="D25" s="132">
        <v>46235</v>
      </c>
      <c r="E25" s="133">
        <v>4.04</v>
      </c>
      <c r="F25" s="134">
        <v>255000</v>
      </c>
      <c r="G25" s="135">
        <v>255000</v>
      </c>
      <c r="H25" s="136">
        <v>40940</v>
      </c>
      <c r="I25" s="136"/>
      <c r="J25" s="135">
        <v>8312</v>
      </c>
      <c r="K25" s="135"/>
      <c r="L25" s="135">
        <v>4981</v>
      </c>
      <c r="M25" s="135"/>
    </row>
    <row r="26" spans="2:13" ht="15.75">
      <c r="B26" s="131"/>
      <c r="C26" s="132"/>
      <c r="D26" s="132"/>
      <c r="E26" s="133"/>
      <c r="F26" s="134"/>
      <c r="G26" s="135"/>
      <c r="H26" s="136">
        <v>41122</v>
      </c>
      <c r="I26" s="136">
        <v>41122</v>
      </c>
      <c r="J26" s="135">
        <v>5321</v>
      </c>
      <c r="K26" s="135">
        <v>10000</v>
      </c>
      <c r="L26" s="135">
        <v>4982</v>
      </c>
      <c r="M26" s="135">
        <v>10000</v>
      </c>
    </row>
    <row r="27" spans="2:13" ht="15.75">
      <c r="B27" s="131" t="s">
        <v>144</v>
      </c>
      <c r="C27" s="132">
        <v>40848</v>
      </c>
      <c r="D27" s="132">
        <v>44774</v>
      </c>
      <c r="E27" s="133">
        <v>2.65</v>
      </c>
      <c r="F27" s="134">
        <v>175000</v>
      </c>
      <c r="G27" s="135">
        <v>175000</v>
      </c>
      <c r="H27" s="136">
        <v>40940</v>
      </c>
      <c r="I27" s="136"/>
      <c r="J27" s="135"/>
      <c r="K27" s="135"/>
      <c r="L27" s="135">
        <v>5738</v>
      </c>
      <c r="M27" s="135"/>
    </row>
    <row r="28" spans="2:13" ht="15.75">
      <c r="B28" s="131"/>
      <c r="C28" s="132"/>
      <c r="D28" s="132"/>
      <c r="E28" s="133"/>
      <c r="F28" s="134"/>
      <c r="G28" s="135"/>
      <c r="H28" s="136">
        <v>41122</v>
      </c>
      <c r="I28" s="136">
        <v>41122</v>
      </c>
      <c r="J28" s="135"/>
      <c r="K28" s="135"/>
      <c r="L28" s="135">
        <v>2369</v>
      </c>
      <c r="M28" s="135">
        <v>10000</v>
      </c>
    </row>
    <row r="29" spans="2:13" ht="15.75">
      <c r="B29" s="137" t="s">
        <v>145</v>
      </c>
      <c r="C29" s="138"/>
      <c r="D29" s="138"/>
      <c r="E29" s="139"/>
      <c r="F29" s="140"/>
      <c r="G29" s="141">
        <f>SUM(G9:G28)</f>
        <v>1780000</v>
      </c>
      <c r="H29" s="142"/>
      <c r="I29" s="142"/>
      <c r="J29" s="141">
        <f>SUM(J9:J26)</f>
        <v>72310</v>
      </c>
      <c r="K29" s="141">
        <f>SUM(K10:K28)</f>
        <v>245000</v>
      </c>
      <c r="L29" s="141">
        <f>SUM(L9:L28)</f>
        <v>67082</v>
      </c>
      <c r="M29" s="141">
        <f>SUM(M10:M28)</f>
        <v>270000</v>
      </c>
    </row>
    <row r="30" spans="2:13" ht="15.75">
      <c r="B30" s="127" t="s">
        <v>146</v>
      </c>
      <c r="C30" s="143"/>
      <c r="D30" s="143"/>
      <c r="E30" s="144"/>
      <c r="F30" s="145"/>
      <c r="G30" s="145"/>
      <c r="H30" s="146"/>
      <c r="I30" s="146"/>
      <c r="J30" s="145"/>
      <c r="K30" s="145"/>
      <c r="L30" s="145"/>
      <c r="M30" s="145"/>
    </row>
    <row r="31" spans="2:13" ht="15.75">
      <c r="B31" s="131"/>
      <c r="C31" s="132"/>
      <c r="D31" s="132"/>
      <c r="E31" s="133"/>
      <c r="F31" s="134"/>
      <c r="G31" s="135"/>
      <c r="H31" s="136"/>
      <c r="I31" s="136"/>
      <c r="J31" s="135"/>
      <c r="K31" s="135"/>
      <c r="L31" s="135"/>
      <c r="M31" s="135"/>
    </row>
    <row r="32" spans="2:13" ht="15.75">
      <c r="B32" s="131"/>
      <c r="C32" s="132"/>
      <c r="D32" s="132"/>
      <c r="E32" s="133"/>
      <c r="F32" s="134"/>
      <c r="G32" s="135"/>
      <c r="H32" s="136"/>
      <c r="I32" s="136"/>
      <c r="J32" s="135"/>
      <c r="K32" s="135"/>
      <c r="L32" s="135"/>
      <c r="M32" s="135"/>
    </row>
    <row r="33" spans="2:13" ht="15.75">
      <c r="B33" s="131"/>
      <c r="C33" s="132"/>
      <c r="D33" s="132"/>
      <c r="E33" s="133"/>
      <c r="F33" s="134"/>
      <c r="G33" s="135"/>
      <c r="H33" s="136"/>
      <c r="I33" s="136"/>
      <c r="J33" s="135"/>
      <c r="K33" s="135"/>
      <c r="L33" s="135"/>
      <c r="M33" s="135"/>
    </row>
    <row r="34" spans="2:13" ht="15.75">
      <c r="B34" s="131"/>
      <c r="C34" s="132"/>
      <c r="D34" s="132"/>
      <c r="E34" s="133"/>
      <c r="F34" s="134"/>
      <c r="G34" s="135"/>
      <c r="H34" s="136"/>
      <c r="I34" s="136"/>
      <c r="J34" s="135"/>
      <c r="K34" s="135"/>
      <c r="L34" s="135"/>
      <c r="M34" s="135"/>
    </row>
    <row r="35" spans="2:13" ht="15.75">
      <c r="B35" s="131"/>
      <c r="C35" s="132"/>
      <c r="D35" s="132"/>
      <c r="E35" s="133"/>
      <c r="F35" s="134"/>
      <c r="G35" s="135"/>
      <c r="H35" s="136"/>
      <c r="I35" s="136"/>
      <c r="J35" s="135"/>
      <c r="K35" s="135"/>
      <c r="L35" s="135"/>
      <c r="M35" s="135"/>
    </row>
    <row r="36" spans="2:13" ht="15.75">
      <c r="B36" s="131"/>
      <c r="C36" s="132"/>
      <c r="D36" s="132"/>
      <c r="E36" s="133"/>
      <c r="F36" s="134"/>
      <c r="G36" s="135"/>
      <c r="H36" s="136"/>
      <c r="I36" s="136"/>
      <c r="J36" s="135"/>
      <c r="K36" s="135"/>
      <c r="L36" s="135"/>
      <c r="M36" s="135"/>
    </row>
    <row r="37" spans="2:13" ht="15.75">
      <c r="B37" s="131"/>
      <c r="C37" s="132"/>
      <c r="D37" s="132"/>
      <c r="E37" s="133"/>
      <c r="F37" s="134"/>
      <c r="G37" s="135"/>
      <c r="H37" s="136"/>
      <c r="I37" s="136"/>
      <c r="J37" s="135"/>
      <c r="K37" s="135"/>
      <c r="L37" s="135"/>
      <c r="M37" s="135"/>
    </row>
    <row r="38" spans="2:13" ht="15.75">
      <c r="B38" s="131"/>
      <c r="C38" s="132"/>
      <c r="D38" s="132"/>
      <c r="E38" s="133"/>
      <c r="F38" s="134"/>
      <c r="G38" s="135"/>
      <c r="H38" s="136"/>
      <c r="I38" s="136"/>
      <c r="J38" s="135"/>
      <c r="K38" s="135"/>
      <c r="L38" s="135"/>
      <c r="M38" s="135"/>
    </row>
    <row r="39" spans="2:13" ht="15.75">
      <c r="B39" s="131"/>
      <c r="C39" s="132"/>
      <c r="D39" s="132"/>
      <c r="E39" s="133"/>
      <c r="F39" s="134"/>
      <c r="G39" s="135"/>
      <c r="H39" s="136"/>
      <c r="I39" s="136"/>
      <c r="J39" s="135"/>
      <c r="K39" s="135"/>
      <c r="L39" s="135"/>
      <c r="M39" s="135"/>
    </row>
    <row r="40" spans="2:13" ht="15.75">
      <c r="B40" s="131"/>
      <c r="C40" s="132"/>
      <c r="D40" s="132"/>
      <c r="E40" s="133"/>
      <c r="F40" s="134"/>
      <c r="G40" s="135"/>
      <c r="H40" s="136"/>
      <c r="I40" s="136"/>
      <c r="J40" s="135"/>
      <c r="K40" s="135"/>
      <c r="L40" s="135"/>
      <c r="M40" s="135"/>
    </row>
    <row r="41" spans="2:13" ht="15.75">
      <c r="B41" s="137" t="s">
        <v>147</v>
      </c>
      <c r="C41" s="138"/>
      <c r="D41" s="138"/>
      <c r="E41" s="147"/>
      <c r="F41" s="140"/>
      <c r="G41" s="148">
        <f>SUM(G31:G40)</f>
        <v>0</v>
      </c>
      <c r="H41" s="142"/>
      <c r="I41" s="142"/>
      <c r="J41" s="148">
        <f>SUM(J31:J40)</f>
        <v>0</v>
      </c>
      <c r="K41" s="148">
        <f>SUM(K31:K40)</f>
        <v>0</v>
      </c>
      <c r="L41" s="141">
        <f>SUM(L31:L40)</f>
        <v>0</v>
      </c>
      <c r="M41" s="148">
        <f>SUM(M31:M40)</f>
        <v>0</v>
      </c>
    </row>
    <row r="42" spans="2:13" ht="15.75">
      <c r="B42" s="127" t="s">
        <v>148</v>
      </c>
      <c r="C42" s="143"/>
      <c r="D42" s="143"/>
      <c r="E42" s="144"/>
      <c r="F42" s="145"/>
      <c r="G42" s="149"/>
      <c r="H42" s="146"/>
      <c r="I42" s="146"/>
      <c r="J42" s="145"/>
      <c r="K42" s="145"/>
      <c r="L42" s="145"/>
      <c r="M42" s="145"/>
    </row>
    <row r="43" spans="2:13" ht="15.75">
      <c r="B43" s="131" t="s">
        <v>149</v>
      </c>
      <c r="C43" s="132">
        <v>37893</v>
      </c>
      <c r="D43" s="132">
        <v>45536</v>
      </c>
      <c r="E43" s="133">
        <v>2.58</v>
      </c>
      <c r="F43" s="134">
        <v>588225</v>
      </c>
      <c r="G43" s="135">
        <v>417083</v>
      </c>
      <c r="H43" s="136">
        <v>40969</v>
      </c>
      <c r="I43" s="136">
        <v>40969</v>
      </c>
      <c r="J43" s="135">
        <v>5902</v>
      </c>
      <c r="K43" s="135">
        <v>13383</v>
      </c>
      <c r="L43" s="135">
        <v>5520</v>
      </c>
      <c r="M43" s="135">
        <v>13765</v>
      </c>
    </row>
    <row r="44" spans="2:13" ht="15.75">
      <c r="B44" s="131"/>
      <c r="C44" s="132"/>
      <c r="D44" s="132"/>
      <c r="E44" s="133"/>
      <c r="F44" s="134"/>
      <c r="G44" s="135"/>
      <c r="H44" s="136">
        <v>41153</v>
      </c>
      <c r="I44" s="136">
        <v>41153</v>
      </c>
      <c r="J44" s="135">
        <v>5712</v>
      </c>
      <c r="K44" s="135">
        <v>13573</v>
      </c>
      <c r="L44" s="135">
        <v>5326</v>
      </c>
      <c r="M44" s="135">
        <v>13959</v>
      </c>
    </row>
    <row r="45" spans="2:13" ht="15.75">
      <c r="B45" s="131"/>
      <c r="C45" s="132"/>
      <c r="D45" s="132"/>
      <c r="E45" s="133"/>
      <c r="F45" s="134"/>
      <c r="G45" s="135"/>
      <c r="H45" s="136"/>
      <c r="I45" s="136"/>
      <c r="J45" s="135"/>
      <c r="K45" s="135"/>
      <c r="L45" s="135"/>
      <c r="M45" s="135"/>
    </row>
    <row r="46" spans="2:13" ht="15.75">
      <c r="B46" s="131"/>
      <c r="C46" s="132"/>
      <c r="D46" s="132"/>
      <c r="E46" s="133"/>
      <c r="F46" s="134"/>
      <c r="G46" s="135"/>
      <c r="H46" s="136"/>
      <c r="I46" s="136"/>
      <c r="J46" s="135"/>
      <c r="K46" s="135"/>
      <c r="L46" s="135"/>
      <c r="M46" s="135"/>
    </row>
    <row r="47" spans="2:13" ht="15.75">
      <c r="B47" s="131"/>
      <c r="C47" s="132"/>
      <c r="D47" s="132"/>
      <c r="E47" s="133"/>
      <c r="F47" s="134"/>
      <c r="G47" s="135"/>
      <c r="H47" s="136"/>
      <c r="I47" s="136"/>
      <c r="J47" s="135"/>
      <c r="K47" s="135"/>
      <c r="L47" s="135"/>
      <c r="M47" s="135"/>
    </row>
    <row r="48" spans="2:13" ht="15.75">
      <c r="B48" s="131"/>
      <c r="C48" s="132"/>
      <c r="D48" s="132"/>
      <c r="E48" s="133"/>
      <c r="F48" s="134"/>
      <c r="G48" s="135"/>
      <c r="H48" s="136"/>
      <c r="I48" s="136"/>
      <c r="J48" s="135"/>
      <c r="K48" s="135"/>
      <c r="L48" s="135"/>
      <c r="M48" s="135"/>
    </row>
    <row r="49" spans="2:13" ht="15.75">
      <c r="B49" s="131"/>
      <c r="C49" s="132"/>
      <c r="D49" s="132"/>
      <c r="E49" s="133"/>
      <c r="F49" s="134"/>
      <c r="G49" s="135"/>
      <c r="H49" s="136"/>
      <c r="I49" s="136"/>
      <c r="J49" s="135"/>
      <c r="K49" s="135"/>
      <c r="L49" s="135"/>
      <c r="M49" s="135"/>
    </row>
    <row r="50" spans="2:29" ht="15.75">
      <c r="B50" s="131"/>
      <c r="C50" s="132"/>
      <c r="D50" s="132"/>
      <c r="E50" s="133"/>
      <c r="F50" s="134"/>
      <c r="G50" s="135"/>
      <c r="H50" s="136"/>
      <c r="I50" s="136"/>
      <c r="J50" s="135"/>
      <c r="K50" s="135"/>
      <c r="L50" s="135"/>
      <c r="M50" s="135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</row>
    <row r="51" spans="2:13" ht="15.75">
      <c r="B51" s="137" t="s">
        <v>150</v>
      </c>
      <c r="C51" s="117"/>
      <c r="D51" s="117"/>
      <c r="E51" s="147"/>
      <c r="F51" s="140"/>
      <c r="G51" s="148">
        <f>SUM(G43:G50)</f>
        <v>417083</v>
      </c>
      <c r="H51" s="140"/>
      <c r="I51" s="140"/>
      <c r="J51" s="148">
        <f>SUM(J43:J50)</f>
        <v>11614</v>
      </c>
      <c r="K51" s="148">
        <f>SUM(K43:K50)</f>
        <v>26956</v>
      </c>
      <c r="L51" s="148">
        <f>SUM(L43:L50)</f>
        <v>10846</v>
      </c>
      <c r="M51" s="148">
        <f>SUM(M43:M50)</f>
        <v>27724</v>
      </c>
    </row>
    <row r="52" spans="2:13" ht="15.75">
      <c r="B52" s="137" t="s">
        <v>151</v>
      </c>
      <c r="C52" s="117"/>
      <c r="D52" s="117"/>
      <c r="E52" s="117"/>
      <c r="F52" s="140"/>
      <c r="G52" s="148">
        <f>SUM(G29+G41+G51)</f>
        <v>2197083</v>
      </c>
      <c r="H52" s="140"/>
      <c r="I52" s="140"/>
      <c r="J52" s="148">
        <f>SUM(J29+J41+J51)</f>
        <v>83924</v>
      </c>
      <c r="K52" s="148">
        <f>SUM(K29+K41+K51)</f>
        <v>271956</v>
      </c>
      <c r="L52" s="148">
        <f>SUM(L29+L41+L51)</f>
        <v>77928</v>
      </c>
      <c r="M52" s="148">
        <f>SUM(M29+M41+M51)</f>
        <v>297724</v>
      </c>
    </row>
    <row r="53" spans="2:13" ht="15.7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6:13" ht="15.75">
      <c r="F54" s="150"/>
      <c r="G54" s="150"/>
      <c r="J54" s="150"/>
      <c r="K54" s="150"/>
      <c r="L54" s="150"/>
      <c r="M54" s="150"/>
    </row>
    <row r="55" spans="6:14" ht="15.75">
      <c r="F55" s="71"/>
      <c r="H55" s="151"/>
      <c r="N55" s="71"/>
    </row>
    <row r="56" spans="2:13" ht="15.7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</row>
    <row r="57" spans="2:13" ht="15.7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</row>
  </sheetData>
  <sheetProtection/>
  <mergeCells count="3">
    <mergeCell ref="H6:I6"/>
    <mergeCell ref="J6:K6"/>
    <mergeCell ref="L6:M6"/>
  </mergeCells>
  <printOptions/>
  <pageMargins left="0.25" right="0.25" top="1" bottom="0.5" header="0.5" footer="0.25"/>
  <pageSetup blackAndWhite="1" horizontalDpi="120" verticalDpi="120" orientation="landscape" scale="59" r:id="rId1"/>
  <headerFooter alignWithMargins="0">
    <oddHeader>&amp;RState of Kansas
City
</oddHeader>
    <oddFooter>&amp;CPage No.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0"/>
  <sheetViews>
    <sheetView zoomScale="75" zoomScaleNormal="75" zoomScalePageLayoutView="0" workbookViewId="0" topLeftCell="A1">
      <selection activeCell="F11" sqref="F11"/>
    </sheetView>
  </sheetViews>
  <sheetFormatPr defaultColWidth="9.140625" defaultRowHeight="15"/>
  <cols>
    <col min="1" max="1" width="13.8515625" style="72" customWidth="1"/>
    <col min="2" max="2" width="35.140625" style="72" customWidth="1"/>
    <col min="3" max="5" width="12.57421875" style="72" customWidth="1"/>
    <col min="6" max="6" width="23.57421875" style="72" customWidth="1"/>
    <col min="7" max="9" width="20.28125" style="72" customWidth="1"/>
    <col min="10" max="16384" width="9.140625" style="72" customWidth="1"/>
  </cols>
  <sheetData>
    <row r="1" spans="2:9" ht="15.75">
      <c r="B1" s="73" t="str">
        <f>'[1]inputPrYr'!$D$2</f>
        <v>Andale</v>
      </c>
      <c r="C1" s="1"/>
      <c r="D1" s="1"/>
      <c r="E1" s="1"/>
      <c r="F1" s="1"/>
      <c r="G1" s="1"/>
      <c r="H1" s="1"/>
      <c r="I1" s="152">
        <f>'[1]inputPrYr'!$C$5</f>
        <v>2013</v>
      </c>
    </row>
    <row r="2" spans="2:9" ht="15.75">
      <c r="B2" s="73"/>
      <c r="C2" s="1"/>
      <c r="D2" s="1"/>
      <c r="E2" s="1"/>
      <c r="F2" s="1"/>
      <c r="G2" s="1"/>
      <c r="H2" s="1"/>
      <c r="I2" s="65"/>
    </row>
    <row r="3" spans="2:9" ht="15.75">
      <c r="B3" s="1"/>
      <c r="C3" s="1"/>
      <c r="D3" s="1"/>
      <c r="E3" s="1"/>
      <c r="F3" s="1"/>
      <c r="G3" s="1"/>
      <c r="H3" s="1"/>
      <c r="I3" s="4"/>
    </row>
    <row r="4" spans="2:9" ht="15.75">
      <c r="B4" s="122" t="s">
        <v>152</v>
      </c>
      <c r="C4" s="6"/>
      <c r="D4" s="6"/>
      <c r="E4" s="6"/>
      <c r="F4" s="6"/>
      <c r="G4" s="6"/>
      <c r="H4" s="6"/>
      <c r="I4" s="6"/>
    </row>
    <row r="5" spans="2:9" ht="15.75">
      <c r="B5" s="17"/>
      <c r="C5" s="123"/>
      <c r="D5" s="123"/>
      <c r="E5" s="123"/>
      <c r="F5" s="123"/>
      <c r="G5" s="123"/>
      <c r="H5" s="123"/>
      <c r="I5" s="123"/>
    </row>
    <row r="6" spans="2:9" ht="15.75">
      <c r="B6" s="23"/>
      <c r="C6" s="23"/>
      <c r="D6" s="23"/>
      <c r="E6" s="23"/>
      <c r="F6" s="94" t="s">
        <v>153</v>
      </c>
      <c r="G6" s="23"/>
      <c r="H6" s="23"/>
      <c r="I6" s="23"/>
    </row>
    <row r="7" spans="2:9" ht="15.75">
      <c r="B7" s="24"/>
      <c r="C7" s="15"/>
      <c r="D7" s="15" t="s">
        <v>154</v>
      </c>
      <c r="E7" s="15" t="s">
        <v>119</v>
      </c>
      <c r="F7" s="15" t="s">
        <v>126</v>
      </c>
      <c r="G7" s="15" t="s">
        <v>134</v>
      </c>
      <c r="H7" s="15" t="s">
        <v>155</v>
      </c>
      <c r="I7" s="15" t="s">
        <v>155</v>
      </c>
    </row>
    <row r="8" spans="2:9" ht="15.75">
      <c r="B8" s="24"/>
      <c r="C8" s="15" t="s">
        <v>156</v>
      </c>
      <c r="D8" s="15" t="s">
        <v>157</v>
      </c>
      <c r="E8" s="15" t="s">
        <v>125</v>
      </c>
      <c r="F8" s="15" t="s">
        <v>158</v>
      </c>
      <c r="G8" s="15" t="s">
        <v>159</v>
      </c>
      <c r="H8" s="15" t="s">
        <v>160</v>
      </c>
      <c r="I8" s="15" t="s">
        <v>160</v>
      </c>
    </row>
    <row r="9" spans="2:9" ht="15.75">
      <c r="B9" s="19" t="s">
        <v>161</v>
      </c>
      <c r="C9" s="19" t="s">
        <v>118</v>
      </c>
      <c r="D9" s="153" t="s">
        <v>162</v>
      </c>
      <c r="E9" s="19" t="s">
        <v>132</v>
      </c>
      <c r="F9" s="153" t="s">
        <v>163</v>
      </c>
      <c r="G9" s="154" t="str">
        <f>CONCATENATE("Jan 1 ",I1-1,"")</f>
        <v>Jan 1 2012</v>
      </c>
      <c r="H9" s="19">
        <f>I1-1</f>
        <v>2012</v>
      </c>
      <c r="I9" s="19">
        <f>I1</f>
        <v>2013</v>
      </c>
    </row>
    <row r="10" spans="2:9" ht="15.75">
      <c r="B10" s="131" t="s">
        <v>164</v>
      </c>
      <c r="C10" s="132">
        <v>41002</v>
      </c>
      <c r="D10" s="155">
        <v>36</v>
      </c>
      <c r="E10" s="133">
        <v>5.5</v>
      </c>
      <c r="F10" s="134">
        <v>29711</v>
      </c>
      <c r="G10" s="134"/>
      <c r="H10" s="134">
        <v>10439</v>
      </c>
      <c r="I10" s="134">
        <v>10439</v>
      </c>
    </row>
    <row r="11" spans="2:9" ht="15.75">
      <c r="B11" s="131"/>
      <c r="C11" s="156"/>
      <c r="D11" s="155"/>
      <c r="E11" s="133"/>
      <c r="F11" s="134"/>
      <c r="G11" s="134"/>
      <c r="H11" s="134"/>
      <c r="I11" s="134"/>
    </row>
    <row r="12" spans="2:9" ht="15.75">
      <c r="B12" s="131"/>
      <c r="C12" s="156"/>
      <c r="D12" s="155"/>
      <c r="E12" s="133"/>
      <c r="F12" s="134"/>
      <c r="G12" s="134"/>
      <c r="H12" s="134"/>
      <c r="I12" s="134"/>
    </row>
    <row r="13" spans="2:9" ht="15.75">
      <c r="B13" s="131"/>
      <c r="C13" s="156"/>
      <c r="D13" s="155"/>
      <c r="E13" s="133"/>
      <c r="F13" s="134"/>
      <c r="G13" s="134"/>
      <c r="H13" s="134"/>
      <c r="I13" s="134"/>
    </row>
    <row r="14" spans="2:9" ht="15.75">
      <c r="B14" s="131"/>
      <c r="C14" s="132"/>
      <c r="D14" s="155"/>
      <c r="E14" s="133"/>
      <c r="F14" s="134"/>
      <c r="G14" s="134"/>
      <c r="H14" s="134"/>
      <c r="I14" s="134"/>
    </row>
    <row r="15" spans="2:9" ht="15.75">
      <c r="B15" s="131"/>
      <c r="C15" s="156"/>
      <c r="D15" s="155"/>
      <c r="E15" s="133"/>
      <c r="F15" s="134"/>
      <c r="G15" s="134"/>
      <c r="H15" s="134"/>
      <c r="I15" s="134"/>
    </row>
    <row r="16" spans="2:9" ht="15.75">
      <c r="B16" s="131"/>
      <c r="C16" s="156"/>
      <c r="D16" s="155"/>
      <c r="E16" s="133"/>
      <c r="F16" s="134"/>
      <c r="G16" s="134"/>
      <c r="H16" s="134"/>
      <c r="I16" s="134"/>
    </row>
    <row r="17" spans="2:9" ht="15.75">
      <c r="B17" s="131"/>
      <c r="C17" s="156"/>
      <c r="D17" s="155"/>
      <c r="E17" s="133"/>
      <c r="F17" s="134"/>
      <c r="G17" s="134"/>
      <c r="H17" s="134"/>
      <c r="I17" s="134"/>
    </row>
    <row r="18" spans="2:9" ht="15.75">
      <c r="B18" s="131"/>
      <c r="C18" s="156"/>
      <c r="D18" s="155"/>
      <c r="E18" s="133"/>
      <c r="F18" s="134"/>
      <c r="G18" s="134"/>
      <c r="H18" s="134"/>
      <c r="I18" s="134"/>
    </row>
    <row r="19" spans="2:9" ht="15.75">
      <c r="B19" s="131"/>
      <c r="C19" s="156"/>
      <c r="D19" s="155"/>
      <c r="E19" s="133"/>
      <c r="F19" s="134"/>
      <c r="G19" s="134"/>
      <c r="H19" s="134"/>
      <c r="I19" s="134"/>
    </row>
    <row r="20" spans="2:9" ht="15.75">
      <c r="B20" s="131"/>
      <c r="C20" s="156"/>
      <c r="D20" s="155"/>
      <c r="E20" s="133"/>
      <c r="F20" s="134"/>
      <c r="G20" s="134"/>
      <c r="H20" s="134"/>
      <c r="I20" s="134"/>
    </row>
    <row r="21" spans="2:9" ht="15.75">
      <c r="B21" s="131"/>
      <c r="C21" s="156"/>
      <c r="D21" s="155"/>
      <c r="E21" s="133"/>
      <c r="F21" s="134"/>
      <c r="G21" s="134"/>
      <c r="H21" s="134"/>
      <c r="I21" s="134"/>
    </row>
    <row r="22" spans="2:9" ht="15.75">
      <c r="B22" s="131"/>
      <c r="C22" s="156"/>
      <c r="D22" s="155"/>
      <c r="E22" s="133"/>
      <c r="F22" s="134"/>
      <c r="G22" s="134"/>
      <c r="H22" s="134"/>
      <c r="I22" s="134"/>
    </row>
    <row r="23" spans="2:9" ht="15.75">
      <c r="B23" s="131"/>
      <c r="C23" s="156"/>
      <c r="D23" s="155"/>
      <c r="E23" s="133"/>
      <c r="F23" s="134"/>
      <c r="G23" s="134"/>
      <c r="H23" s="134"/>
      <c r="I23" s="134"/>
    </row>
    <row r="24" spans="2:9" ht="15.75">
      <c r="B24" s="131"/>
      <c r="C24" s="156"/>
      <c r="D24" s="155"/>
      <c r="E24" s="133"/>
      <c r="F24" s="134"/>
      <c r="G24" s="134"/>
      <c r="H24" s="134"/>
      <c r="I24" s="134"/>
    </row>
    <row r="25" spans="2:9" ht="15.75">
      <c r="B25" s="131"/>
      <c r="C25" s="156"/>
      <c r="D25" s="155"/>
      <c r="E25" s="133"/>
      <c r="F25" s="134"/>
      <c r="G25" s="134"/>
      <c r="H25" s="134"/>
      <c r="I25" s="134"/>
    </row>
    <row r="26" spans="2:9" ht="15.75">
      <c r="B26" s="131"/>
      <c r="C26" s="156"/>
      <c r="D26" s="155"/>
      <c r="E26" s="133"/>
      <c r="F26" s="134"/>
      <c r="G26" s="134"/>
      <c r="H26" s="134"/>
      <c r="I26" s="134"/>
    </row>
    <row r="27" spans="2:9" ht="15.75">
      <c r="B27" s="131"/>
      <c r="C27" s="156"/>
      <c r="D27" s="155"/>
      <c r="E27" s="133"/>
      <c r="F27" s="134"/>
      <c r="G27" s="134"/>
      <c r="H27" s="134"/>
      <c r="I27" s="134"/>
    </row>
    <row r="28" spans="2:9" ht="16.5" thickBot="1">
      <c r="B28" s="157" t="s">
        <v>113</v>
      </c>
      <c r="C28" s="158"/>
      <c r="D28" s="158"/>
      <c r="E28" s="158"/>
      <c r="F28" s="158"/>
      <c r="G28" s="159">
        <f>SUM(G10:G27)</f>
        <v>0</v>
      </c>
      <c r="H28" s="159">
        <f>SUM(H10:H27)</f>
        <v>10439</v>
      </c>
      <c r="I28" s="159">
        <f>SUM(I10:I27)</f>
        <v>10439</v>
      </c>
    </row>
    <row r="29" spans="2:9" ht="16.5" thickTop="1">
      <c r="B29" s="1"/>
      <c r="C29" s="1"/>
      <c r="D29" s="1"/>
      <c r="E29" s="1"/>
      <c r="F29" s="1"/>
      <c r="G29" s="1"/>
      <c r="H29" s="73"/>
      <c r="I29" s="73"/>
    </row>
    <row r="30" spans="2:9" ht="15.75">
      <c r="B30" s="160" t="s">
        <v>165</v>
      </c>
      <c r="C30" s="161"/>
      <c r="D30" s="161"/>
      <c r="E30" s="161"/>
      <c r="F30" s="161"/>
      <c r="G30" s="161"/>
      <c r="H30" s="73"/>
      <c r="I30" s="73"/>
    </row>
  </sheetData>
  <sheetProtection sheet="1"/>
  <printOptions/>
  <pageMargins left="0.25" right="0.25" top="1" bottom="0.5" header="0.5" footer="0.5"/>
  <pageSetup blackAndWhite="1" fitToHeight="1" fitToWidth="1" horizontalDpi="120" verticalDpi="120" orientation="landscape" scale="85" r:id="rId1"/>
  <headerFooter alignWithMargins="0">
    <oddHeader>&amp;RState of Kansas
City
</oddHeader>
    <oddFooter>&amp;CPage No.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K145"/>
  <sheetViews>
    <sheetView zoomScalePageLayoutView="0" workbookViewId="0" topLeftCell="A19">
      <selection activeCell="E80" sqref="E80"/>
    </sheetView>
  </sheetViews>
  <sheetFormatPr defaultColWidth="9.140625" defaultRowHeight="15"/>
  <cols>
    <col min="1" max="1" width="3.140625" style="72" customWidth="1"/>
    <col min="2" max="2" width="40.7109375" style="72" customWidth="1"/>
    <col min="3" max="4" width="20.28125" style="72" customWidth="1"/>
    <col min="5" max="5" width="20.8515625" style="72" customWidth="1"/>
    <col min="6" max="6" width="8.8515625" style="72" customWidth="1"/>
    <col min="7" max="7" width="13.140625" style="72" customWidth="1"/>
    <col min="8" max="8" width="9.140625" style="72" customWidth="1"/>
    <col min="9" max="9" width="6.421875" style="72" customWidth="1"/>
    <col min="10" max="10" width="12.8515625" style="72" customWidth="1"/>
    <col min="11" max="16384" width="9.140625" style="72" customWidth="1"/>
  </cols>
  <sheetData>
    <row r="1" spans="2:5" ht="15.75">
      <c r="B1" s="73" t="str">
        <f>'[1]inputPrYr'!D2</f>
        <v>Andale</v>
      </c>
      <c r="C1" s="1"/>
      <c r="D1" s="1"/>
      <c r="E1" s="152">
        <f>'[1]inputPrYr'!C5</f>
        <v>2013</v>
      </c>
    </row>
    <row r="2" spans="2:5" ht="15.75">
      <c r="B2" s="1"/>
      <c r="C2" s="1"/>
      <c r="D2" s="1"/>
      <c r="E2" s="65"/>
    </row>
    <row r="3" spans="2:5" ht="15.75">
      <c r="B3" s="81"/>
      <c r="C3" s="1"/>
      <c r="D3" s="1"/>
      <c r="E3" s="4"/>
    </row>
    <row r="4" spans="2:5" ht="15.75">
      <c r="B4" s="81" t="s">
        <v>166</v>
      </c>
      <c r="C4" s="162"/>
      <c r="D4" s="162"/>
      <c r="E4" s="162"/>
    </row>
    <row r="5" spans="2:5" ht="15.75">
      <c r="B5" s="68" t="s">
        <v>167</v>
      </c>
      <c r="C5" s="163" t="s">
        <v>168</v>
      </c>
      <c r="D5" s="164" t="s">
        <v>169</v>
      </c>
      <c r="E5" s="12" t="s">
        <v>170</v>
      </c>
    </row>
    <row r="6" spans="2:5" ht="15.75">
      <c r="B6" s="165" t="str">
        <f>'[1]inputPrYr'!B17</f>
        <v>General</v>
      </c>
      <c r="C6" s="166" t="str">
        <f>CONCATENATE("Actual for ",E1-2,"")</f>
        <v>Actual for 2011</v>
      </c>
      <c r="D6" s="166" t="str">
        <f>CONCATENATE("Estimate for ",E1-1,"")</f>
        <v>Estimate for 2012</v>
      </c>
      <c r="E6" s="167" t="str">
        <f>CONCATENATE("Year for ",E1,"")</f>
        <v>Year for 2013</v>
      </c>
    </row>
    <row r="7" spans="2:5" ht="15.75">
      <c r="B7" s="168" t="s">
        <v>171</v>
      </c>
      <c r="C7" s="169">
        <v>93581</v>
      </c>
      <c r="D7" s="170">
        <f>C113</f>
        <v>92105.14000000001</v>
      </c>
      <c r="E7" s="130">
        <f>D113</f>
        <v>47922.140000000014</v>
      </c>
    </row>
    <row r="8" spans="2:5" ht="15.75">
      <c r="B8" s="171" t="s">
        <v>172</v>
      </c>
      <c r="C8" s="37"/>
      <c r="D8" s="37"/>
      <c r="E8" s="36"/>
    </row>
    <row r="9" spans="2:5" ht="15.75">
      <c r="B9" s="168" t="s">
        <v>173</v>
      </c>
      <c r="C9" s="169">
        <v>144013</v>
      </c>
      <c r="D9" s="170">
        <f>IF('[1]inputPrYr'!H16&gt;0,'[1]inputPrYr'!G17,'[1]inputPrYr'!E17)</f>
        <v>136208</v>
      </c>
      <c r="E9" s="42" t="s">
        <v>22</v>
      </c>
    </row>
    <row r="10" spans="2:5" ht="15.75">
      <c r="B10" s="168" t="s">
        <v>174</v>
      </c>
      <c r="C10" s="169">
        <v>784</v>
      </c>
      <c r="D10" s="169">
        <v>1520</v>
      </c>
      <c r="E10" s="172"/>
    </row>
    <row r="11" spans="2:5" ht="15.75">
      <c r="B11" s="168" t="s">
        <v>175</v>
      </c>
      <c r="C11" s="169">
        <v>23525</v>
      </c>
      <c r="D11" s="169">
        <v>19058</v>
      </c>
      <c r="E11" s="130">
        <f>'[1]mvalloc'!D7</f>
        <v>18321</v>
      </c>
    </row>
    <row r="12" spans="2:5" ht="15.75">
      <c r="B12" s="168" t="s">
        <v>176</v>
      </c>
      <c r="C12" s="169">
        <v>209</v>
      </c>
      <c r="D12" s="169">
        <v>198</v>
      </c>
      <c r="E12" s="130">
        <f>'[1]mvalloc'!E7</f>
        <v>170</v>
      </c>
    </row>
    <row r="13" spans="2:5" ht="15.75">
      <c r="B13" s="168" t="s">
        <v>177</v>
      </c>
      <c r="C13" s="169">
        <v>319</v>
      </c>
      <c r="D13" s="169">
        <v>328</v>
      </c>
      <c r="E13" s="130">
        <f>'[1]mvalloc'!F7</f>
        <v>262</v>
      </c>
    </row>
    <row r="14" spans="2:5" ht="15.75">
      <c r="B14" s="168" t="s">
        <v>178</v>
      </c>
      <c r="C14" s="169"/>
      <c r="D14" s="169"/>
      <c r="E14" s="130">
        <f>'[1]inputOth'!E16</f>
        <v>0</v>
      </c>
    </row>
    <row r="15" spans="2:5" ht="15.75">
      <c r="B15" s="168" t="s">
        <v>179</v>
      </c>
      <c r="C15" s="169"/>
      <c r="D15" s="169"/>
      <c r="E15" s="130">
        <f>'[1]inputOth'!E41</f>
        <v>0</v>
      </c>
    </row>
    <row r="16" spans="2:5" ht="15.75">
      <c r="B16" s="168" t="s">
        <v>180</v>
      </c>
      <c r="C16" s="169"/>
      <c r="D16" s="169"/>
      <c r="E16" s="130">
        <f>'[1]inputOth'!E42</f>
        <v>0</v>
      </c>
    </row>
    <row r="17" spans="2:5" ht="15.75">
      <c r="B17" s="168" t="s">
        <v>53</v>
      </c>
      <c r="C17" s="169">
        <v>4103</v>
      </c>
      <c r="D17" s="169"/>
      <c r="E17" s="130"/>
    </row>
    <row r="18" spans="2:5" ht="15.75">
      <c r="B18" s="173" t="s">
        <v>181</v>
      </c>
      <c r="C18" s="169"/>
      <c r="D18" s="169"/>
      <c r="E18" s="174"/>
    </row>
    <row r="19" spans="2:5" ht="15.75">
      <c r="B19" s="173" t="s">
        <v>182</v>
      </c>
      <c r="C19" s="169">
        <v>1854</v>
      </c>
      <c r="D19" s="169">
        <v>1675</v>
      </c>
      <c r="E19" s="174">
        <v>1760</v>
      </c>
    </row>
    <row r="20" spans="2:5" ht="15.75">
      <c r="B20" s="175" t="s">
        <v>183</v>
      </c>
      <c r="C20" s="169">
        <v>11599</v>
      </c>
      <c r="D20" s="169">
        <v>11700</v>
      </c>
      <c r="E20" s="174">
        <v>11200</v>
      </c>
    </row>
    <row r="21" spans="2:5" ht="15.75">
      <c r="B21" s="176" t="s">
        <v>184</v>
      </c>
      <c r="C21" s="169">
        <v>112309</v>
      </c>
      <c r="D21" s="169">
        <v>112500</v>
      </c>
      <c r="E21" s="174">
        <v>112500</v>
      </c>
    </row>
    <row r="22" spans="2:5" ht="15.75">
      <c r="B22" s="176" t="s">
        <v>185</v>
      </c>
      <c r="C22" s="169">
        <v>16775</v>
      </c>
      <c r="D22" s="169">
        <v>15750</v>
      </c>
      <c r="E22" s="174">
        <v>16225</v>
      </c>
    </row>
    <row r="23" spans="2:5" ht="15.75">
      <c r="B23" s="176" t="s">
        <v>186</v>
      </c>
      <c r="C23" s="169">
        <v>950</v>
      </c>
      <c r="D23" s="169">
        <v>150</v>
      </c>
      <c r="E23" s="174">
        <v>950</v>
      </c>
    </row>
    <row r="24" spans="2:5" ht="15.75">
      <c r="B24" s="176" t="s">
        <v>187</v>
      </c>
      <c r="C24" s="169">
        <v>3205</v>
      </c>
      <c r="D24" s="169">
        <v>2700</v>
      </c>
      <c r="E24" s="174">
        <v>2900</v>
      </c>
    </row>
    <row r="25" spans="2:5" ht="15.75">
      <c r="B25" s="173" t="s">
        <v>188</v>
      </c>
      <c r="C25" s="169">
        <v>100</v>
      </c>
      <c r="D25" s="169">
        <v>100</v>
      </c>
      <c r="E25" s="174">
        <v>250</v>
      </c>
    </row>
    <row r="26" spans="2:5" ht="15.75">
      <c r="B26" s="173" t="s">
        <v>189</v>
      </c>
      <c r="C26" s="169">
        <v>24961</v>
      </c>
      <c r="D26" s="169">
        <v>25000</v>
      </c>
      <c r="E26" s="174">
        <v>25000</v>
      </c>
    </row>
    <row r="27" spans="2:5" ht="15.75">
      <c r="B27" s="173" t="s">
        <v>190</v>
      </c>
      <c r="C27" s="169">
        <v>4005.14</v>
      </c>
      <c r="D27" s="169">
        <v>2300</v>
      </c>
      <c r="E27" s="174">
        <v>2700</v>
      </c>
    </row>
    <row r="28" spans="2:5" ht="15.75">
      <c r="B28" s="173"/>
      <c r="C28" s="169"/>
      <c r="D28" s="169"/>
      <c r="E28" s="174"/>
    </row>
    <row r="29" spans="2:5" ht="15.75">
      <c r="B29" s="173"/>
      <c r="C29" s="169"/>
      <c r="D29" s="169"/>
      <c r="E29" s="174"/>
    </row>
    <row r="30" spans="2:5" ht="15.75">
      <c r="B30" s="173"/>
      <c r="C30" s="169"/>
      <c r="D30" s="169"/>
      <c r="E30" s="174"/>
    </row>
    <row r="31" spans="2:5" ht="15.75">
      <c r="B31" s="173"/>
      <c r="C31" s="169"/>
      <c r="D31" s="169"/>
      <c r="E31" s="174"/>
    </row>
    <row r="32" spans="2:5" ht="15.75">
      <c r="B32" s="173"/>
      <c r="C32" s="169"/>
      <c r="D32" s="169"/>
      <c r="E32" s="174"/>
    </row>
    <row r="33" spans="2:5" ht="15.75">
      <c r="B33" s="173"/>
      <c r="C33" s="169"/>
      <c r="D33" s="169"/>
      <c r="E33" s="174"/>
    </row>
    <row r="34" spans="2:5" ht="15.75">
      <c r="B34" s="173"/>
      <c r="C34" s="169"/>
      <c r="D34" s="169"/>
      <c r="E34" s="174"/>
    </row>
    <row r="35" spans="2:5" ht="15.75">
      <c r="B35" s="173"/>
      <c r="C35" s="169"/>
      <c r="D35" s="169"/>
      <c r="E35" s="174"/>
    </row>
    <row r="36" spans="2:5" ht="15.75">
      <c r="B36" s="173"/>
      <c r="C36" s="169"/>
      <c r="D36" s="169"/>
      <c r="E36" s="174"/>
    </row>
    <row r="37" spans="2:5" ht="15.75">
      <c r="B37" s="173"/>
      <c r="C37" s="169"/>
      <c r="D37" s="169"/>
      <c r="E37" s="174"/>
    </row>
    <row r="38" spans="2:5" ht="15.75">
      <c r="B38" s="173"/>
      <c r="C38" s="169"/>
      <c r="D38" s="169"/>
      <c r="E38" s="174"/>
    </row>
    <row r="39" spans="2:5" ht="15.75">
      <c r="B39" s="173"/>
      <c r="C39" s="169"/>
      <c r="D39" s="169"/>
      <c r="E39" s="174"/>
    </row>
    <row r="40" spans="2:5" ht="15.75">
      <c r="B40" s="173"/>
      <c r="C40" s="169"/>
      <c r="D40" s="169"/>
      <c r="E40" s="174"/>
    </row>
    <row r="41" spans="2:5" ht="15.75">
      <c r="B41" s="173"/>
      <c r="C41" s="169"/>
      <c r="D41" s="169"/>
      <c r="E41" s="174"/>
    </row>
    <row r="42" spans="2:5" ht="15.75">
      <c r="B42" s="173"/>
      <c r="C42" s="169"/>
      <c r="D42" s="169"/>
      <c r="E42" s="174"/>
    </row>
    <row r="43" spans="2:5" ht="15.75">
      <c r="B43" s="173"/>
      <c r="C43" s="169"/>
      <c r="D43" s="169"/>
      <c r="E43" s="174"/>
    </row>
    <row r="44" spans="2:5" ht="15.75">
      <c r="B44" s="173"/>
      <c r="C44" s="169"/>
      <c r="D44" s="169"/>
      <c r="E44" s="174"/>
    </row>
    <row r="45" spans="2:5" ht="15.75">
      <c r="B45" s="173"/>
      <c r="C45" s="169"/>
      <c r="D45" s="169"/>
      <c r="E45" s="174"/>
    </row>
    <row r="46" spans="2:5" ht="15.75">
      <c r="B46" s="173"/>
      <c r="C46" s="169"/>
      <c r="D46" s="169"/>
      <c r="E46" s="174"/>
    </row>
    <row r="47" spans="2:5" ht="15.75">
      <c r="B47" s="173"/>
      <c r="C47" s="169"/>
      <c r="D47" s="169"/>
      <c r="E47" s="174"/>
    </row>
    <row r="48" spans="2:5" ht="15.75">
      <c r="B48" s="173"/>
      <c r="C48" s="169"/>
      <c r="D48" s="169"/>
      <c r="E48" s="174"/>
    </row>
    <row r="49" spans="2:5" ht="15.75">
      <c r="B49" s="173"/>
      <c r="C49" s="169"/>
      <c r="D49" s="169"/>
      <c r="E49" s="174"/>
    </row>
    <row r="50" spans="2:5" ht="15.75">
      <c r="B50" s="173"/>
      <c r="C50" s="169"/>
      <c r="D50" s="169"/>
      <c r="E50" s="174"/>
    </row>
    <row r="51" spans="2:5" ht="15.75">
      <c r="B51" s="173"/>
      <c r="C51" s="169"/>
      <c r="D51" s="169"/>
      <c r="E51" s="174"/>
    </row>
    <row r="52" spans="2:5" ht="15.75">
      <c r="B52" s="173"/>
      <c r="C52" s="169"/>
      <c r="D52" s="169"/>
      <c r="E52" s="174"/>
    </row>
    <row r="53" spans="2:5" ht="15.75">
      <c r="B53" s="177" t="s">
        <v>191</v>
      </c>
      <c r="C53" s="169"/>
      <c r="D53" s="169"/>
      <c r="E53" s="174"/>
    </row>
    <row r="54" spans="2:5" ht="15.75">
      <c r="B54" s="178" t="s">
        <v>192</v>
      </c>
      <c r="C54" s="169">
        <v>3448</v>
      </c>
      <c r="D54" s="169"/>
      <c r="E54" s="174"/>
    </row>
    <row r="55" spans="2:5" ht="15.75">
      <c r="B55" s="37" t="s">
        <v>193</v>
      </c>
      <c r="C55" s="169">
        <v>602</v>
      </c>
      <c r="D55" s="174"/>
      <c r="E55" s="179"/>
    </row>
    <row r="56" spans="2:5" ht="15.75">
      <c r="B56" s="168" t="s">
        <v>194</v>
      </c>
      <c r="C56" s="180">
        <f>IF(C57*0.1&lt;C55,"Exceed 10% Rule","")</f>
      </c>
      <c r="D56" s="181">
        <f>IF(D57*0.1&lt;D55,"Exceed 10% Rule","")</f>
      </c>
      <c r="E56" s="182">
        <f>IF(E57*0.1+E119&lt;E55,"Exceed 10% Rule","")</f>
      </c>
    </row>
    <row r="57" spans="2:5" ht="15.75">
      <c r="B57" s="183" t="s">
        <v>195</v>
      </c>
      <c r="C57" s="184">
        <f>SUM(C9:C55)</f>
        <v>352761.14</v>
      </c>
      <c r="D57" s="184">
        <f>SUM(D9:D55)</f>
        <v>329187</v>
      </c>
      <c r="E57" s="185">
        <f>SUM(E10:E55)</f>
        <v>192238</v>
      </c>
    </row>
    <row r="58" spans="2:5" ht="15.75">
      <c r="B58" s="183" t="s">
        <v>196</v>
      </c>
      <c r="C58" s="184">
        <f>C7+C57</f>
        <v>446342.14</v>
      </c>
      <c r="D58" s="184">
        <f>D7+D57</f>
        <v>421292.14</v>
      </c>
      <c r="E58" s="185">
        <f>E7+E57</f>
        <v>240160.14</v>
      </c>
    </row>
    <row r="59" spans="2:5" ht="15.75">
      <c r="B59" s="1"/>
      <c r="C59" s="1"/>
      <c r="D59" s="1"/>
      <c r="E59" s="1"/>
    </row>
    <row r="60" spans="2:5" ht="15.75">
      <c r="B60" s="158"/>
      <c r="C60" s="4" t="s">
        <v>197</v>
      </c>
      <c r="D60" s="68">
        <v>7</v>
      </c>
      <c r="E60" s="158"/>
    </row>
    <row r="61" spans="2:5" ht="15.75">
      <c r="B61" s="158"/>
      <c r="C61" s="158"/>
      <c r="D61" s="158"/>
      <c r="E61" s="158"/>
    </row>
    <row r="62" spans="2:5" ht="15.75">
      <c r="B62" s="73" t="str">
        <f>'[1]inputPrYr'!D2</f>
        <v>Andale</v>
      </c>
      <c r="C62" s="1"/>
      <c r="D62" s="1"/>
      <c r="E62" s="65"/>
    </row>
    <row r="63" spans="2:5" ht="15.75">
      <c r="B63" s="1"/>
      <c r="C63" s="1"/>
      <c r="D63" s="1"/>
      <c r="E63" s="4"/>
    </row>
    <row r="64" spans="2:5" ht="15.75">
      <c r="B64" s="157" t="s">
        <v>198</v>
      </c>
      <c r="C64" s="123"/>
      <c r="D64" s="123"/>
      <c r="E64" s="123"/>
    </row>
    <row r="65" spans="2:5" ht="15.75">
      <c r="B65" s="1" t="s">
        <v>167</v>
      </c>
      <c r="C65" s="163" t="str">
        <f aca="true" t="shared" si="0" ref="C65:E66">C5</f>
        <v>Prior Year </v>
      </c>
      <c r="D65" s="164" t="str">
        <f t="shared" si="0"/>
        <v>Current Year </v>
      </c>
      <c r="E65" s="12" t="str">
        <f t="shared" si="0"/>
        <v>Proposed Budget </v>
      </c>
    </row>
    <row r="66" spans="2:5" ht="15.75">
      <c r="B66" s="101" t="str">
        <f>'[1]inputPrYr'!B17</f>
        <v>General</v>
      </c>
      <c r="C66" s="166" t="str">
        <f t="shared" si="0"/>
        <v>Actual for 2011</v>
      </c>
      <c r="D66" s="166" t="str">
        <f t="shared" si="0"/>
        <v>Estimate for 2012</v>
      </c>
      <c r="E66" s="167" t="str">
        <f t="shared" si="0"/>
        <v>Year for 2013</v>
      </c>
    </row>
    <row r="67" spans="2:5" ht="15.75">
      <c r="B67" s="186" t="s">
        <v>196</v>
      </c>
      <c r="C67" s="170">
        <f>C58</f>
        <v>446342.14</v>
      </c>
      <c r="D67" s="170">
        <f>D58</f>
        <v>421292.14</v>
      </c>
      <c r="E67" s="130">
        <f>E58</f>
        <v>240160.14</v>
      </c>
    </row>
    <row r="68" spans="2:5" ht="15.75">
      <c r="B68" s="168" t="s">
        <v>199</v>
      </c>
      <c r="C68" s="37"/>
      <c r="D68" s="37"/>
      <c r="E68" s="36"/>
    </row>
    <row r="69" spans="2:5" ht="15.75">
      <c r="B69" s="187">
        <f>'[1]GenDetail'!A7</f>
        <v>0</v>
      </c>
      <c r="C69" s="188">
        <f>'[1]GenDetail'!B15</f>
        <v>0</v>
      </c>
      <c r="D69" s="188">
        <f>'[1]GenDetail'!C15</f>
        <v>0</v>
      </c>
      <c r="E69" s="189">
        <f>'[1]GenDetail'!D15</f>
        <v>0</v>
      </c>
    </row>
    <row r="70" spans="2:5" ht="15.75">
      <c r="B70" s="187">
        <f>'[1]GenDetail'!A16</f>
        <v>0</v>
      </c>
      <c r="C70" s="188">
        <f>'[1]GenDetail'!B21</f>
        <v>0</v>
      </c>
      <c r="D70" s="188">
        <f>'[1]GenDetail'!C21</f>
        <v>0</v>
      </c>
      <c r="E70" s="189">
        <f>'[1]GenDetail'!D21</f>
        <v>0</v>
      </c>
    </row>
    <row r="71" spans="2:5" ht="15.75">
      <c r="B71" s="187">
        <f>'[1]GenDetail'!A22</f>
        <v>0</v>
      </c>
      <c r="C71" s="188">
        <f>'[1]GenDetail'!B27</f>
        <v>0</v>
      </c>
      <c r="D71" s="188">
        <f>'[1]GenDetail'!C27</f>
        <v>0</v>
      </c>
      <c r="E71" s="189">
        <f>'[1]GenDetail'!D27</f>
        <v>0</v>
      </c>
    </row>
    <row r="72" spans="2:5" ht="15.75">
      <c r="B72" s="187">
        <f>'[1]GenDetail'!A28</f>
        <v>0</v>
      </c>
      <c r="C72" s="188">
        <f>'[1]GenDetail'!B33</f>
        <v>0</v>
      </c>
      <c r="D72" s="188">
        <f>'[1]GenDetail'!C33</f>
        <v>0</v>
      </c>
      <c r="E72" s="189">
        <f>'[1]GenDetail'!D33</f>
        <v>0</v>
      </c>
    </row>
    <row r="73" spans="2:5" ht="15.75">
      <c r="B73" s="187">
        <f>'[1]GenDetail'!A34</f>
        <v>0</v>
      </c>
      <c r="C73" s="188">
        <f>'[1]GenDetail'!B39</f>
        <v>0</v>
      </c>
      <c r="D73" s="188">
        <f>'[1]GenDetail'!C39</f>
        <v>0</v>
      </c>
      <c r="E73" s="189">
        <f>'[1]GenDetail'!D39</f>
        <v>0</v>
      </c>
    </row>
    <row r="74" spans="2:5" ht="15.75">
      <c r="B74" s="187">
        <f>'[1]GenDetail'!A40</f>
        <v>0</v>
      </c>
      <c r="C74" s="188">
        <f>'[1]GenDetail'!B45</f>
        <v>0</v>
      </c>
      <c r="D74" s="188">
        <f>'[1]GenDetail'!C45</f>
        <v>0</v>
      </c>
      <c r="E74" s="189">
        <f>'[1]GenDetail'!D45</f>
        <v>0</v>
      </c>
    </row>
    <row r="75" spans="2:5" ht="15.75">
      <c r="B75" s="187">
        <f>'[1]GenDetail'!A46</f>
        <v>0</v>
      </c>
      <c r="C75" s="188">
        <f>'[1]GenDetail'!B51</f>
        <v>0</v>
      </c>
      <c r="D75" s="188">
        <f>'[1]GenDetail'!C51</f>
        <v>0</v>
      </c>
      <c r="E75" s="189">
        <f>'[1]GenDetail'!D51</f>
        <v>0</v>
      </c>
    </row>
    <row r="76" spans="2:5" ht="15.75">
      <c r="B76" s="187">
        <f>'[1]GenDetail'!A52</f>
        <v>0</v>
      </c>
      <c r="C76" s="188">
        <f>'[1]GenDetail'!B57</f>
        <v>0</v>
      </c>
      <c r="D76" s="188">
        <f>'[1]GenDetail'!C57</f>
        <v>0</v>
      </c>
      <c r="E76" s="189">
        <f>'[1]GenDetail'!D57</f>
        <v>0</v>
      </c>
    </row>
    <row r="77" spans="2:6" ht="15.75">
      <c r="B77" s="190" t="s">
        <v>200</v>
      </c>
      <c r="C77" s="191">
        <f>SUM(C69:C76)</f>
        <v>0</v>
      </c>
      <c r="D77" s="191">
        <f>SUM(D69:D76)</f>
        <v>0</v>
      </c>
      <c r="E77" s="192">
        <f>SUM(E69:E76)</f>
        <v>0</v>
      </c>
      <c r="F77" s="193"/>
    </row>
    <row r="78" spans="2:5" ht="15.75">
      <c r="B78" s="178" t="s">
        <v>201</v>
      </c>
      <c r="C78" s="169">
        <v>91499</v>
      </c>
      <c r="D78" s="169">
        <v>92200</v>
      </c>
      <c r="E78" s="174">
        <v>92200</v>
      </c>
    </row>
    <row r="79" spans="2:5" ht="15.75">
      <c r="B79" s="178" t="s">
        <v>202</v>
      </c>
      <c r="C79" s="169">
        <v>17487</v>
      </c>
      <c r="D79" s="169">
        <v>30000</v>
      </c>
      <c r="E79" s="174">
        <v>13000</v>
      </c>
    </row>
    <row r="80" spans="2:5" ht="15.75">
      <c r="B80" s="178" t="s">
        <v>203</v>
      </c>
      <c r="C80" s="169">
        <v>7545</v>
      </c>
      <c r="D80" s="169">
        <v>7920</v>
      </c>
      <c r="E80" s="174">
        <v>7970</v>
      </c>
    </row>
    <row r="81" spans="2:5" ht="15.75">
      <c r="B81" s="178" t="s">
        <v>189</v>
      </c>
      <c r="C81" s="169">
        <v>47494</v>
      </c>
      <c r="D81" s="169">
        <v>47500</v>
      </c>
      <c r="E81" s="174">
        <v>47500</v>
      </c>
    </row>
    <row r="82" spans="2:5" ht="15.75">
      <c r="B82" s="178" t="s">
        <v>204</v>
      </c>
      <c r="C82" s="169">
        <v>124632</v>
      </c>
      <c r="D82" s="169">
        <v>125000</v>
      </c>
      <c r="E82" s="174">
        <v>132000</v>
      </c>
    </row>
    <row r="83" spans="2:5" ht="15.75">
      <c r="B83" s="178" t="s">
        <v>205</v>
      </c>
      <c r="C83" s="169"/>
      <c r="D83" s="169"/>
      <c r="E83" s="174"/>
    </row>
    <row r="84" spans="2:5" ht="15.75">
      <c r="B84" s="194" t="s">
        <v>206</v>
      </c>
      <c r="C84" s="169">
        <v>46476</v>
      </c>
      <c r="D84" s="169">
        <v>47450</v>
      </c>
      <c r="E84" s="174">
        <v>50000</v>
      </c>
    </row>
    <row r="85" spans="2:5" ht="15.75">
      <c r="B85" s="194" t="s">
        <v>207</v>
      </c>
      <c r="C85" s="169">
        <v>757</v>
      </c>
      <c r="D85" s="169">
        <v>800</v>
      </c>
      <c r="E85" s="174">
        <v>800</v>
      </c>
    </row>
    <row r="86" spans="2:5" ht="15.75">
      <c r="B86" s="194" t="s">
        <v>208</v>
      </c>
      <c r="C86" s="169">
        <v>2200</v>
      </c>
      <c r="D86" s="169">
        <v>2200</v>
      </c>
      <c r="E86" s="174">
        <v>2200</v>
      </c>
    </row>
    <row r="87" spans="2:5" ht="15.75">
      <c r="B87" s="194" t="s">
        <v>209</v>
      </c>
      <c r="C87" s="169">
        <v>8055</v>
      </c>
      <c r="D87" s="169">
        <v>11500</v>
      </c>
      <c r="E87" s="174">
        <v>1000</v>
      </c>
    </row>
    <row r="88" spans="2:5" ht="15.75">
      <c r="B88" s="194" t="s">
        <v>190</v>
      </c>
      <c r="C88" s="169">
        <v>8092</v>
      </c>
      <c r="D88" s="169">
        <v>8800</v>
      </c>
      <c r="E88" s="174">
        <v>9000</v>
      </c>
    </row>
    <row r="89" spans="2:5" ht="15.75">
      <c r="B89" s="194"/>
      <c r="C89" s="169"/>
      <c r="D89" s="169"/>
      <c r="E89" s="174"/>
    </row>
    <row r="90" spans="2:5" ht="15.75">
      <c r="B90" s="194"/>
      <c r="C90" s="169"/>
      <c r="D90" s="169"/>
      <c r="E90" s="174"/>
    </row>
    <row r="91" spans="2:5" ht="15.75">
      <c r="B91" s="194"/>
      <c r="C91" s="169"/>
      <c r="D91" s="169"/>
      <c r="E91" s="174"/>
    </row>
    <row r="92" spans="2:5" ht="15.75">
      <c r="B92" s="194"/>
      <c r="C92" s="169"/>
      <c r="D92" s="169"/>
      <c r="E92" s="174"/>
    </row>
    <row r="93" spans="2:5" ht="15.75">
      <c r="B93" s="194"/>
      <c r="C93" s="169"/>
      <c r="D93" s="169"/>
      <c r="E93" s="174"/>
    </row>
    <row r="94" spans="2:5" ht="15.75">
      <c r="B94" s="194"/>
      <c r="C94" s="169"/>
      <c r="D94" s="169"/>
      <c r="E94" s="174"/>
    </row>
    <row r="95" spans="2:5" ht="15.75">
      <c r="B95" s="194"/>
      <c r="C95" s="169"/>
      <c r="D95" s="169"/>
      <c r="E95" s="174"/>
    </row>
    <row r="96" spans="2:5" ht="15.75">
      <c r="B96" s="194"/>
      <c r="C96" s="169"/>
      <c r="D96" s="169"/>
      <c r="E96" s="174"/>
    </row>
    <row r="97" spans="2:5" ht="15.75">
      <c r="B97" s="194"/>
      <c r="C97" s="169"/>
      <c r="D97" s="169"/>
      <c r="E97" s="174"/>
    </row>
    <row r="98" spans="2:5" ht="15.75">
      <c r="B98" s="194"/>
      <c r="C98" s="169"/>
      <c r="D98" s="169"/>
      <c r="E98" s="174"/>
    </row>
    <row r="99" spans="2:5" ht="15.75">
      <c r="B99" s="194"/>
      <c r="C99" s="169"/>
      <c r="D99" s="169"/>
      <c r="E99" s="174"/>
    </row>
    <row r="100" spans="2:5" ht="15.75">
      <c r="B100" s="194"/>
      <c r="C100" s="169"/>
      <c r="D100" s="169"/>
      <c r="E100" s="174"/>
    </row>
    <row r="101" spans="2:5" ht="15.75">
      <c r="B101" s="194"/>
      <c r="C101" s="169"/>
      <c r="D101" s="169"/>
      <c r="E101" s="174"/>
    </row>
    <row r="102" spans="2:10" ht="15.75">
      <c r="B102" s="194"/>
      <c r="C102" s="169"/>
      <c r="D102" s="169"/>
      <c r="E102" s="174"/>
      <c r="G102" s="446" t="str">
        <f>CONCATENATE("Desired Carryover Into ",E1+1,"")</f>
        <v>Desired Carryover Into 2014</v>
      </c>
      <c r="H102" s="447"/>
      <c r="I102" s="447"/>
      <c r="J102" s="448"/>
    </row>
    <row r="103" spans="2:10" ht="15.75">
      <c r="B103" s="194"/>
      <c r="C103" s="169"/>
      <c r="D103" s="169"/>
      <c r="E103" s="174"/>
      <c r="G103" s="195"/>
      <c r="H103" s="196"/>
      <c r="I103" s="196"/>
      <c r="J103" s="197"/>
    </row>
    <row r="104" spans="2:10" ht="15.75">
      <c r="B104" s="194"/>
      <c r="C104" s="169"/>
      <c r="D104" s="169"/>
      <c r="E104" s="174"/>
      <c r="G104" s="198" t="s">
        <v>210</v>
      </c>
      <c r="H104" s="199"/>
      <c r="I104" s="199"/>
      <c r="J104" s="200">
        <v>0</v>
      </c>
    </row>
    <row r="105" spans="2:10" ht="15.75">
      <c r="B105" s="194"/>
      <c r="C105" s="169"/>
      <c r="D105" s="169"/>
      <c r="E105" s="174"/>
      <c r="G105" s="201" t="s">
        <v>211</v>
      </c>
      <c r="H105" s="202"/>
      <c r="I105" s="203"/>
      <c r="J105" s="204">
        <f>IF(J104=0,"",ROUND((J104+E119-G117)/'[1]inputOth'!E7*1000,3)-G122)</f>
      </c>
    </row>
    <row r="106" spans="2:10" ht="15.75">
      <c r="B106" s="194"/>
      <c r="C106" s="169"/>
      <c r="D106" s="169"/>
      <c r="E106" s="174"/>
      <c r="G106" s="205" t="str">
        <f>CONCATENATE("",E1," Tot Exp/Non-Appr Must Be:")</f>
        <v>2013 Tot Exp/Non-Appr Must Be:</v>
      </c>
      <c r="H106" s="206"/>
      <c r="I106" s="207"/>
      <c r="J106" s="208">
        <f>IF(J104&gt;0,IF(E116&lt;E58,IF(J104=G117,E116,((J104-G117)*(1-D118))+E58),E116+(J104-G117)),0)</f>
        <v>0</v>
      </c>
    </row>
    <row r="107" spans="2:10" ht="15.75">
      <c r="B107" s="194"/>
      <c r="C107" s="169"/>
      <c r="D107" s="169"/>
      <c r="E107" s="174"/>
      <c r="G107" s="209" t="s">
        <v>212</v>
      </c>
      <c r="H107" s="210"/>
      <c r="I107" s="210"/>
      <c r="J107" s="211">
        <f>IF(J104&gt;0,J106-E116,0)</f>
        <v>0</v>
      </c>
    </row>
    <row r="108" spans="2:5" ht="15.75">
      <c r="B108" s="194"/>
      <c r="C108" s="169"/>
      <c r="D108" s="169"/>
      <c r="E108" s="174"/>
    </row>
    <row r="109" spans="2:10" ht="15.75" customHeight="1">
      <c r="B109" s="212" t="s">
        <v>26</v>
      </c>
      <c r="C109" s="169"/>
      <c r="D109" s="169"/>
      <c r="E109" s="189">
        <f>'[1]nhood'!E6</f>
      </c>
      <c r="G109" s="446" t="str">
        <f>CONCATENATE("Projected Carryover Into ",E1+1,"")</f>
        <v>Projected Carryover Into 2014</v>
      </c>
      <c r="H109" s="449"/>
      <c r="I109" s="449"/>
      <c r="J109" s="450"/>
    </row>
    <row r="110" spans="2:10" ht="15.75">
      <c r="B110" s="212" t="s">
        <v>193</v>
      </c>
      <c r="C110" s="169"/>
      <c r="D110" s="169"/>
      <c r="E110" s="174"/>
      <c r="G110" s="195"/>
      <c r="H110" s="196"/>
      <c r="I110" s="196"/>
      <c r="J110" s="197"/>
    </row>
    <row r="111" spans="2:10" ht="15.75">
      <c r="B111" s="212" t="s">
        <v>213</v>
      </c>
      <c r="C111" s="180">
        <f>IF(C112*0.1&lt;C110,"Exceed 10% Rule","")</f>
      </c>
      <c r="D111" s="181">
        <f>IF(D112*0.1&lt;D110,"Exceed 10% Rule","")</f>
      </c>
      <c r="E111" s="213">
        <f>IF(E112*0.1&lt;E110,"Exceed 10% Rule","")</f>
      </c>
      <c r="G111" s="214">
        <f>D113</f>
        <v>47922.140000000014</v>
      </c>
      <c r="H111" s="215" t="str">
        <f>CONCATENATE("",E1-1," Ending Cash Balance (est.)")</f>
        <v>2012 Ending Cash Balance (est.)</v>
      </c>
      <c r="I111" s="216"/>
      <c r="J111" s="197"/>
    </row>
    <row r="112" spans="2:10" ht="15.75">
      <c r="B112" s="183" t="s">
        <v>214</v>
      </c>
      <c r="C112" s="184">
        <f>SUM(C77:C110)</f>
        <v>354237</v>
      </c>
      <c r="D112" s="184">
        <f>SUM(D77:D110)</f>
        <v>373370</v>
      </c>
      <c r="E112" s="185">
        <f>SUM(E77:E110)</f>
        <v>355670</v>
      </c>
      <c r="G112" s="214">
        <f>E57</f>
        <v>192238</v>
      </c>
      <c r="H112" s="199" t="str">
        <f>CONCATENATE("",E1," Non-AV Receipts (est.)")</f>
        <v>2013 Non-AV Receipts (est.)</v>
      </c>
      <c r="I112" s="216"/>
      <c r="J112" s="197"/>
    </row>
    <row r="113" spans="2:11" ht="15.75">
      <c r="B113" s="20" t="s">
        <v>215</v>
      </c>
      <c r="C113" s="188">
        <f>C58-C112</f>
        <v>92105.14000000001</v>
      </c>
      <c r="D113" s="188">
        <f>D58-D112</f>
        <v>47922.140000000014</v>
      </c>
      <c r="E113" s="217" t="s">
        <v>22</v>
      </c>
      <c r="G113" s="218">
        <f>IF(E118&gt;0,E117,E119)</f>
        <v>115509.85999999999</v>
      </c>
      <c r="H113" s="199" t="str">
        <f>CONCATENATE("",E1," Ad Valorem Tax (est.)")</f>
        <v>2013 Ad Valorem Tax (est.)</v>
      </c>
      <c r="I113" s="216"/>
      <c r="J113" s="197"/>
      <c r="K113" s="219" t="str">
        <f>IF(G113=E119,"","Note: Does not include Delinquent Taxes")</f>
        <v>Note: Does not include Delinquent Taxes</v>
      </c>
    </row>
    <row r="114" spans="2:10" ht="15.75">
      <c r="B114" s="4" t="str">
        <f>CONCATENATE("",$E$1-2,"/",$E$1-1," Budget Authority Amount:")</f>
        <v>2011/2012 Budget Authority Amount:</v>
      </c>
      <c r="C114" s="145">
        <f>'[1]inputOth'!B60</f>
        <v>400144</v>
      </c>
      <c r="D114" s="220">
        <f>'[1]inputPrYr'!D17</f>
        <v>389770</v>
      </c>
      <c r="E114" s="217" t="s">
        <v>22</v>
      </c>
      <c r="F114" s="221"/>
      <c r="G114" s="214">
        <f>SUM(G111:G113)</f>
        <v>355670</v>
      </c>
      <c r="H114" s="199" t="str">
        <f>CONCATENATE("Total ",E1," Resources Available")</f>
        <v>Total 2013 Resources Available</v>
      </c>
      <c r="I114" s="216"/>
      <c r="J114" s="197"/>
    </row>
    <row r="115" spans="2:10" ht="15.75">
      <c r="B115" s="4"/>
      <c r="C115" s="451" t="s">
        <v>216</v>
      </c>
      <c r="D115" s="452"/>
      <c r="E115" s="174"/>
      <c r="F115" s="222">
        <f>IF((E112/0.95)-E112&lt;E115,"Exceeds 5% ","")</f>
      </c>
      <c r="G115" s="223"/>
      <c r="H115" s="199"/>
      <c r="I115" s="199"/>
      <c r="J115" s="197"/>
    </row>
    <row r="116" spans="2:10" ht="15.75">
      <c r="B116" s="224" t="str">
        <f>CONCATENATE(C144,"     ",D144)</f>
        <v>     </v>
      </c>
      <c r="C116" s="453" t="s">
        <v>217</v>
      </c>
      <c r="D116" s="454"/>
      <c r="E116" s="130">
        <f>E112+E115</f>
        <v>355670</v>
      </c>
      <c r="G116" s="218">
        <f>ROUND(C112*0.05+C112,0)</f>
        <v>371949</v>
      </c>
      <c r="H116" s="199" t="str">
        <f>CONCATENATE("Less ",E1-2," Expenditures + 5%")</f>
        <v>Less 2011 Expenditures + 5%</v>
      </c>
      <c r="I116" s="216"/>
      <c r="J116" s="197"/>
    </row>
    <row r="117" spans="2:10" ht="15.75">
      <c r="B117" s="224" t="str">
        <f>CONCATENATE(C145,"     ",D145)</f>
        <v>     </v>
      </c>
      <c r="C117" s="225"/>
      <c r="D117" s="65" t="s">
        <v>218</v>
      </c>
      <c r="E117" s="189">
        <f>IF(E116-E58&gt;0,E116-E58,0)</f>
        <v>115509.85999999999</v>
      </c>
      <c r="G117" s="226">
        <f>G114-G116</f>
        <v>-16279</v>
      </c>
      <c r="H117" s="227" t="str">
        <f>CONCATENATE("Projected ",E1+1," Carryover (est.)")</f>
        <v>Projected 2014 Carryover (est.)</v>
      </c>
      <c r="I117" s="228"/>
      <c r="J117" s="229"/>
    </row>
    <row r="118" spans="2:5" ht="15.75">
      <c r="B118" s="4"/>
      <c r="C118" s="230" t="s">
        <v>219</v>
      </c>
      <c r="D118" s="231">
        <f>'[1]inputOth'!E46</f>
        <v>0.02</v>
      </c>
      <c r="E118" s="189">
        <f>ROUND(IF(D118&gt;0,(E117*D118),0),0)</f>
        <v>2310</v>
      </c>
    </row>
    <row r="119" spans="2:10" ht="16.5" thickBot="1">
      <c r="B119" s="1"/>
      <c r="C119" s="444" t="str">
        <f>CONCATENATE("Amount of  ",$E$1-1," Ad Valorem Tax")</f>
        <v>Amount of  2012 Ad Valorem Tax</v>
      </c>
      <c r="D119" s="455"/>
      <c r="E119" s="232">
        <f>E117+E118</f>
        <v>117819.85999999999</v>
      </c>
      <c r="G119" s="456" t="s">
        <v>220</v>
      </c>
      <c r="H119" s="457"/>
      <c r="I119" s="457"/>
      <c r="J119" s="458"/>
    </row>
    <row r="120" spans="2:10" ht="16.5" thickTop="1">
      <c r="B120" s="1"/>
      <c r="C120" s="444"/>
      <c r="D120" s="445"/>
      <c r="E120" s="233"/>
      <c r="G120" s="234"/>
      <c r="H120" s="235"/>
      <c r="I120" s="236"/>
      <c r="J120" s="237"/>
    </row>
    <row r="121" spans="2:10" ht="15.75">
      <c r="B121" s="1"/>
      <c r="C121" s="1"/>
      <c r="D121" s="1"/>
      <c r="E121" s="1"/>
      <c r="G121" s="238">
        <f>'[1]summ'!H16</f>
        <v>19.897</v>
      </c>
      <c r="H121" s="235" t="str">
        <f>CONCATENATE("",E1," Fund Mill Rate")</f>
        <v>2013 Fund Mill Rate</v>
      </c>
      <c r="I121" s="236"/>
      <c r="J121" s="237"/>
    </row>
    <row r="122" spans="2:10" ht="15.75">
      <c r="B122" s="158"/>
      <c r="C122" s="4" t="s">
        <v>197</v>
      </c>
      <c r="D122" s="68" t="str">
        <f>CONCATENATE("",D60,"a")</f>
        <v>7a</v>
      </c>
      <c r="E122" s="158"/>
      <c r="G122" s="239">
        <f>'[1]summ'!E16</f>
        <v>22.317</v>
      </c>
      <c r="H122" s="235" t="str">
        <f>CONCATENATE("",E1-1," Fund Mill Rate")</f>
        <v>2012 Fund Mill Rate</v>
      </c>
      <c r="I122" s="236"/>
      <c r="J122" s="237"/>
    </row>
    <row r="123" spans="7:10" ht="15.75">
      <c r="G123" s="240">
        <f>'[1]summ'!H42</f>
        <v>43.806000000000004</v>
      </c>
      <c r="H123" s="235" t="str">
        <f>CONCATENATE("Total ",E1," Mill Rate")</f>
        <v>Total 2013 Mill Rate</v>
      </c>
      <c r="I123" s="236"/>
      <c r="J123" s="237"/>
    </row>
    <row r="124" spans="2:10" ht="15.75">
      <c r="B124" s="2"/>
      <c r="G124" s="239">
        <f>'[1]summ'!E42</f>
        <v>42.510999999999996</v>
      </c>
      <c r="H124" s="241" t="str">
        <f>CONCATENATE("Total ",E1-1," Mill Rate")</f>
        <v>Total 2012 Mill Rate</v>
      </c>
      <c r="I124" s="242"/>
      <c r="J124" s="243"/>
    </row>
    <row r="125" ht="15.75">
      <c r="K125" s="244"/>
    </row>
    <row r="127" spans="2:3" ht="15.75">
      <c r="B127" s="71"/>
      <c r="C127" s="71"/>
    </row>
    <row r="144" spans="3:4" ht="15.75" hidden="1">
      <c r="C144" s="72">
        <f>IF(C112&gt;C114,"See Tab A","")</f>
      </c>
      <c r="D144" s="72">
        <f>IF(D112&gt;D114,"See Tab C","")</f>
      </c>
    </row>
    <row r="145" spans="3:4" ht="15.75" hidden="1">
      <c r="C145" s="72">
        <f>IF(C113&lt;0,"See Tab B","")</f>
      </c>
      <c r="D145" s="72">
        <f>IF(D113&lt;0,"See Tab D","")</f>
      </c>
    </row>
  </sheetData>
  <sheetProtection/>
  <mergeCells count="7">
    <mergeCell ref="C120:D120"/>
    <mergeCell ref="G102:J102"/>
    <mergeCell ref="G109:J109"/>
    <mergeCell ref="C115:D115"/>
    <mergeCell ref="C116:D116"/>
    <mergeCell ref="C119:D119"/>
    <mergeCell ref="G119:J119"/>
  </mergeCells>
  <conditionalFormatting sqref="E115">
    <cfRule type="cellIs" priority="11" dxfId="108" operator="greaterThan" stopIfTrue="1">
      <formula>$E$112/0.95-$E$112</formula>
    </cfRule>
  </conditionalFormatting>
  <conditionalFormatting sqref="E110">
    <cfRule type="cellIs" priority="10" dxfId="108" operator="greaterThan" stopIfTrue="1">
      <formula>$E$112*0.1</formula>
    </cfRule>
  </conditionalFormatting>
  <conditionalFormatting sqref="D112">
    <cfRule type="cellIs" priority="9" dxfId="2" operator="greaterThan" stopIfTrue="1">
      <formula>$D$114</formula>
    </cfRule>
  </conditionalFormatting>
  <conditionalFormatting sqref="C112">
    <cfRule type="cellIs" priority="8" dxfId="2" operator="greaterThan" stopIfTrue="1">
      <formula>$C$114</formula>
    </cfRule>
  </conditionalFormatting>
  <conditionalFormatting sqref="C113">
    <cfRule type="cellIs" priority="7" dxfId="2" operator="lessThan" stopIfTrue="1">
      <formula>0</formula>
    </cfRule>
  </conditionalFormatting>
  <conditionalFormatting sqref="C110">
    <cfRule type="cellIs" priority="6" dxfId="2" operator="greaterThan" stopIfTrue="1">
      <formula>$C$112*0.1</formula>
    </cfRule>
  </conditionalFormatting>
  <conditionalFormatting sqref="D110">
    <cfRule type="cellIs" priority="5" dxfId="2" operator="greaterThan" stopIfTrue="1">
      <formula>$D$112*0.1</formula>
    </cfRule>
  </conditionalFormatting>
  <conditionalFormatting sqref="D55">
    <cfRule type="cellIs" priority="4" dxfId="2" operator="greaterThan" stopIfTrue="1">
      <formula>$D$57*0.1</formula>
    </cfRule>
  </conditionalFormatting>
  <conditionalFormatting sqref="C55">
    <cfRule type="cellIs" priority="3" dxfId="2" operator="greaterThan" stopIfTrue="1">
      <formula>$C$57*0.1</formula>
    </cfRule>
  </conditionalFormatting>
  <conditionalFormatting sqref="E55">
    <cfRule type="cellIs" priority="2" dxfId="108" operator="greaterThan" stopIfTrue="1">
      <formula>$E$57*0.1+E119</formula>
    </cfRule>
  </conditionalFormatting>
  <conditionalFormatting sqref="D113">
    <cfRule type="cellIs" priority="1" dxfId="0" operator="lessThan" stopIfTrue="1">
      <formula>0</formula>
    </cfRule>
  </conditionalFormatting>
  <printOptions/>
  <pageMargins left="0.5" right="0.5" top="1" bottom="0.5" header="0.5" footer="0.25"/>
  <pageSetup blackAndWhite="1" fitToHeight="2" horizontalDpi="120" verticalDpi="120" orientation="portrait" scale="68" r:id="rId1"/>
  <headerFooter alignWithMargins="0">
    <oddHeader>&amp;RState of Kansas
City
</oddHeader>
  </headerFooter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K96"/>
  <sheetViews>
    <sheetView zoomScalePageLayoutView="0" workbookViewId="0" topLeftCell="A64">
      <selection activeCell="E77" sqref="E77"/>
    </sheetView>
  </sheetViews>
  <sheetFormatPr defaultColWidth="9.140625" defaultRowHeight="15"/>
  <cols>
    <col min="1" max="1" width="3.140625" style="72" customWidth="1"/>
    <col min="2" max="2" width="40.00390625" style="72" customWidth="1"/>
    <col min="3" max="4" width="20.28125" style="72" customWidth="1"/>
    <col min="5" max="5" width="20.8515625" style="72" customWidth="1"/>
    <col min="6" max="6" width="10.421875" style="72" customWidth="1"/>
    <col min="7" max="7" width="13.140625" style="72" customWidth="1"/>
    <col min="8" max="8" width="9.140625" style="72" customWidth="1"/>
    <col min="9" max="9" width="6.421875" style="72" customWidth="1"/>
    <col min="10" max="10" width="12.8515625" style="72" customWidth="1"/>
    <col min="11" max="16384" width="9.140625" style="72" customWidth="1"/>
  </cols>
  <sheetData>
    <row r="1" spans="2:5" ht="15.75">
      <c r="B1" s="73" t="str">
        <f>('[1]inputPrYr'!D2)</f>
        <v>Andale</v>
      </c>
      <c r="C1" s="73"/>
      <c r="D1" s="1"/>
      <c r="E1" s="121">
        <f>'[1]inputPrYr'!$C$5</f>
        <v>2013</v>
      </c>
    </row>
    <row r="2" spans="2:5" ht="15.75">
      <c r="B2" s="1"/>
      <c r="C2" s="1"/>
      <c r="D2" s="1"/>
      <c r="E2" s="65"/>
    </row>
    <row r="3" spans="2:5" ht="15.75">
      <c r="B3" s="81" t="s">
        <v>166</v>
      </c>
      <c r="C3" s="81"/>
      <c r="D3" s="245"/>
      <c r="E3" s="246"/>
    </row>
    <row r="4" spans="2:5" ht="15.75">
      <c r="B4" s="13" t="s">
        <v>167</v>
      </c>
      <c r="C4" s="163" t="s">
        <v>168</v>
      </c>
      <c r="D4" s="164" t="s">
        <v>169</v>
      </c>
      <c r="E4" s="12" t="s">
        <v>170</v>
      </c>
    </row>
    <row r="5" spans="2:5" ht="15.75">
      <c r="B5" s="247" t="str">
        <f>'[1]inputPrYr'!B18</f>
        <v>Debt Service</v>
      </c>
      <c r="C5" s="166" t="str">
        <f>CONCATENATE("Actual for ",E1-2,"")</f>
        <v>Actual for 2011</v>
      </c>
      <c r="D5" s="166" t="str">
        <f>CONCATENATE("Estimate for ",E1-1,"")</f>
        <v>Estimate for 2012</v>
      </c>
      <c r="E5" s="167" t="str">
        <f>CONCATENATE("Year for ",E1,"")</f>
        <v>Year for 2013</v>
      </c>
    </row>
    <row r="6" spans="2:5" ht="15.75">
      <c r="B6" s="20" t="s">
        <v>171</v>
      </c>
      <c r="C6" s="248">
        <v>71207</v>
      </c>
      <c r="D6" s="170">
        <f>C36</f>
        <v>17298.359999999986</v>
      </c>
      <c r="E6" s="130">
        <f>D36</f>
        <v>3205.359999999986</v>
      </c>
    </row>
    <row r="7" spans="2:5" ht="15.75">
      <c r="B7" s="20" t="s">
        <v>172</v>
      </c>
      <c r="C7" s="170"/>
      <c r="D7" s="170"/>
      <c r="E7" s="130"/>
    </row>
    <row r="8" spans="2:5" ht="15.75">
      <c r="B8" s="20" t="s">
        <v>173</v>
      </c>
      <c r="C8" s="249">
        <v>36858</v>
      </c>
      <c r="D8" s="170">
        <f>IF('[1]inputPrYr'!H16&gt;0,'[1]inputPrYr'!G18,'[1]inputPrYr'!E18)</f>
        <v>51763</v>
      </c>
      <c r="E8" s="217" t="s">
        <v>22</v>
      </c>
    </row>
    <row r="9" spans="2:5" ht="15.75">
      <c r="B9" s="20" t="s">
        <v>174</v>
      </c>
      <c r="C9" s="249">
        <v>149</v>
      </c>
      <c r="D9" s="169"/>
      <c r="E9" s="174"/>
    </row>
    <row r="10" spans="2:5" ht="15.75">
      <c r="B10" s="20" t="s">
        <v>175</v>
      </c>
      <c r="C10" s="249">
        <v>3010</v>
      </c>
      <c r="D10" s="169">
        <v>4878</v>
      </c>
      <c r="E10" s="130">
        <f>'[1]mvalloc'!D8</f>
        <v>6963</v>
      </c>
    </row>
    <row r="11" spans="2:5" ht="15.75">
      <c r="B11" s="20" t="s">
        <v>176</v>
      </c>
      <c r="C11" s="249">
        <v>30</v>
      </c>
      <c r="D11" s="169">
        <v>51</v>
      </c>
      <c r="E11" s="130">
        <f>'[1]mvalloc'!E8</f>
        <v>64</v>
      </c>
    </row>
    <row r="12" spans="2:5" ht="15.75">
      <c r="B12" s="212" t="s">
        <v>177</v>
      </c>
      <c r="C12" s="249">
        <v>166</v>
      </c>
      <c r="D12" s="169">
        <v>84</v>
      </c>
      <c r="E12" s="130">
        <f>'[1]mvalloc'!F8</f>
        <v>100</v>
      </c>
    </row>
    <row r="13" spans="2:5" ht="15.75">
      <c r="B13" s="174" t="s">
        <v>53</v>
      </c>
      <c r="C13" s="249">
        <v>1051</v>
      </c>
      <c r="D13" s="169"/>
      <c r="E13" s="174"/>
    </row>
    <row r="14" spans="2:5" ht="15.75">
      <c r="B14" s="169" t="s">
        <v>221</v>
      </c>
      <c r="C14" s="249">
        <v>137688</v>
      </c>
      <c r="D14" s="169">
        <v>138000</v>
      </c>
      <c r="E14" s="174">
        <v>144473</v>
      </c>
    </row>
    <row r="15" spans="2:5" ht="15.75">
      <c r="B15" s="178" t="s">
        <v>222</v>
      </c>
      <c r="C15" s="249">
        <v>907</v>
      </c>
      <c r="D15" s="169"/>
      <c r="E15" s="174"/>
    </row>
    <row r="16" spans="2:5" ht="15.75">
      <c r="B16" s="178" t="s">
        <v>223</v>
      </c>
      <c r="C16" s="249">
        <v>45000</v>
      </c>
      <c r="D16" s="169">
        <v>51000</v>
      </c>
      <c r="E16" s="174">
        <v>48175</v>
      </c>
    </row>
    <row r="17" spans="2:5" ht="15.75">
      <c r="B17" s="250" t="s">
        <v>205</v>
      </c>
      <c r="C17" s="249"/>
      <c r="D17" s="169">
        <v>47450</v>
      </c>
      <c r="E17" s="174">
        <v>50000</v>
      </c>
    </row>
    <row r="18" spans="2:5" ht="15.75">
      <c r="B18" s="250" t="s">
        <v>202</v>
      </c>
      <c r="C18" s="249"/>
      <c r="D18" s="169">
        <v>5000</v>
      </c>
      <c r="E18" s="174">
        <v>8500</v>
      </c>
    </row>
    <row r="19" spans="2:5" ht="15.75">
      <c r="B19" s="250" t="s">
        <v>224</v>
      </c>
      <c r="C19" s="249"/>
      <c r="D19" s="169">
        <v>5000</v>
      </c>
      <c r="E19" s="174"/>
    </row>
    <row r="20" spans="2:5" ht="15.75">
      <c r="B20" s="20" t="s">
        <v>193</v>
      </c>
      <c r="C20" s="249">
        <v>48</v>
      </c>
      <c r="D20" s="169"/>
      <c r="E20" s="174"/>
    </row>
    <row r="21" spans="2:5" ht="15.75">
      <c r="B21" s="20" t="s">
        <v>194</v>
      </c>
      <c r="C21" s="251">
        <f>IF(C22*0.1&lt;C20,"Exceed 10% Rule","")</f>
      </c>
      <c r="D21" s="252">
        <f>IF(D22*0.1&lt;D20,"Exceed 10% Rule","")</f>
      </c>
      <c r="E21" s="213">
        <f>IF(E23*0.01+E42&lt;E20,"Exceed 10% Rule","")</f>
      </c>
    </row>
    <row r="22" spans="2:5" ht="15.75">
      <c r="B22" s="183" t="s">
        <v>195</v>
      </c>
      <c r="C22" s="253">
        <f>SUM(C8:C20)</f>
        <v>224907</v>
      </c>
      <c r="D22" s="253">
        <f>SUM(D8:D20)</f>
        <v>303226</v>
      </c>
      <c r="E22" s="254">
        <f>SUM(E8:E20)</f>
        <v>258275</v>
      </c>
    </row>
    <row r="23" spans="2:5" ht="15.75">
      <c r="B23" s="183" t="s">
        <v>196</v>
      </c>
      <c r="C23" s="253">
        <f>C6+C22</f>
        <v>296114</v>
      </c>
      <c r="D23" s="253">
        <f>D6+D22</f>
        <v>320524.36</v>
      </c>
      <c r="E23" s="254">
        <f>E6+E22</f>
        <v>261480.36</v>
      </c>
    </row>
    <row r="24" spans="2:5" ht="15.75">
      <c r="B24" s="20" t="s">
        <v>199</v>
      </c>
      <c r="C24" s="20"/>
      <c r="D24" s="170"/>
      <c r="E24" s="130"/>
    </row>
    <row r="25" spans="2:5" ht="15.75">
      <c r="B25" s="178" t="s">
        <v>134</v>
      </c>
      <c r="C25" s="255">
        <v>206005</v>
      </c>
      <c r="D25" s="169">
        <v>245000</v>
      </c>
      <c r="E25" s="174">
        <v>270000</v>
      </c>
    </row>
    <row r="26" spans="2:10" ht="15.75">
      <c r="B26" s="178" t="s">
        <v>225</v>
      </c>
      <c r="C26" s="255">
        <v>61299</v>
      </c>
      <c r="D26" s="169">
        <v>72310</v>
      </c>
      <c r="E26" s="174">
        <v>67082</v>
      </c>
      <c r="G26" s="462" t="str">
        <f>CONCATENATE("Desired Carryover Into ",E1+1,"")</f>
        <v>Desired Carryover Into 2014</v>
      </c>
      <c r="H26" s="449"/>
      <c r="I26" s="449"/>
      <c r="J26" s="450"/>
    </row>
    <row r="27" spans="2:10" ht="15.75">
      <c r="B27" s="178" t="s">
        <v>226</v>
      </c>
      <c r="C27" s="255">
        <v>11511.64</v>
      </c>
      <c r="D27" s="169">
        <v>9</v>
      </c>
      <c r="E27" s="174">
        <v>9</v>
      </c>
      <c r="G27" s="256"/>
      <c r="H27" s="54"/>
      <c r="I27" s="257"/>
      <c r="J27" s="258"/>
    </row>
    <row r="28" spans="2:10" ht="15.75">
      <c r="B28" s="178" t="s">
        <v>227</v>
      </c>
      <c r="C28" s="255"/>
      <c r="D28" s="169"/>
      <c r="E28" s="174">
        <v>5000</v>
      </c>
      <c r="G28" s="259" t="s">
        <v>210</v>
      </c>
      <c r="H28" s="257"/>
      <c r="I28" s="257"/>
      <c r="J28" s="260">
        <v>0</v>
      </c>
    </row>
    <row r="29" spans="2:10" ht="15.75">
      <c r="B29" s="178"/>
      <c r="C29" s="255"/>
      <c r="D29" s="169"/>
      <c r="E29" s="174"/>
      <c r="G29" s="256" t="s">
        <v>211</v>
      </c>
      <c r="H29" s="54"/>
      <c r="I29" s="54"/>
      <c r="J29" s="261">
        <f>IF(J28=0,"",ROUND((J28+E42-G41)/'[1]inputOth'!E7*1000,3)-G46)</f>
      </c>
    </row>
    <row r="30" spans="2:10" ht="15.75">
      <c r="B30" s="178"/>
      <c r="C30" s="255"/>
      <c r="D30" s="169"/>
      <c r="E30" s="174"/>
      <c r="G30" s="262" t="str">
        <f>CONCATENATE("",E1," Tot Exp/Non-Appr Must Be:")</f>
        <v>2013 Tot Exp/Non-Appr Must Be:</v>
      </c>
      <c r="H30" s="263"/>
      <c r="I30" s="264"/>
      <c r="J30" s="265">
        <f>IF(J28&gt;0,IF(E39&lt;E23,IF(J28=G41,E39,((J28-G41)*(1-D41))+E23),E39+(J28-G41)),0)</f>
        <v>0</v>
      </c>
    </row>
    <row r="31" spans="2:10" ht="15.75">
      <c r="B31" s="178"/>
      <c r="C31" s="255"/>
      <c r="D31" s="169"/>
      <c r="E31" s="174"/>
      <c r="G31" s="209" t="s">
        <v>212</v>
      </c>
      <c r="H31" s="266"/>
      <c r="I31" s="266"/>
      <c r="J31" s="211">
        <f>IF(J28&gt;0,J30-E39,0)</f>
        <v>0</v>
      </c>
    </row>
    <row r="32" spans="2:5" ht="15.75">
      <c r="B32" s="267" t="s">
        <v>26</v>
      </c>
      <c r="C32" s="255"/>
      <c r="D32" s="169"/>
      <c r="E32" s="130">
        <f>'[1]nhood'!E7</f>
      </c>
    </row>
    <row r="33" spans="2:10" ht="15.75">
      <c r="B33" s="267" t="s">
        <v>193</v>
      </c>
      <c r="C33" s="255"/>
      <c r="D33" s="169"/>
      <c r="E33" s="174"/>
      <c r="G33" s="463" t="str">
        <f>CONCATENATE("Projected Carryover Into ",E1+1,"")</f>
        <v>Projected Carryover Into 2014</v>
      </c>
      <c r="H33" s="464"/>
      <c r="I33" s="464"/>
      <c r="J33" s="450"/>
    </row>
    <row r="34" spans="2:10" ht="15.75">
      <c r="B34" s="267" t="s">
        <v>228</v>
      </c>
      <c r="C34" s="268">
        <f>IF(C35*0.1&lt;C33,"Exceed 10% Rule","")</f>
      </c>
      <c r="D34" s="269">
        <f>IF(D35*0.1&lt;D33,"Exceed 10% Rule","")</f>
      </c>
      <c r="E34" s="270">
        <f>IF(E35*0.1&lt;E33,"Exceed 10% Rule","")</f>
      </c>
      <c r="G34" s="195"/>
      <c r="H34" s="196"/>
      <c r="I34" s="196"/>
      <c r="J34" s="271"/>
    </row>
    <row r="35" spans="2:10" ht="15.75">
      <c r="B35" s="183" t="s">
        <v>214</v>
      </c>
      <c r="C35" s="184">
        <f>SUM(C25:C33)</f>
        <v>278815.64</v>
      </c>
      <c r="D35" s="184">
        <f>SUM(D25:D33)</f>
        <v>317319</v>
      </c>
      <c r="E35" s="185">
        <f>SUM(E25:E33)</f>
        <v>342091</v>
      </c>
      <c r="G35" s="272">
        <f>D36</f>
        <v>3205.359999999986</v>
      </c>
      <c r="H35" s="273" t="str">
        <f>CONCATENATE("",E1-1," Ending Cash Balance (est.)")</f>
        <v>2012 Ending Cash Balance (est.)</v>
      </c>
      <c r="I35" s="197"/>
      <c r="J35" s="271"/>
    </row>
    <row r="36" spans="2:10" ht="15.75">
      <c r="B36" s="20" t="s">
        <v>215</v>
      </c>
      <c r="C36" s="188">
        <f>C23-C35</f>
        <v>17298.359999999986</v>
      </c>
      <c r="D36" s="188">
        <f>D23-D35</f>
        <v>3205.359999999986</v>
      </c>
      <c r="E36" s="217" t="s">
        <v>22</v>
      </c>
      <c r="G36" s="272">
        <f>E22</f>
        <v>258275</v>
      </c>
      <c r="H36" s="274" t="str">
        <f>CONCATENATE("",E1," Non-AV Receipts (est.)")</f>
        <v>2013 Non-AV Receipts (est.)</v>
      </c>
      <c r="I36" s="196"/>
      <c r="J36" s="271"/>
    </row>
    <row r="37" spans="2:11" ht="15.75">
      <c r="B37" s="4" t="str">
        <f>CONCATENATE("",E1-2,"/",E1-1," Budget Authority Amount:")</f>
        <v>2011/2012 Budget Authority Amount:</v>
      </c>
      <c r="C37" s="145">
        <f>'[1]inputOth'!B61</f>
        <v>309983</v>
      </c>
      <c r="D37" s="220">
        <f>'[1]inputPrYr'!D18</f>
        <v>327319</v>
      </c>
      <c r="E37" s="217" t="s">
        <v>22</v>
      </c>
      <c r="F37" s="221"/>
      <c r="G37" s="275">
        <f>IF(E41&gt;0,E40,E42)</f>
        <v>80610.64000000001</v>
      </c>
      <c r="H37" s="274" t="str">
        <f>CONCATENATE("",E1," Ad Valorem Tax (est.)")</f>
        <v>2013 Ad Valorem Tax (est.)</v>
      </c>
      <c r="I37" s="196"/>
      <c r="J37" s="271"/>
      <c r="K37" s="276" t="str">
        <f>IF(G37=E42,"","Note: Does not include Delinquent Taxes")</f>
        <v>Note: Does not include Delinquent Taxes</v>
      </c>
    </row>
    <row r="38" spans="2:10" ht="15.75">
      <c r="B38" s="4"/>
      <c r="C38" s="451" t="s">
        <v>216</v>
      </c>
      <c r="D38" s="452"/>
      <c r="E38" s="174"/>
      <c r="F38" s="222">
        <f>IF(E35/0.95-E35&lt;E38,"Exceeds 5%","")</f>
      </c>
      <c r="G38" s="272">
        <f>SUM(G35:G37)</f>
        <v>342091</v>
      </c>
      <c r="H38" s="274" t="str">
        <f>CONCATENATE("Total ",E1," Resources Available")</f>
        <v>Total 2013 Resources Available</v>
      </c>
      <c r="I38" s="197"/>
      <c r="J38" s="271"/>
    </row>
    <row r="39" spans="2:10" ht="15.75">
      <c r="B39" s="224" t="str">
        <f>CONCATENATE(C92,"     ",D92)</f>
        <v>     </v>
      </c>
      <c r="C39" s="453" t="s">
        <v>217</v>
      </c>
      <c r="D39" s="454"/>
      <c r="E39" s="130">
        <f>E35+E38</f>
        <v>342091</v>
      </c>
      <c r="G39" s="277"/>
      <c r="H39" s="274"/>
      <c r="I39" s="196"/>
      <c r="J39" s="271"/>
    </row>
    <row r="40" spans="2:10" ht="15.75">
      <c r="B40" s="224" t="str">
        <f>CONCATENATE(C93,"     ",D93)</f>
        <v>     </v>
      </c>
      <c r="C40" s="225"/>
      <c r="D40" s="65" t="s">
        <v>218</v>
      </c>
      <c r="E40" s="189">
        <f>IF(E39-E23&gt;0,E39-E23,0)</f>
        <v>80610.64000000001</v>
      </c>
      <c r="G40" s="275">
        <f>C35</f>
        <v>278815.64</v>
      </c>
      <c r="H40" s="274" t="str">
        <f>CONCATENATE("Less ",E1-2," Expenditures")</f>
        <v>Less 2011 Expenditures</v>
      </c>
      <c r="I40" s="196"/>
      <c r="J40" s="271"/>
    </row>
    <row r="41" spans="2:10" ht="15.75">
      <c r="B41" s="65"/>
      <c r="C41" s="230" t="s">
        <v>219</v>
      </c>
      <c r="D41" s="231">
        <f>'[1]inputOth'!E46</f>
        <v>0.02</v>
      </c>
      <c r="E41" s="130">
        <f>ROUND(IF(D41&gt;0,(E40*D41),0),0)</f>
        <v>1612</v>
      </c>
      <c r="G41" s="278">
        <f>SUM(G38-G40)</f>
        <v>63275.359999999986</v>
      </c>
      <c r="H41" s="279" t="str">
        <f>CONCATENATE("Projected ",E1+1," carryover (est.)")</f>
        <v>Projected 2014 carryover (est.)</v>
      </c>
      <c r="I41" s="229"/>
      <c r="J41" s="280"/>
    </row>
    <row r="42" spans="2:5" ht="16.5" thickBot="1">
      <c r="B42" s="1"/>
      <c r="C42" s="465" t="str">
        <f>CONCATENATE("Amount of  ",E1-1," Ad Valorem Tax")</f>
        <v>Amount of  2012 Ad Valorem Tax</v>
      </c>
      <c r="D42" s="466"/>
      <c r="E42" s="281">
        <f>E40+E41</f>
        <v>82222.64000000001</v>
      </c>
    </row>
    <row r="43" spans="2:10" ht="16.5" thickTop="1">
      <c r="B43" s="1"/>
      <c r="C43" s="465"/>
      <c r="D43" s="465"/>
      <c r="E43" s="282"/>
      <c r="G43" s="456" t="s">
        <v>220</v>
      </c>
      <c r="H43" s="457"/>
      <c r="I43" s="457"/>
      <c r="J43" s="458"/>
    </row>
    <row r="44" spans="2:10" ht="15.75">
      <c r="B44" s="1"/>
      <c r="C44" s="282"/>
      <c r="D44" s="282"/>
      <c r="E44" s="282"/>
      <c r="G44" s="234"/>
      <c r="H44" s="235"/>
      <c r="I44" s="236"/>
      <c r="J44" s="237"/>
    </row>
    <row r="45" spans="2:10" ht="15.75">
      <c r="B45" s="13"/>
      <c r="C45" s="13"/>
      <c r="D45" s="245"/>
      <c r="E45" s="245"/>
      <c r="G45" s="238">
        <f>'[1]summ'!H17</f>
        <v>13.886</v>
      </c>
      <c r="H45" s="235" t="str">
        <f>CONCATENATE("",E1," Fund Mill Rate")</f>
        <v>2013 Fund Mill Rate</v>
      </c>
      <c r="I45" s="236"/>
      <c r="J45" s="237"/>
    </row>
    <row r="46" spans="2:10" ht="15.75">
      <c r="B46" s="13" t="s">
        <v>167</v>
      </c>
      <c r="C46" s="163" t="str">
        <f aca="true" t="shared" si="0" ref="C46:E47">C4</f>
        <v>Prior Year </v>
      </c>
      <c r="D46" s="164" t="str">
        <f t="shared" si="0"/>
        <v>Current Year </v>
      </c>
      <c r="E46" s="12" t="str">
        <f t="shared" si="0"/>
        <v>Proposed Budget </v>
      </c>
      <c r="G46" s="239">
        <f>'[1]summ'!E17</f>
        <v>8.481</v>
      </c>
      <c r="H46" s="235" t="str">
        <f>CONCATENATE("",E1-1," Fund Mill Rate")</f>
        <v>2012 Fund Mill Rate</v>
      </c>
      <c r="I46" s="236"/>
      <c r="J46" s="237"/>
    </row>
    <row r="47" spans="2:10" ht="15.75">
      <c r="B47" s="165"/>
      <c r="C47" s="166" t="str">
        <f t="shared" si="0"/>
        <v>Actual for 2011</v>
      </c>
      <c r="D47" s="166" t="str">
        <f t="shared" si="0"/>
        <v>Estimate for 2012</v>
      </c>
      <c r="E47" s="111" t="str">
        <f t="shared" si="0"/>
        <v>Year for 2013</v>
      </c>
      <c r="G47" s="240">
        <f>'[1]summ'!H42</f>
        <v>43.806000000000004</v>
      </c>
      <c r="H47" s="235" t="str">
        <f>CONCATENATE("Total ",E1," Mill Rate")</f>
        <v>Total 2013 Mill Rate</v>
      </c>
      <c r="I47" s="236"/>
      <c r="J47" s="237"/>
    </row>
    <row r="48" spans="2:10" ht="15.75">
      <c r="B48" s="20" t="s">
        <v>171</v>
      </c>
      <c r="C48" s="255"/>
      <c r="D48" s="170">
        <f>C76</f>
        <v>0</v>
      </c>
      <c r="E48" s="130"/>
      <c r="G48" s="239">
        <f>'[1]summ'!E42</f>
        <v>42.510999999999996</v>
      </c>
      <c r="H48" s="241" t="str">
        <f>CONCATENATE("Total ",E1-1," Mill Rate")</f>
        <v>Total 2012 Mill Rate</v>
      </c>
      <c r="I48" s="242"/>
      <c r="J48" s="243"/>
    </row>
    <row r="49" spans="2:5" ht="15.75">
      <c r="B49" s="25" t="s">
        <v>172</v>
      </c>
      <c r="C49" s="20"/>
      <c r="D49" s="170"/>
      <c r="E49" s="130"/>
    </row>
    <row r="50" spans="2:5" ht="15.75">
      <c r="B50" s="20" t="s">
        <v>173</v>
      </c>
      <c r="C50" s="255"/>
      <c r="D50" s="170"/>
      <c r="E50" s="217" t="s">
        <v>22</v>
      </c>
    </row>
    <row r="51" spans="2:5" ht="15.75">
      <c r="B51" s="20" t="s">
        <v>174</v>
      </c>
      <c r="C51" s="255"/>
      <c r="D51" s="169"/>
      <c r="E51" s="174"/>
    </row>
    <row r="52" spans="2:5" ht="15.75">
      <c r="B52" s="20" t="s">
        <v>175</v>
      </c>
      <c r="C52" s="255"/>
      <c r="D52" s="169"/>
      <c r="E52" s="130"/>
    </row>
    <row r="53" spans="2:5" ht="15.75">
      <c r="B53" s="20" t="s">
        <v>176</v>
      </c>
      <c r="C53" s="255"/>
      <c r="D53" s="169"/>
      <c r="E53" s="130"/>
    </row>
    <row r="54" spans="2:5" ht="15.75">
      <c r="B54" s="212" t="s">
        <v>177</v>
      </c>
      <c r="C54" s="255"/>
      <c r="D54" s="169"/>
      <c r="E54" s="130"/>
    </row>
    <row r="55" spans="2:5" ht="15.75">
      <c r="B55" s="174"/>
      <c r="C55" s="255"/>
      <c r="D55" s="169"/>
      <c r="E55" s="174"/>
    </row>
    <row r="56" spans="2:5" ht="15.75">
      <c r="B56" s="169"/>
      <c r="C56" s="255"/>
      <c r="D56" s="169"/>
      <c r="E56" s="174"/>
    </row>
    <row r="57" spans="2:5" ht="15.75">
      <c r="B57" s="178"/>
      <c r="C57" s="255"/>
      <c r="D57" s="169"/>
      <c r="E57" s="174"/>
    </row>
    <row r="58" spans="2:5" ht="15.75">
      <c r="B58" s="178"/>
      <c r="C58" s="255"/>
      <c r="D58" s="169"/>
      <c r="E58" s="174"/>
    </row>
    <row r="59" spans="2:5" ht="15.75">
      <c r="B59" s="250" t="s">
        <v>192</v>
      </c>
      <c r="C59" s="255"/>
      <c r="D59" s="169"/>
      <c r="E59" s="174"/>
    </row>
    <row r="60" spans="2:5" ht="15.75">
      <c r="B60" s="20" t="s">
        <v>193</v>
      </c>
      <c r="C60" s="255"/>
      <c r="D60" s="169"/>
      <c r="E60" s="174"/>
    </row>
    <row r="61" spans="2:5" ht="15.75">
      <c r="B61" s="20" t="s">
        <v>194</v>
      </c>
      <c r="C61" s="251">
        <f>IF(C62*0.1&lt;C60,"Exceed 10% Rule","")</f>
      </c>
      <c r="D61" s="252">
        <f>IF(D62*0.1&lt;D60,"Exceed 10% Rule","")</f>
      </c>
      <c r="E61" s="213">
        <f>IF(E63*0.01+E82&lt;E60,"Exceed 10% Rule","")</f>
      </c>
    </row>
    <row r="62" spans="2:5" ht="15.75">
      <c r="B62" s="183" t="s">
        <v>195</v>
      </c>
      <c r="C62" s="184">
        <f>SUM(C50:C60)</f>
        <v>0</v>
      </c>
      <c r="D62" s="184">
        <f>SUM(D50:D60)</f>
        <v>0</v>
      </c>
      <c r="E62" s="185">
        <f>SUM(E50:E60)</f>
        <v>0</v>
      </c>
    </row>
    <row r="63" spans="2:5" ht="15.75">
      <c r="B63" s="183" t="s">
        <v>196</v>
      </c>
      <c r="C63" s="184">
        <f>C48+C62</f>
        <v>0</v>
      </c>
      <c r="D63" s="184">
        <f>D48+D62</f>
        <v>0</v>
      </c>
      <c r="E63" s="185">
        <f>E48+E62</f>
        <v>0</v>
      </c>
    </row>
    <row r="64" spans="2:5" ht="15.75">
      <c r="B64" s="20" t="s">
        <v>199</v>
      </c>
      <c r="C64" s="20"/>
      <c r="D64" s="170"/>
      <c r="E64" s="130"/>
    </row>
    <row r="65" spans="2:5" ht="15.75">
      <c r="B65" s="178"/>
      <c r="C65" s="255"/>
      <c r="D65" s="169"/>
      <c r="E65" s="174"/>
    </row>
    <row r="66" spans="2:10" ht="15.75">
      <c r="B66" s="178"/>
      <c r="C66" s="255"/>
      <c r="D66" s="169"/>
      <c r="E66" s="174"/>
      <c r="G66" s="459" t="str">
        <f>CONCATENATE("Desired Carryover Into ",E1+1,"")</f>
        <v>Desired Carryover Into 2014</v>
      </c>
      <c r="H66" s="460"/>
      <c r="I66" s="460"/>
      <c r="J66" s="461"/>
    </row>
    <row r="67" spans="2:10" ht="15.75">
      <c r="B67" s="178"/>
      <c r="C67" s="255"/>
      <c r="D67" s="169"/>
      <c r="E67" s="174"/>
      <c r="G67" s="283"/>
      <c r="H67" s="284"/>
      <c r="I67" s="285"/>
      <c r="J67" s="286"/>
    </row>
    <row r="68" spans="2:10" ht="15.75">
      <c r="B68" s="178"/>
      <c r="C68" s="255"/>
      <c r="D68" s="169"/>
      <c r="E68" s="174"/>
      <c r="G68" s="287" t="s">
        <v>210</v>
      </c>
      <c r="H68" s="285"/>
      <c r="I68" s="285"/>
      <c r="J68" s="288">
        <v>0</v>
      </c>
    </row>
    <row r="69" spans="2:10" ht="15.75">
      <c r="B69" s="178"/>
      <c r="C69" s="255"/>
      <c r="D69" s="169"/>
      <c r="E69" s="174"/>
      <c r="G69" s="283" t="s">
        <v>211</v>
      </c>
      <c r="H69" s="284"/>
      <c r="I69" s="284"/>
      <c r="J69" s="261">
        <f>IF(J68=0,"",ROUND((J68+E82-G81)/'[1]inputOth'!E7*1000,3)-G86)</f>
      </c>
    </row>
    <row r="70" spans="2:10" ht="15.75">
      <c r="B70" s="178"/>
      <c r="C70" s="255"/>
      <c r="D70" s="169"/>
      <c r="E70" s="174"/>
      <c r="G70" s="289" t="str">
        <f>CONCATENATE("",E1," Tot Exp/Non-Appr Must Be:")</f>
        <v>2013 Tot Exp/Non-Appr Must Be:</v>
      </c>
      <c r="H70" s="290"/>
      <c r="I70" s="291"/>
      <c r="J70" s="292">
        <f>IF(J68&gt;0,IF(E79&lt;E63,IF(J68=G81,E79,((J68-G81)*(1-D81))+E63),E79+(J68-G81)),0)</f>
        <v>0</v>
      </c>
    </row>
    <row r="71" spans="2:10" ht="15.75">
      <c r="B71" s="178"/>
      <c r="C71" s="255"/>
      <c r="D71" s="169"/>
      <c r="E71" s="174"/>
      <c r="G71" s="293" t="s">
        <v>212</v>
      </c>
      <c r="H71" s="294"/>
      <c r="I71" s="294"/>
      <c r="J71" s="295">
        <f>IF(J68&gt;0,J70-E79,0)</f>
        <v>0</v>
      </c>
    </row>
    <row r="72" spans="2:5" ht="15.75">
      <c r="B72" s="212" t="s">
        <v>26</v>
      </c>
      <c r="C72" s="255"/>
      <c r="D72" s="169"/>
      <c r="E72" s="130">
        <f>'[1]nhood'!E8</f>
      </c>
    </row>
    <row r="73" spans="2:10" ht="15.75">
      <c r="B73" s="212" t="s">
        <v>193</v>
      </c>
      <c r="C73" s="255"/>
      <c r="D73" s="169"/>
      <c r="E73" s="174"/>
      <c r="G73" s="459" t="str">
        <f>CONCATENATE("Projected Carryover Into ",E1+1,"")</f>
        <v>Projected Carryover Into 2014</v>
      </c>
      <c r="H73" s="467"/>
      <c r="I73" s="467"/>
      <c r="J73" s="450"/>
    </row>
    <row r="74" spans="2:10" ht="15.75">
      <c r="B74" s="212" t="s">
        <v>229</v>
      </c>
      <c r="C74" s="251">
        <f>IF(C75*0.1&lt;C73,"Exceed 10% Rule","")</f>
      </c>
      <c r="D74" s="252">
        <f>IF(D75*0.1&lt;D73,"Exceed 10% Rule","")</f>
      </c>
      <c r="E74" s="213">
        <f>IF(E75*0.1&lt;E73,"Exceed 10% Rule","")</f>
      </c>
      <c r="G74" s="296"/>
      <c r="H74" s="284"/>
      <c r="I74" s="284"/>
      <c r="J74" s="297"/>
    </row>
    <row r="75" spans="2:10" ht="15.75">
      <c r="B75" s="183" t="s">
        <v>214</v>
      </c>
      <c r="C75" s="184">
        <f>SUM(C65:C73)</f>
        <v>0</v>
      </c>
      <c r="D75" s="184">
        <f>SUM(D65:D73)</f>
        <v>0</v>
      </c>
      <c r="E75" s="185">
        <f>SUM(E65:E73)</f>
        <v>0</v>
      </c>
      <c r="G75" s="298">
        <f>D76</f>
        <v>0</v>
      </c>
      <c r="H75" s="299" t="str">
        <f>CONCATENATE("",E1-1," Ending Cash Balance (est.)")</f>
        <v>2012 Ending Cash Balance (est.)</v>
      </c>
      <c r="I75" s="300"/>
      <c r="J75" s="297"/>
    </row>
    <row r="76" spans="2:10" ht="15.75">
      <c r="B76" s="20" t="s">
        <v>215</v>
      </c>
      <c r="C76" s="188">
        <f>C63-C75</f>
        <v>0</v>
      </c>
      <c r="D76" s="188">
        <f>D63-D75</f>
        <v>0</v>
      </c>
      <c r="E76" s="217" t="s">
        <v>22</v>
      </c>
      <c r="G76" s="298">
        <f>E62</f>
        <v>0</v>
      </c>
      <c r="H76" s="285" t="str">
        <f>CONCATENATE("",E1," Non-AV Receipts (est.)")</f>
        <v>2013 Non-AV Receipts (est.)</v>
      </c>
      <c r="I76" s="300"/>
      <c r="J76" s="297"/>
    </row>
    <row r="77" spans="2:11" ht="15.75">
      <c r="B77" s="4" t="str">
        <f>CONCATENATE("",E1-2,"/",E1-1," Budget Authority Amount:")</f>
        <v>2011/2012 Budget Authority Amount:</v>
      </c>
      <c r="C77" s="145"/>
      <c r="D77" s="145"/>
      <c r="E77" s="217" t="s">
        <v>22</v>
      </c>
      <c r="F77" s="221"/>
      <c r="G77" s="301">
        <f>IF(E81&gt;0,E80,E82)</f>
        <v>0</v>
      </c>
      <c r="H77" s="285" t="str">
        <f>CONCATENATE("",E1," Ad Valorem Tax (est.)")</f>
        <v>2013 Ad Valorem Tax (est.)</v>
      </c>
      <c r="I77" s="300"/>
      <c r="J77" s="297"/>
      <c r="K77" s="276">
        <f>IF(G77=E82,"","Note: Does not include Delinquent Taxes")</f>
      </c>
    </row>
    <row r="78" spans="2:10" ht="15.75">
      <c r="B78" s="4"/>
      <c r="C78" s="451" t="s">
        <v>216</v>
      </c>
      <c r="D78" s="452"/>
      <c r="E78" s="174"/>
      <c r="F78" s="302">
        <f>IF(E75/0.95-E75&lt;E78,"Exceeds 5%","")</f>
      </c>
      <c r="G78" s="303">
        <f>SUM(G75:G77)</f>
        <v>0</v>
      </c>
      <c r="H78" s="285" t="str">
        <f>CONCATENATE("Total ",E1," Resources Available")</f>
        <v>Total 2013 Resources Available</v>
      </c>
      <c r="I78" s="304"/>
      <c r="J78" s="297"/>
    </row>
    <row r="79" spans="2:10" ht="15.75">
      <c r="B79" s="224" t="str">
        <f>CONCATENATE(C95,"     ",D95)</f>
        <v>     </v>
      </c>
      <c r="C79" s="453" t="s">
        <v>217</v>
      </c>
      <c r="D79" s="454"/>
      <c r="E79" s="130">
        <f>E75+E78</f>
        <v>0</v>
      </c>
      <c r="G79" s="305"/>
      <c r="H79" s="306"/>
      <c r="I79" s="284"/>
      <c r="J79" s="297"/>
    </row>
    <row r="80" spans="2:10" ht="15.75">
      <c r="B80" s="224" t="str">
        <f>CONCATENATE(C96,"     ",D96)</f>
        <v>     </v>
      </c>
      <c r="C80" s="225"/>
      <c r="D80" s="65" t="s">
        <v>218</v>
      </c>
      <c r="E80" s="189">
        <f>IF(E79-E63&gt;0,E79-E63,0)</f>
        <v>0</v>
      </c>
      <c r="G80" s="307">
        <f>ROUND(C75*0.05+C75,0)</f>
        <v>0</v>
      </c>
      <c r="H80" s="306" t="str">
        <f>CONCATENATE("Less ",E1-2," Expenditures + 5%")</f>
        <v>Less 2011 Expenditures + 5%</v>
      </c>
      <c r="I80" s="304"/>
      <c r="J80" s="297"/>
    </row>
    <row r="81" spans="2:10" ht="15.75">
      <c r="B81" s="65"/>
      <c r="C81" s="230" t="s">
        <v>219</v>
      </c>
      <c r="D81" s="231">
        <f>'[1]inputOth'!E46</f>
        <v>0.02</v>
      </c>
      <c r="E81" s="130">
        <f>ROUND(IF(D81&gt;0,(E80*D81),0),0)</f>
        <v>0</v>
      </c>
      <c r="G81" s="308">
        <f>G78-G80</f>
        <v>0</v>
      </c>
      <c r="H81" s="309" t="str">
        <f>CONCATENATE("Projected ",E1+1," carryover (est.)")</f>
        <v>Projected 2014 carryover (est.)</v>
      </c>
      <c r="I81" s="310"/>
      <c r="J81" s="280"/>
    </row>
    <row r="82" spans="2:6" ht="16.5" thickBot="1">
      <c r="B82" s="1"/>
      <c r="C82" s="465" t="str">
        <f>CONCATENATE("Amount of  ",E1-1," Ad Valorem Tax")</f>
        <v>Amount of  2012 Ad Valorem Tax</v>
      </c>
      <c r="D82" s="466"/>
      <c r="E82" s="281">
        <f>E80+E81</f>
        <v>0</v>
      </c>
      <c r="F82" s="311" t="e">
        <f>IF('[1]Library Grant '!F33="","",IF('[1]Library Grant '!F33="Qualify","Qualifies for State Library Grant","See 'Library Grant' tab"))</f>
        <v>#REF!</v>
      </c>
    </row>
    <row r="83" spans="2:10" ht="16.5" thickTop="1">
      <c r="B83" s="1"/>
      <c r="C83" s="465"/>
      <c r="D83" s="465"/>
      <c r="E83" s="1"/>
      <c r="G83" s="456" t="s">
        <v>220</v>
      </c>
      <c r="H83" s="457"/>
      <c r="I83" s="457"/>
      <c r="J83" s="458"/>
    </row>
    <row r="84" spans="2:10" ht="15.75">
      <c r="B84" s="1"/>
      <c r="C84" s="282"/>
      <c r="D84" s="65"/>
      <c r="E84" s="65"/>
      <c r="G84" s="234"/>
      <c r="H84" s="235"/>
      <c r="I84" s="236"/>
      <c r="J84" s="237"/>
    </row>
    <row r="85" spans="2:10" ht="15.75">
      <c r="B85" s="4" t="s">
        <v>197</v>
      </c>
      <c r="C85" s="312">
        <v>8</v>
      </c>
      <c r="D85" s="91"/>
      <c r="E85" s="1"/>
      <c r="G85" s="238" t="e">
        <f>'[1]summ'!#REF!</f>
        <v>#REF!</v>
      </c>
      <c r="H85" s="235" t="str">
        <f>CONCATENATE("",E1," Fund Mill Rate")</f>
        <v>2013 Fund Mill Rate</v>
      </c>
      <c r="I85" s="236"/>
      <c r="J85" s="237"/>
    </row>
    <row r="86" spans="2:10" ht="15.75">
      <c r="B86" s="313"/>
      <c r="G86" s="239" t="e">
        <f>'[1]summ'!#REF!</f>
        <v>#REF!</v>
      </c>
      <c r="H86" s="235" t="str">
        <f>CONCATENATE("",E1-1," Fund Mill Rate")</f>
        <v>2012 Fund Mill Rate</v>
      </c>
      <c r="I86" s="236"/>
      <c r="J86" s="237"/>
    </row>
    <row r="87" spans="3:10" ht="15.75">
      <c r="C87" s="2"/>
      <c r="G87" s="240">
        <f>'[1]summ'!H42</f>
        <v>43.806000000000004</v>
      </c>
      <c r="H87" s="235" t="str">
        <f>CONCATENATE("Total ",E1," Mill Rate")</f>
        <v>Total 2013 Mill Rate</v>
      </c>
      <c r="I87" s="236"/>
      <c r="J87" s="237"/>
    </row>
    <row r="88" spans="2:10" ht="15.75">
      <c r="B88" s="2"/>
      <c r="G88" s="239">
        <f>'[1]summ'!E42</f>
        <v>42.510999999999996</v>
      </c>
      <c r="H88" s="241" t="str">
        <f>CONCATENATE("Total ",E1-1," Mill Rate")</f>
        <v>Total 2012 Mill Rate</v>
      </c>
      <c r="I88" s="242"/>
      <c r="J88" s="243"/>
    </row>
    <row r="92" spans="3:4" ht="15.75" hidden="1">
      <c r="C92" s="72">
        <f>IF(C35&gt;C37,"See Tab A","")</f>
      </c>
      <c r="D92" s="72">
        <f>IF(D35&gt;D37,"See Tab C","")</f>
      </c>
    </row>
    <row r="93" spans="3:4" ht="15.75" hidden="1">
      <c r="C93" s="72">
        <f>IF(C36&lt;0,"See Tab B","")</f>
      </c>
      <c r="D93" s="72">
        <f>IF(D36&lt;0,"See Tab D","")</f>
      </c>
    </row>
    <row r="94" ht="15.75" hidden="1"/>
    <row r="95" spans="3:4" ht="15.75" hidden="1">
      <c r="C95" s="72">
        <f>IF(C75&gt;C77,"See Tab A","")</f>
      </c>
      <c r="D95" s="72">
        <f>IF(D75&gt;D77,"See Tab C","")</f>
      </c>
    </row>
    <row r="96" spans="3:4" ht="15.75" hidden="1">
      <c r="C96" s="72">
        <f>IF(C76&lt;0,"See Tab B","")</f>
      </c>
      <c r="D96" s="72">
        <f>IF(D76&lt;0,"See Tab D","")</f>
      </c>
    </row>
  </sheetData>
  <sheetProtection/>
  <mergeCells count="14">
    <mergeCell ref="G73:J73"/>
    <mergeCell ref="C78:D78"/>
    <mergeCell ref="C79:D79"/>
    <mergeCell ref="C82:D82"/>
    <mergeCell ref="C83:D83"/>
    <mergeCell ref="G83:J83"/>
    <mergeCell ref="G66:J66"/>
    <mergeCell ref="G26:J26"/>
    <mergeCell ref="G33:J33"/>
    <mergeCell ref="C38:D38"/>
    <mergeCell ref="C39:D39"/>
    <mergeCell ref="C42:D42"/>
    <mergeCell ref="C43:D43"/>
    <mergeCell ref="G43:J43"/>
  </mergeCells>
  <conditionalFormatting sqref="E73">
    <cfRule type="cellIs" priority="20" dxfId="108" operator="greaterThan" stopIfTrue="1">
      <formula>$E$75*0.1</formula>
    </cfRule>
  </conditionalFormatting>
  <conditionalFormatting sqref="E78">
    <cfRule type="cellIs" priority="19" dxfId="108" operator="greaterThan" stopIfTrue="1">
      <formula>$E$75/0.95-$E$75</formula>
    </cfRule>
  </conditionalFormatting>
  <conditionalFormatting sqref="E33">
    <cfRule type="cellIs" priority="18" dxfId="108" operator="greaterThan" stopIfTrue="1">
      <formula>$E$35*0.1</formula>
    </cfRule>
  </conditionalFormatting>
  <conditionalFormatting sqref="E38">
    <cfRule type="cellIs" priority="17" dxfId="108" operator="greaterThan" stopIfTrue="1">
      <formula>$E$35/0.95-$E$35</formula>
    </cfRule>
  </conditionalFormatting>
  <conditionalFormatting sqref="C75">
    <cfRule type="cellIs" priority="16" dxfId="2" operator="greaterThan" stopIfTrue="1">
      <formula>$C$77</formula>
    </cfRule>
  </conditionalFormatting>
  <conditionalFormatting sqref="C76 C36">
    <cfRule type="cellIs" priority="15" dxfId="2" operator="lessThan" stopIfTrue="1">
      <formula>0</formula>
    </cfRule>
  </conditionalFormatting>
  <conditionalFormatting sqref="D75">
    <cfRule type="cellIs" priority="14" dxfId="2" operator="greaterThan" stopIfTrue="1">
      <formula>$D$77</formula>
    </cfRule>
  </conditionalFormatting>
  <conditionalFormatting sqref="C35">
    <cfRule type="cellIs" priority="13" dxfId="2" operator="greaterThan" stopIfTrue="1">
      <formula>$C$37</formula>
    </cfRule>
  </conditionalFormatting>
  <conditionalFormatting sqref="D35">
    <cfRule type="cellIs" priority="12" dxfId="2" operator="greaterThan" stopIfTrue="1">
      <formula>$D$37</formula>
    </cfRule>
  </conditionalFormatting>
  <conditionalFormatting sqref="C33">
    <cfRule type="cellIs" priority="11" dxfId="2" operator="greaterThan" stopIfTrue="1">
      <formula>$C$35*0.1</formula>
    </cfRule>
  </conditionalFormatting>
  <conditionalFormatting sqref="D33">
    <cfRule type="cellIs" priority="10" dxfId="2" operator="greaterThan" stopIfTrue="1">
      <formula>$D$35*0.1</formula>
    </cfRule>
  </conditionalFormatting>
  <conditionalFormatting sqref="C73">
    <cfRule type="cellIs" priority="9" dxfId="2" operator="greaterThan" stopIfTrue="1">
      <formula>$C$75*0.1</formula>
    </cfRule>
  </conditionalFormatting>
  <conditionalFormatting sqref="D73">
    <cfRule type="cellIs" priority="8" dxfId="2" operator="greaterThan" stopIfTrue="1">
      <formula>$D$75*0.1</formula>
    </cfRule>
  </conditionalFormatting>
  <conditionalFormatting sqref="D20">
    <cfRule type="cellIs" priority="7" dxfId="2" operator="greaterThan" stopIfTrue="1">
      <formula>$D$22*0.1</formula>
    </cfRule>
  </conditionalFormatting>
  <conditionalFormatting sqref="C20">
    <cfRule type="cellIs" priority="6" dxfId="2" operator="greaterThan" stopIfTrue="1">
      <formula>$C$22*0.1</formula>
    </cfRule>
  </conditionalFormatting>
  <conditionalFormatting sqref="E20">
    <cfRule type="cellIs" priority="5" dxfId="108" operator="greaterThan" stopIfTrue="1">
      <formula>$E$22*0.1+E42</formula>
    </cfRule>
  </conditionalFormatting>
  <conditionalFormatting sqref="C60">
    <cfRule type="cellIs" priority="4" dxfId="108" operator="greaterThan" stopIfTrue="1">
      <formula>$C$62*0.1</formula>
    </cfRule>
  </conditionalFormatting>
  <conditionalFormatting sqref="D60">
    <cfRule type="cellIs" priority="3" dxfId="108" operator="greaterThan" stopIfTrue="1">
      <formula>$D$62*0.1</formula>
    </cfRule>
  </conditionalFormatting>
  <conditionalFormatting sqref="E60">
    <cfRule type="cellIs" priority="2" dxfId="108" operator="greaterThan" stopIfTrue="1">
      <formula>$E$62*0.1+E82</formula>
    </cfRule>
  </conditionalFormatting>
  <conditionalFormatting sqref="D76 D36">
    <cfRule type="cellIs" priority="1" dxfId="0" operator="lessThan" stopIfTrue="1">
      <formula>0</formula>
    </cfRule>
  </conditionalFormatting>
  <printOptions/>
  <pageMargins left="0.75" right="0.75" top="1" bottom="1" header="0.5" footer="0.5"/>
  <pageSetup blackAndWhite="1" horizontalDpi="600" verticalDpi="600" orientation="portrait" scale="49" r:id="rId1"/>
  <headerFooter alignWithMargins="0">
    <oddHeader>&amp;RState of Kansas
City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Andale City Hall</dc:creator>
  <cp:keywords/>
  <dc:description/>
  <cp:lastModifiedBy>astjohn</cp:lastModifiedBy>
  <dcterms:created xsi:type="dcterms:W3CDTF">2012-08-09T19:41:24Z</dcterms:created>
  <dcterms:modified xsi:type="dcterms:W3CDTF">2014-01-21T14:40:38Z</dcterms:modified>
  <cp:category/>
  <cp:version/>
  <cp:contentType/>
  <cp:contentStatus/>
</cp:coreProperties>
</file>