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EmpBen" sheetId="16" r:id="rId16"/>
    <sheet name="levypage11" sheetId="17" r:id="rId17"/>
    <sheet name="levypage12" sheetId="18" r:id="rId18"/>
    <sheet name="nolevypage13" sheetId="19" r:id="rId19"/>
    <sheet name="nolevypage14" sheetId="20" r:id="rId20"/>
    <sheet name="Fema" sheetId="21" r:id="rId21"/>
    <sheet name="NonBudFunds" sheetId="22" r:id="rId22"/>
    <sheet name="summ" sheetId="23" r:id="rId23"/>
    <sheet name="Notice of Publication"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'summ'!$A$1:$H$45</definedName>
  </definedNames>
  <calcPr fullCalcOnLoad="1"/>
</workbook>
</file>

<file path=xl/sharedStrings.xml><?xml version="1.0" encoding="utf-8"?>
<sst xmlns="http://schemas.openxmlformats.org/spreadsheetml/2006/main" count="1514" uniqueCount="855">
  <si>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</si>
  <si>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</si>
  <si>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</si>
  <si>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</si>
  <si>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</si>
  <si>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</si>
  <si>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</si>
  <si>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</si>
  <si>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</si>
  <si>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</si>
  <si>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</si>
  <si>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</si>
  <si>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</si>
  <si>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</si>
  <si>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</si>
  <si>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</si>
  <si>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</si>
  <si>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</si>
  <si>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</si>
  <si>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</si>
  <si>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</si>
  <si>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</si>
  <si>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</si>
  <si>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</si>
  <si>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</si>
  <si>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</si>
  <si>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</si>
  <si>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</si>
  <si>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</si>
  <si>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</si>
  <si>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</si>
  <si>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</si>
  <si>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</si>
  <si>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</si>
  <si>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</si>
  <si>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</si>
  <si>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</si>
  <si>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</si>
  <si>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</si>
  <si>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</si>
  <si>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</si>
  <si>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</si>
  <si>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</si>
  <si>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</si>
  <si>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</si>
  <si>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</si>
  <si>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</si>
  <si>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</si>
  <si>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</si>
  <si>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</si>
  <si>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</si>
  <si>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</si>
  <si>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</si>
  <si>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</si>
  <si>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</si>
  <si>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</si>
  <si>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</si>
  <si>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</si>
  <si>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</si>
  <si>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</si>
  <si>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</si>
  <si>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</si>
  <si>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</si>
  <si>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</si>
  <si>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</si>
  <si>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</si>
  <si>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</si>
  <si>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</si>
  <si>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</si>
  <si>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</si>
  <si>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</si>
  <si>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</si>
  <si>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</si>
  <si>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</si>
  <si>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</si>
  <si>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</si>
  <si>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</si>
  <si>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</si>
  <si>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</si>
  <si>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</si>
  <si>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</si>
  <si>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</si>
  <si>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</si>
  <si>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</si>
  <si>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</si>
  <si>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</si>
  <si>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</si>
  <si>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</si>
  <si>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</si>
  <si>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</si>
  <si>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</si>
  <si>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</si>
  <si>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</si>
  <si>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</si>
  <si>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</si>
  <si>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</si>
  <si>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</si>
  <si>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</si>
  <si>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</si>
  <si>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</si>
  <si>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</si>
  <si>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</si>
  <si>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</si>
  <si>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</si>
  <si>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</si>
  <si>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</si>
  <si>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</si>
  <si>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</si>
  <si>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</si>
  <si>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</si>
  <si>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</si>
  <si>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</si>
  <si>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</si>
  <si>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</si>
  <si>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</si>
  <si>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</si>
  <si>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</si>
  <si>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</si>
  <si>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</si>
  <si>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</si>
  <si>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</si>
  <si>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</si>
  <si>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</si>
  <si>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</si>
  <si>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</si>
  <si>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</si>
  <si>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</si>
  <si>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</si>
  <si>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</si>
  <si>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</si>
  <si>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</si>
  <si>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</si>
  <si>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</si>
  <si>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</si>
  <si>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</si>
  <si>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</si>
  <si>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</si>
  <si>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</si>
  <si>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</si>
  <si>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</si>
  <si>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</si>
  <si>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</si>
  <si>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</si>
  <si>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</si>
  <si>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</si>
  <si>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</si>
  <si>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</si>
  <si>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</si>
  <si>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</si>
  <si>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</si>
  <si>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</si>
  <si>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</si>
  <si>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</si>
  <si>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</si>
  <si>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</si>
  <si>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</si>
  <si>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</si>
  <si>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</si>
  <si>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</si>
  <si>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</si>
  <si>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</si>
  <si>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</si>
  <si>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</si>
  <si>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</si>
  <si>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</si>
  <si>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</si>
  <si>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</si>
  <si>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</si>
  <si>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</si>
  <si>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</si>
  <si>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</si>
  <si>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</si>
  <si>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</si>
  <si>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</si>
  <si>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</si>
  <si>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</si>
  <si>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</si>
  <si>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</si>
  <si>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</si>
  <si>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</si>
  <si>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</si>
  <si>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</si>
  <si>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</si>
  <si>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</si>
  <si>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</si>
  <si>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</si>
  <si>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</si>
  <si>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</si>
  <si>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</si>
  <si>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</si>
  <si>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</si>
  <si>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</si>
  <si>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</si>
  <si>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</si>
  <si>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</si>
  <si>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</si>
  <si>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</si>
  <si>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</si>
  <si>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</si>
  <si>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</si>
  <si>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</si>
  <si>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</si>
  <si>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</si>
  <si>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</si>
  <si>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</si>
  <si>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</si>
  <si>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</si>
  <si>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</si>
  <si>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</si>
  <si>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</si>
  <si>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</si>
  <si>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</si>
  <si>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</si>
  <si>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</si>
  <si>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</si>
  <si>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</si>
  <si>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</si>
  <si>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</si>
  <si>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</si>
  <si>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</si>
  <si>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</si>
  <si>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</si>
  <si>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</si>
  <si>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</si>
  <si>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</si>
  <si>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</si>
  <si>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</si>
  <si>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</si>
  <si>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</si>
  <si>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</si>
  <si>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</si>
  <si>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</si>
  <si>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</si>
  <si>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</si>
  <si>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</si>
  <si>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</si>
  <si>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</si>
  <si>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</si>
  <si>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</si>
  <si>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</si>
  <si>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</si>
  <si>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</si>
  <si>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</si>
  <si>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</si>
  <si>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</si>
  <si>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</si>
  <si>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</si>
  <si>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</si>
  <si>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</si>
  <si>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</si>
  <si>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</si>
  <si>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</si>
  <si>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</si>
  <si>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</si>
  <si>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</si>
  <si>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</si>
  <si>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</si>
  <si>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</si>
  <si>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</si>
  <si>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</si>
  <si>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</si>
  <si>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</si>
  <si>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</si>
  <si>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</si>
  <si>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</si>
  <si>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</si>
  <si>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</si>
  <si>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</si>
  <si>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</si>
  <si>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</si>
  <si>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</si>
  <si>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</si>
  <si>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</si>
  <si>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</si>
  <si>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</si>
  <si>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</si>
  <si>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</si>
  <si>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</si>
  <si>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</si>
  <si>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</si>
  <si>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</si>
  <si>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</si>
  <si>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</si>
  <si>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</si>
  <si>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</si>
  <si>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</si>
  <si>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</si>
  <si>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</si>
  <si>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</si>
  <si>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</si>
  <si>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</si>
  <si>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</si>
  <si>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</si>
  <si>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</si>
  <si>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</si>
  <si>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</si>
  <si>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</si>
  <si>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</si>
  <si>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</si>
  <si>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</si>
  <si>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</si>
  <si>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</si>
  <si>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</si>
  <si>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</si>
  <si>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</si>
  <si>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</si>
  <si>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</si>
  <si>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</si>
  <si>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</si>
  <si>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</si>
  <si>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</si>
  <si>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</si>
  <si>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</si>
  <si>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</si>
  <si>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</si>
  <si>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</si>
  <si>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</si>
  <si>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</si>
  <si>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</si>
  <si>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</si>
  <si>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</si>
  <si>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</si>
  <si>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</si>
  <si>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</si>
  <si>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</si>
  <si>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</si>
  <si>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</si>
  <si>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</si>
  <si>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</si>
  <si>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</si>
  <si>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</si>
  <si>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</si>
  <si>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</si>
  <si>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</si>
  <si>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</si>
  <si>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</si>
  <si>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</si>
  <si>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</si>
  <si>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</si>
  <si>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</si>
  <si>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</si>
  <si>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</si>
  <si>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</si>
  <si>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</si>
  <si>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</si>
  <si>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</si>
  <si>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</si>
  <si>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</si>
  <si>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</si>
  <si>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</si>
  <si>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</si>
  <si>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</si>
  <si>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</si>
  <si>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</si>
  <si>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</si>
  <si>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</si>
  <si>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</si>
  <si>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</si>
  <si>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</si>
  <si>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</si>
  <si>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</si>
  <si>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</si>
  <si>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</si>
  <si>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</si>
  <si>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</si>
  <si>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</si>
  <si>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</si>
  <si>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</si>
  <si>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</si>
  <si>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</si>
  <si>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</si>
  <si>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</si>
  <si>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</si>
  <si>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</si>
  <si>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</si>
  <si>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</si>
  <si>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</si>
  <si>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</si>
  <si>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</si>
  <si>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</si>
  <si>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</si>
  <si>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</si>
  <si>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</si>
  <si>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</si>
  <si>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</si>
  <si>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</si>
  <si>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</si>
  <si>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</si>
  <si>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</si>
  <si>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</si>
  <si>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</si>
  <si>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</si>
  <si>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</si>
  <si>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</si>
  <si>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</si>
  <si>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</si>
  <si>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</si>
  <si>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</si>
  <si>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</si>
  <si>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</si>
  <si>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</si>
  <si>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</si>
  <si>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</si>
  <si>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</si>
  <si>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</si>
  <si>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</si>
  <si>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</si>
  <si>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</si>
  <si>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</si>
  <si>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</si>
  <si>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</si>
  <si>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</si>
  <si>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</si>
  <si>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</si>
  <si>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</si>
  <si>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</si>
  <si>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</si>
  <si>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</si>
  <si>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</si>
  <si>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</si>
  <si>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</si>
  <si>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</si>
  <si>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</si>
  <si>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</si>
  <si>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</si>
  <si>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</si>
  <si>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</si>
  <si>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</si>
  <si>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</si>
  <si>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</si>
  <si>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</si>
  <si>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</si>
  <si>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</si>
  <si>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</si>
  <si>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</si>
  <si>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</si>
  <si>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</si>
  <si>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</si>
  <si>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</si>
  <si>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</si>
  <si>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</si>
  <si>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</si>
  <si>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</si>
  <si>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</si>
  <si>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</si>
  <si>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</si>
  <si>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</si>
  <si>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</si>
  <si>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</si>
  <si>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</si>
  <si>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</si>
  <si>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</si>
  <si>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</si>
  <si>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</si>
  <si>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</si>
  <si>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</si>
  <si>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</si>
  <si>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</si>
  <si>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</si>
  <si>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</si>
  <si>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</si>
  <si>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</si>
  <si>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</si>
  <si>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</si>
  <si>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</si>
  <si>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</si>
  <si>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</si>
  <si>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</si>
  <si>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</si>
  <si>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</si>
  <si>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</si>
  <si>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</si>
  <si>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</si>
  <si>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</si>
  <si>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</si>
  <si>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</si>
  <si>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</si>
  <si>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</si>
  <si>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</si>
  <si>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</si>
  <si>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</si>
  <si>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</si>
  <si>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</si>
  <si>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</si>
  <si>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</si>
  <si>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</si>
  <si>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</si>
  <si>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</si>
  <si>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</si>
  <si>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</si>
  <si>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</si>
  <si>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</si>
  <si>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</si>
  <si>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</si>
  <si>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</si>
  <si>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</si>
  <si>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</si>
  <si>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</si>
  <si>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</si>
  <si>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</si>
  <si>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</si>
  <si>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</si>
  <si>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</si>
  <si>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</si>
  <si>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</si>
  <si>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</si>
  <si>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</si>
  <si>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</si>
  <si>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</si>
  <si>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</si>
  <si>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</si>
  <si>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</si>
  <si>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</si>
  <si>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</si>
  <si>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</si>
  <si>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</si>
  <si>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</si>
  <si>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</si>
  <si>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</si>
  <si>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</si>
  <si>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</si>
  <si>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</si>
  <si>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</si>
  <si>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</si>
  <si>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</si>
  <si>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</si>
  <si>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</si>
  <si>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</si>
  <si>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</si>
  <si>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</si>
  <si>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</si>
  <si>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</si>
  <si>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</si>
  <si>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</si>
  <si>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</si>
  <si>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</si>
  <si>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</si>
  <si>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</si>
  <si>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</si>
  <si>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</si>
  <si>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</si>
  <si>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</si>
  <si>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</si>
  <si>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</si>
  <si>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</si>
  <si>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</si>
  <si>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</si>
  <si>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</si>
  <si>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</si>
  <si>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</si>
  <si>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</si>
  <si>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</si>
  <si>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</si>
  <si>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</si>
  <si>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</si>
  <si>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</si>
  <si>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</si>
  <si>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</si>
  <si>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</si>
  <si>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</si>
  <si>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</si>
  <si>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</si>
  <si>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</si>
  <si>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</si>
  <si>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</si>
  <si>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</si>
  <si>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</si>
  <si>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</si>
  <si>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</si>
  <si>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</si>
  <si>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</si>
  <si>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</si>
  <si>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</si>
  <si>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</si>
  <si>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</si>
  <si>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</si>
  <si>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</si>
  <si>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</si>
  <si>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</si>
  <si>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</si>
  <si>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</si>
  <si>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</si>
  <si>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</si>
  <si>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</si>
  <si>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</si>
  <si>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</si>
  <si>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</si>
  <si>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</si>
  <si>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</si>
  <si>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</si>
  <si>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</si>
  <si>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</si>
  <si>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</si>
  <si>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</si>
  <si>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</si>
  <si>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</si>
  <si>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</si>
  <si>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</si>
  <si>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</si>
  <si>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</si>
  <si>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</si>
  <si>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</si>
  <si>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</si>
  <si>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</si>
  <si>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</si>
  <si>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</si>
  <si>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</si>
  <si>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</si>
  <si>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</si>
  <si>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</si>
  <si>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</si>
  <si>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</si>
  <si>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</si>
  <si>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</si>
  <si>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</si>
  <si>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</si>
  <si>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</si>
  <si>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</si>
  <si>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</si>
  <si>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</si>
  <si>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</si>
  <si>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</si>
  <si>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</si>
  <si>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</si>
  <si>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</si>
  <si>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</si>
  <si>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</si>
  <si>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</si>
  <si>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</si>
  <si>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</si>
  <si>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</si>
  <si>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</si>
  <si>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</si>
  <si>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</si>
  <si>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</si>
  <si>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</si>
  <si>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</si>
  <si>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</si>
  <si>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</si>
  <si>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</si>
  <si>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</si>
  <si>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</si>
  <si>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</si>
  <si>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</si>
  <si>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</si>
  <si>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</si>
  <si>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</si>
  <si>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</si>
  <si>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</si>
  <si>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</si>
  <si>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</si>
  <si>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</si>
  <si>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</si>
  <si>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</si>
  <si>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</si>
  <si>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</si>
  <si>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</si>
  <si>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</si>
  <si>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</si>
  <si>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</si>
  <si>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</si>
  <si>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</si>
  <si>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</si>
  <si>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</si>
  <si>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</si>
  <si>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</si>
  <si>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</si>
  <si>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</si>
  <si>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</si>
  <si>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</si>
  <si>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</si>
  <si>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</si>
  <si>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</si>
  <si>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</si>
  <si>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</si>
  <si>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</si>
  <si>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</si>
  <si>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</si>
  <si>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</si>
  <si>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</si>
  <si>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</si>
  <si>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</si>
  <si>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</si>
  <si>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</si>
  <si>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</si>
  <si>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</si>
  <si>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</si>
  <si>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</si>
  <si>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</si>
  <si>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</si>
  <si>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</si>
  <si>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</si>
  <si>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</si>
  <si>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</si>
  <si>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</si>
  <si>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</si>
  <si>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</si>
  <si>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</si>
  <si>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</si>
  <si>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</si>
  <si>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</si>
  <si>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</si>
  <si>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</si>
  <si>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</si>
  <si>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</si>
  <si>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</si>
  <si>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</si>
  <si>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</si>
  <si>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</si>
  <si>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</si>
  <si>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</si>
  <si>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</si>
  <si>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</si>
  <si>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</si>
  <si>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</si>
  <si>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</si>
  <si>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</si>
  <si>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</si>
  <si>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</si>
  <si>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</si>
  <si>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</si>
  <si>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</si>
  <si>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</si>
  <si>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</si>
  <si>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</si>
  <si>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</si>
  <si>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</si>
  <si>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</si>
  <si>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</si>
  <si>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</si>
  <si>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</si>
  <si>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</si>
  <si>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</si>
  <si>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</si>
  <si>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</si>
  <si>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</si>
  <si>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</si>
  <si>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</si>
  <si>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</si>
  <si>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</si>
  <si>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</si>
  <si>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</si>
  <si>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</si>
  <si>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</si>
  <si>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</si>
  <si>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</si>
  <si>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</si>
  <si>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</si>
  <si>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</si>
  <si>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</si>
  <si>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</si>
  <si>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</si>
  <si>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</si>
  <si>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</si>
  <si>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</si>
  <si>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</si>
  <si>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</si>
  <si>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</si>
  <si>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</si>
  <si>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</si>
  <si>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</si>
  <si>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</si>
  <si>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</si>
  <si>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</si>
  <si>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</si>
  <si>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</si>
  <si>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</si>
  <si>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</si>
  <si>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</si>
  <si>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</si>
  <si>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</si>
  <si>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</si>
  <si>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</si>
  <si>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</si>
  <si>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</si>
  <si>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</si>
  <si>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</si>
  <si>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</si>
  <si>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</si>
  <si>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</si>
  <si>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</si>
  <si>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</si>
  <si>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</si>
  <si>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</si>
  <si>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</si>
  <si>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</si>
  <si>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</si>
  <si>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</si>
  <si>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</si>
  <si>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</si>
  <si>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</si>
  <si>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</si>
  <si>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</si>
  <si>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</si>
  <si>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</si>
  <si>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</si>
  <si>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</si>
  <si>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</si>
  <si>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</si>
  <si>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</si>
  <si>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</si>
  <si>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</si>
  <si>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</si>
  <si>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</si>
  <si>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</si>
  <si>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</si>
  <si>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</si>
  <si>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</si>
  <si>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</si>
  <si>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</si>
  <si>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</si>
  <si>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</si>
  <si>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</si>
  <si>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</si>
  <si>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</si>
  <si>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</si>
  <si>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</si>
  <si>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</si>
  <si>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</si>
  <si>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</si>
  <si>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</si>
  <si>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</si>
  <si>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</si>
  <si>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</si>
  <si>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</si>
  <si>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</si>
  <si>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</si>
  <si>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Menlo Township</t>
  </si>
  <si>
    <t>Thomas County</t>
  </si>
  <si>
    <t>Menlo City</t>
  </si>
  <si>
    <t>Employee Benefit</t>
  </si>
  <si>
    <t>12-16-102</t>
  </si>
  <si>
    <t>Special Equipment Fund</t>
  </si>
  <si>
    <t>2010 CAT Grader 12M</t>
  </si>
  <si>
    <t>Antique Tax</t>
  </si>
  <si>
    <t>Special City &amp; CO Hwy</t>
  </si>
  <si>
    <t>Insurance Refund</t>
  </si>
  <si>
    <t>Contract Labor</t>
  </si>
  <si>
    <t>Fuel &amp; Oil</t>
  </si>
  <si>
    <t>Publications</t>
  </si>
  <si>
    <t>Fuel &amp; Supplies</t>
  </si>
  <si>
    <t>Workmans Comp Insurance</t>
  </si>
  <si>
    <t>August 14, 2011</t>
  </si>
  <si>
    <t xml:space="preserve">2.00 p.m. </t>
  </si>
  <si>
    <t>Loren Guill Residence, 1631 County Road 32, Menlo  KS 67753</t>
  </si>
  <si>
    <t>Loren Guill Residence</t>
  </si>
  <si>
    <t>Start up Road &amp; Bridge</t>
  </si>
  <si>
    <t>Start Up Transfer From General</t>
  </si>
  <si>
    <t>Fema State Reimbursement</t>
  </si>
  <si>
    <t>Fema Road Expense</t>
  </si>
  <si>
    <t>Susan Guill</t>
  </si>
  <si>
    <t>Deputy County Clerk</t>
  </si>
  <si>
    <t>300 N Court Ave</t>
  </si>
  <si>
    <t>Colby  Ks  67701</t>
  </si>
  <si>
    <t xml:space="preserve">                             Susan Guill,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</si>
</sst>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2.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132</v>
      </c>
    </row>
    <row r="4" ht="15.75">
      <c r="A4" s="220"/>
    </row>
    <row r="5" ht="52.5" customHeight="1">
      <c r="A5" s="221" t="s">
        <v>348</v>
      </c>
    </row>
    <row r="6" ht="15.75">
      <c r="A6" s="221"/>
    </row>
    <row r="7" ht="51" customHeight="1">
      <c r="A7" s="221" t="s">
        <v>367</v>
      </c>
    </row>
    <row r="8" ht="15.75">
      <c r="A8" s="221"/>
    </row>
    <row r="9" ht="15.75">
      <c r="A9" s="221" t="s">
        <v>133</v>
      </c>
    </row>
    <row r="12" ht="15.75">
      <c r="A12" s="218" t="s">
        <v>194</v>
      </c>
    </row>
    <row r="14" ht="15.75">
      <c r="A14" s="220" t="s">
        <v>195</v>
      </c>
    </row>
    <row r="17" ht="38.25" customHeight="1">
      <c r="A17" s="222" t="s">
        <v>320</v>
      </c>
    </row>
    <row r="18" ht="9.75" customHeight="1">
      <c r="A18" s="222"/>
    </row>
    <row r="21" ht="15.75">
      <c r="A21" s="218" t="s">
        <v>134</v>
      </c>
    </row>
    <row r="23" ht="34.5" customHeight="1">
      <c r="A23" s="221" t="s">
        <v>196</v>
      </c>
    </row>
    <row r="24" ht="9.75" customHeight="1">
      <c r="A24" s="221"/>
    </row>
    <row r="25" ht="15.75">
      <c r="A25" s="223" t="s">
        <v>135</v>
      </c>
    </row>
    <row r="26" ht="15.75">
      <c r="A26" s="221"/>
    </row>
    <row r="27" ht="17.25" customHeight="1">
      <c r="A27" s="224" t="s">
        <v>136</v>
      </c>
    </row>
    <row r="28" ht="17.25" customHeight="1">
      <c r="A28" s="225"/>
    </row>
    <row r="29" ht="87.75" customHeight="1">
      <c r="A29" s="226" t="s">
        <v>172</v>
      </c>
    </row>
    <row r="31" ht="15.75">
      <c r="A31" s="227" t="s">
        <v>137</v>
      </c>
    </row>
    <row r="33" ht="15.75">
      <c r="A33" s="155" t="s">
        <v>197</v>
      </c>
    </row>
    <row r="35" ht="15.75">
      <c r="A35" s="221" t="s">
        <v>138</v>
      </c>
    </row>
    <row r="36" ht="15.75">
      <c r="A36" s="221"/>
    </row>
    <row r="37" ht="72" customHeight="1">
      <c r="A37" s="221" t="s">
        <v>410</v>
      </c>
    </row>
    <row r="39" ht="15.75">
      <c r="A39" s="218" t="s">
        <v>139</v>
      </c>
    </row>
    <row r="41" ht="70.5" customHeight="1">
      <c r="A41" s="221" t="s">
        <v>796</v>
      </c>
    </row>
    <row r="42" ht="52.5" customHeight="1">
      <c r="A42" s="228" t="s">
        <v>140</v>
      </c>
    </row>
    <row r="43" ht="33" customHeight="1">
      <c r="A43" s="221" t="s">
        <v>171</v>
      </c>
    </row>
    <row r="44" ht="10.5" customHeight="1">
      <c r="A44" s="221"/>
    </row>
    <row r="45" ht="108" customHeight="1">
      <c r="A45" s="221" t="s">
        <v>797</v>
      </c>
    </row>
    <row r="46" ht="59.25" customHeight="1">
      <c r="A46" s="221" t="s">
        <v>141</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4" t="s">
        <v>798</v>
      </c>
    </row>
    <row r="74" ht="78.75" customHeight="1">
      <c r="A74" s="604" t="s">
        <v>799</v>
      </c>
    </row>
    <row r="75" ht="73.5" customHeight="1">
      <c r="A75" s="221" t="s">
        <v>800</v>
      </c>
    </row>
    <row r="76" ht="120.75" customHeight="1">
      <c r="A76" s="221" t="s">
        <v>801</v>
      </c>
    </row>
    <row r="77" ht="72.75" customHeight="1">
      <c r="A77" s="221" t="s">
        <v>802</v>
      </c>
    </row>
    <row r="78" ht="72.75" customHeight="1">
      <c r="A78" s="604" t="s">
        <v>803</v>
      </c>
    </row>
    <row r="79" ht="100.5" customHeight="1">
      <c r="A79" s="221" t="s">
        <v>804</v>
      </c>
    </row>
    <row r="80" ht="110.25" customHeight="1">
      <c r="A80" s="221" t="s">
        <v>805</v>
      </c>
    </row>
    <row r="81" ht="100.5" customHeight="1">
      <c r="A81" s="229" t="s">
        <v>806</v>
      </c>
    </row>
    <row r="82" ht="61.5" customHeight="1">
      <c r="A82" s="383" t="s">
        <v>807</v>
      </c>
    </row>
    <row r="83" ht="118.5" customHeight="1">
      <c r="A83" s="221" t="s">
        <v>808</v>
      </c>
    </row>
    <row r="84" ht="86.25" customHeight="1">
      <c r="A84" s="229" t="s">
        <v>809</v>
      </c>
    </row>
    <row r="85" ht="101.25" customHeight="1">
      <c r="A85" s="229" t="s">
        <v>810</v>
      </c>
    </row>
    <row r="86" ht="133.5" customHeight="1">
      <c r="A86" s="221" t="s">
        <v>811</v>
      </c>
    </row>
    <row r="87" ht="137.25" customHeight="1">
      <c r="A87" s="221" t="s">
        <v>812</v>
      </c>
    </row>
    <row r="88" ht="101.25" customHeight="1">
      <c r="A88" s="221" t="s">
        <v>813</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4" t="s">
        <v>820</v>
      </c>
    </row>
    <row r="98" ht="116.25" customHeight="1">
      <c r="A98" s="604" t="s">
        <v>821</v>
      </c>
    </row>
    <row r="99" ht="90" customHeight="1">
      <c r="A99" s="221" t="s">
        <v>814</v>
      </c>
    </row>
    <row r="100" ht="48.75" customHeight="1">
      <c r="A100" s="221" t="s">
        <v>815</v>
      </c>
    </row>
    <row r="101" ht="61.5" customHeight="1">
      <c r="A101" s="221" t="s">
        <v>816</v>
      </c>
    </row>
    <row r="102" ht="9" customHeight="1"/>
    <row r="103" ht="78.75" customHeight="1">
      <c r="A103" s="221" t="s">
        <v>428</v>
      </c>
    </row>
    <row r="105" ht="73.5" customHeight="1">
      <c r="A105" s="604" t="s">
        <v>817</v>
      </c>
    </row>
    <row r="106" ht="108" customHeight="1">
      <c r="A106" s="604" t="s">
        <v>818</v>
      </c>
    </row>
    <row r="107" ht="96" customHeight="1">
      <c r="A107" s="604" t="s">
        <v>819</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6">
      <selection activeCell="A25" sqref="A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Menlo Township</v>
      </c>
      <c r="B1" s="281"/>
      <c r="C1" s="281"/>
      <c r="D1" s="281"/>
      <c r="E1" s="281"/>
      <c r="F1" s="281"/>
      <c r="G1" s="281"/>
      <c r="H1" s="281"/>
      <c r="I1" s="66"/>
      <c r="J1" s="66"/>
      <c r="K1" s="231">
        <f>inputPrYr!D9</f>
        <v>2012</v>
      </c>
    </row>
    <row r="2" spans="1:11" ht="15.75">
      <c r="A2" s="280" t="str">
        <f>inputPrYr!$D$4</f>
        <v>Thomas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833</v>
      </c>
      <c r="B24" s="296">
        <v>40505</v>
      </c>
      <c r="C24" s="319">
        <v>72</v>
      </c>
      <c r="D24" s="297">
        <v>3.5</v>
      </c>
      <c r="E24" s="175">
        <v>165210</v>
      </c>
      <c r="F24" s="175">
        <v>165210</v>
      </c>
      <c r="G24" s="175">
        <v>10132</v>
      </c>
      <c r="H24" s="175">
        <v>10132</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165210</v>
      </c>
      <c r="G36" s="308">
        <f>SUM(G24:G35)</f>
        <v>10132</v>
      </c>
      <c r="H36" s="308">
        <f>SUM(H24:H35)</f>
        <v>10132</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30" sqref="E30"/>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Menlo Township</v>
      </c>
      <c r="C1" s="66"/>
      <c r="D1" s="66"/>
      <c r="E1" s="231">
        <f>inputPrYr!D9</f>
        <v>2012</v>
      </c>
    </row>
    <row r="2" spans="2:5" ht="15.75">
      <c r="B2" s="606" t="s">
        <v>795</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743</v>
      </c>
      <c r="D6" s="418">
        <f>C47</f>
        <v>-327</v>
      </c>
      <c r="E6" s="267">
        <f>D47</f>
        <v>2303</v>
      </c>
    </row>
    <row r="7" spans="2:5" ht="15.75">
      <c r="B7" s="82" t="s">
        <v>75</v>
      </c>
      <c r="C7" s="418"/>
      <c r="D7" s="418"/>
      <c r="E7" s="328"/>
    </row>
    <row r="8" spans="2:5" ht="15.75">
      <c r="B8" s="82" t="s">
        <v>290</v>
      </c>
      <c r="C8" s="326">
        <v>39696</v>
      </c>
      <c r="D8" s="418">
        <f>inputPrYr!E20</f>
        <v>4771</v>
      </c>
      <c r="E8" s="328" t="s">
        <v>269</v>
      </c>
    </row>
    <row r="9" spans="2:5" ht="15.75">
      <c r="B9" s="82" t="s">
        <v>291</v>
      </c>
      <c r="C9" s="326"/>
      <c r="D9" s="326"/>
      <c r="E9" s="175"/>
    </row>
    <row r="10" spans="2:5" ht="15.75">
      <c r="B10" s="82" t="s">
        <v>292</v>
      </c>
      <c r="C10" s="326">
        <v>1673</v>
      </c>
      <c r="D10" s="326">
        <v>1484</v>
      </c>
      <c r="E10" s="267">
        <f>mvalloc!G12</f>
        <v>236</v>
      </c>
    </row>
    <row r="11" spans="2:5" ht="15.75">
      <c r="B11" s="82" t="s">
        <v>293</v>
      </c>
      <c r="C11" s="326">
        <v>16</v>
      </c>
      <c r="D11" s="326">
        <v>13</v>
      </c>
      <c r="E11" s="267">
        <f>mvalloc!I12</f>
        <v>4</v>
      </c>
    </row>
    <row r="12" spans="2:5" ht="15.75">
      <c r="B12" s="329" t="s">
        <v>24</v>
      </c>
      <c r="C12" s="326">
        <v>372</v>
      </c>
      <c r="D12" s="326">
        <v>412</v>
      </c>
      <c r="E12" s="267">
        <f>mvalloc!J12</f>
        <v>59</v>
      </c>
    </row>
    <row r="13" spans="2:5" ht="15.75">
      <c r="B13" s="329" t="s">
        <v>116</v>
      </c>
      <c r="C13" s="326"/>
      <c r="D13" s="326"/>
      <c r="E13" s="267">
        <f>inputOth!E70</f>
        <v>0</v>
      </c>
    </row>
    <row r="14" spans="2:5" ht="15.75">
      <c r="B14" s="329" t="s">
        <v>117</v>
      </c>
      <c r="C14" s="326"/>
      <c r="D14" s="326"/>
      <c r="E14" s="267">
        <f>mvalloc!K12</f>
        <v>0</v>
      </c>
    </row>
    <row r="15" spans="2:5" ht="15.75">
      <c r="B15" s="82" t="s">
        <v>294</v>
      </c>
      <c r="C15" s="326"/>
      <c r="D15" s="326"/>
      <c r="E15" s="267">
        <f>inputOth!E32</f>
        <v>0</v>
      </c>
    </row>
    <row r="16" spans="2:5" ht="15.75">
      <c r="B16" s="330" t="s">
        <v>834</v>
      </c>
      <c r="C16" s="326">
        <v>17</v>
      </c>
      <c r="D16" s="326"/>
      <c r="E16" s="175"/>
    </row>
    <row r="17" spans="2:5" ht="15.75">
      <c r="B17" s="330" t="s">
        <v>835</v>
      </c>
      <c r="C17" s="326">
        <v>2989</v>
      </c>
      <c r="D17" s="326">
        <v>1000</v>
      </c>
      <c r="E17" s="175"/>
    </row>
    <row r="18" spans="2:5" ht="15.75">
      <c r="B18" s="331" t="s">
        <v>836</v>
      </c>
      <c r="C18" s="326">
        <v>135</v>
      </c>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44898</v>
      </c>
      <c r="D25" s="421">
        <f>SUM(D8:D23)</f>
        <v>7680</v>
      </c>
      <c r="E25" s="335">
        <f>SUM(E8:E23)</f>
        <v>299</v>
      </c>
    </row>
    <row r="26" spans="2:5" ht="15.75">
      <c r="B26" s="100" t="s">
        <v>298</v>
      </c>
      <c r="C26" s="421">
        <f>C25+C6</f>
        <v>45641</v>
      </c>
      <c r="D26" s="421">
        <f>D25+D6</f>
        <v>7353</v>
      </c>
      <c r="E26" s="335">
        <f>E25+E6</f>
        <v>2602</v>
      </c>
    </row>
    <row r="27" spans="2:5" ht="15.75">
      <c r="B27" s="82" t="s">
        <v>299</v>
      </c>
      <c r="C27" s="418"/>
      <c r="D27" s="418"/>
      <c r="E27" s="267"/>
    </row>
    <row r="28" spans="2:5" ht="15.75">
      <c r="B28" s="330" t="s">
        <v>839</v>
      </c>
      <c r="C28" s="326"/>
      <c r="D28" s="326">
        <v>250</v>
      </c>
      <c r="E28" s="175"/>
    </row>
    <row r="29" spans="2:5" ht="15.75">
      <c r="B29" s="331" t="s">
        <v>56</v>
      </c>
      <c r="C29" s="326">
        <v>1939</v>
      </c>
      <c r="D29" s="326">
        <v>1800</v>
      </c>
      <c r="E29" s="175">
        <v>2000</v>
      </c>
    </row>
    <row r="30" spans="2:5" ht="15.75">
      <c r="B30" s="331" t="s">
        <v>80</v>
      </c>
      <c r="C30" s="326">
        <v>9796</v>
      </c>
      <c r="D30" s="326"/>
      <c r="E30" s="175"/>
    </row>
    <row r="31" spans="2:5" ht="15.75">
      <c r="B31" s="331" t="s">
        <v>57</v>
      </c>
      <c r="C31" s="326"/>
      <c r="D31" s="326"/>
      <c r="E31" s="175"/>
    </row>
    <row r="32" spans="2:5" ht="15.75">
      <c r="B32" s="331" t="s">
        <v>310</v>
      </c>
      <c r="C32" s="326">
        <v>6217</v>
      </c>
      <c r="D32" s="326">
        <v>500</v>
      </c>
      <c r="E32" s="175">
        <v>2000</v>
      </c>
    </row>
    <row r="33" spans="2:5" ht="15.75">
      <c r="B33" s="330" t="s">
        <v>58</v>
      </c>
      <c r="C33" s="326">
        <v>16926</v>
      </c>
      <c r="D33" s="326"/>
      <c r="E33" s="175"/>
    </row>
    <row r="34" spans="2:5" ht="15.75">
      <c r="B34" s="330" t="s">
        <v>81</v>
      </c>
      <c r="C34" s="326"/>
      <c r="D34" s="326"/>
      <c r="E34" s="175"/>
    </row>
    <row r="35" spans="2:5" ht="15.75">
      <c r="B35" s="331" t="s">
        <v>82</v>
      </c>
      <c r="C35" s="326">
        <v>1416</v>
      </c>
      <c r="D35" s="326">
        <v>500</v>
      </c>
      <c r="E35" s="175">
        <v>2000</v>
      </c>
    </row>
    <row r="36" spans="2:5" ht="15.75">
      <c r="B36" s="331" t="s">
        <v>838</v>
      </c>
      <c r="C36" s="326">
        <v>1731</v>
      </c>
      <c r="D36" s="326">
        <v>2000</v>
      </c>
      <c r="E36" s="175">
        <v>2000</v>
      </c>
    </row>
    <row r="37" spans="2:5" ht="15.75">
      <c r="B37" s="330" t="s">
        <v>837</v>
      </c>
      <c r="C37" s="326">
        <v>182</v>
      </c>
      <c r="D37" s="326"/>
      <c r="E37" s="175"/>
    </row>
    <row r="38" spans="2:5" ht="15.75">
      <c r="B38" s="331" t="s">
        <v>846</v>
      </c>
      <c r="C38" s="326">
        <v>761</v>
      </c>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2" t="str">
        <f>CONCATENATE("Projected Carryover Into ",E1+1,"")</f>
        <v>Projected Carryover Into 2013</v>
      </c>
      <c r="H40" s="683"/>
      <c r="I40" s="683"/>
      <c r="J40" s="658"/>
    </row>
    <row r="41" spans="2:10" ht="15.75">
      <c r="B41" s="82" t="s">
        <v>203</v>
      </c>
      <c r="C41" s="326">
        <v>7000</v>
      </c>
      <c r="D41" s="326"/>
      <c r="E41" s="175"/>
      <c r="G41" s="607"/>
      <c r="H41" s="608"/>
      <c r="I41" s="608"/>
      <c r="J41" s="609"/>
    </row>
    <row r="42" spans="2:10" ht="15.75">
      <c r="B42" s="82" t="s">
        <v>756</v>
      </c>
      <c r="C42" s="420">
        <f>IF(C26*0.25&lt;C41,"Exceeds 25%","")</f>
      </c>
      <c r="D42" s="420">
        <f>IF(D26*0.25&lt;D41,"Exceeds 25%","")</f>
      </c>
      <c r="E42" s="336">
        <f>IF(E26*0.25+E53&lt;E41,"Exceeds 25%","")</f>
      </c>
      <c r="G42" s="610">
        <f>D47</f>
        <v>2303</v>
      </c>
      <c r="H42" s="611" t="str">
        <f>CONCATENATE("",E1-1," Ending Cash Balance (est.)")</f>
        <v>2011 Ending Cash Balance (est.)</v>
      </c>
      <c r="I42" s="612"/>
      <c r="J42" s="609"/>
    </row>
    <row r="43" spans="2:10" ht="15.75">
      <c r="B43" s="329" t="s">
        <v>244</v>
      </c>
      <c r="C43" s="326"/>
      <c r="D43" s="326"/>
      <c r="E43" s="186">
        <f>nhood!E6</f>
      </c>
      <c r="G43" s="610">
        <f>E25</f>
        <v>299</v>
      </c>
      <c r="H43" s="613" t="str">
        <f>CONCATENATE("",E1," Non-AV Receipts (est.)")</f>
        <v>2012 Non-AV Receipts (est.)</v>
      </c>
      <c r="I43" s="613"/>
      <c r="J43" s="609"/>
    </row>
    <row r="44" spans="2:10" ht="15.75">
      <c r="B44" s="329" t="s">
        <v>242</v>
      </c>
      <c r="C44" s="326"/>
      <c r="D44" s="326"/>
      <c r="E44" s="175"/>
      <c r="G44" s="614">
        <f>E53</f>
        <v>5398</v>
      </c>
      <c r="H44" s="613" t="str">
        <f>CONCATENATE("",E1," Ad Valorem Tax (est.)")</f>
        <v>2012 Ad Valorem Tax (est.)</v>
      </c>
      <c r="I44" s="613"/>
      <c r="J44" s="609"/>
    </row>
    <row r="45" spans="2:10" ht="15.75">
      <c r="B45" s="329" t="s">
        <v>757</v>
      </c>
      <c r="C45" s="420">
        <f>IF(C46*0.1&lt;C44,"Exceed 10% Rule","")</f>
      </c>
      <c r="D45" s="420">
        <f>IF(D46*0.1&lt;D44,"Exceed 10% Rule","")</f>
      </c>
      <c r="E45" s="336">
        <f>IF(E46*0.1&lt;E44,"Exceed 10% Rule","")</f>
      </c>
      <c r="G45" s="610">
        <f>SUM(G42:G44)</f>
        <v>8000</v>
      </c>
      <c r="H45" s="613" t="str">
        <f>CONCATENATE("Total ",E1," Resources Available")</f>
        <v>Total 2012 Resources Available</v>
      </c>
      <c r="I45" s="612"/>
      <c r="J45" s="609"/>
    </row>
    <row r="46" spans="2:10" ht="15.75">
      <c r="B46" s="100" t="s">
        <v>300</v>
      </c>
      <c r="C46" s="421">
        <f>SUM(C28:C39,C41,C43:C44)</f>
        <v>45968</v>
      </c>
      <c r="D46" s="421">
        <f>SUM(D28:D39,D41,D43:D44)</f>
        <v>5050</v>
      </c>
      <c r="E46" s="335">
        <f>SUM(E28:E39,E43:E44,E41)</f>
        <v>8000</v>
      </c>
      <c r="G46" s="615"/>
      <c r="H46" s="613"/>
      <c r="I46" s="613"/>
      <c r="J46" s="609"/>
    </row>
    <row r="47" spans="2:10" ht="15.75">
      <c r="B47" s="82" t="s">
        <v>74</v>
      </c>
      <c r="C47" s="422">
        <f>C26-C46</f>
        <v>-327</v>
      </c>
      <c r="D47" s="422">
        <f>D26-D46</f>
        <v>2303</v>
      </c>
      <c r="E47" s="328" t="s">
        <v>269</v>
      </c>
      <c r="G47" s="614">
        <f>C46*0.05+C46</f>
        <v>48266.4</v>
      </c>
      <c r="H47" s="613" t="str">
        <f>CONCATENATE("Less ",E1-2," Expenditures + 5%")</f>
        <v>Less 2010 Expenditures + 5%</v>
      </c>
      <c r="I47" s="612"/>
      <c r="J47" s="609"/>
    </row>
    <row r="48" spans="2:10" ht="15.75">
      <c r="B48" s="121" t="str">
        <f>CONCATENATE("",E1-2,"/",E1-1," Budget Authority Amount:")</f>
        <v>2010/2011 Budget Authority Amount:</v>
      </c>
      <c r="C48" s="362">
        <f>inputOth!B83</f>
        <v>45400</v>
      </c>
      <c r="D48" s="69">
        <f>inputPrYr!D20</f>
        <v>11100</v>
      </c>
      <c r="E48" s="328" t="s">
        <v>269</v>
      </c>
      <c r="F48" s="337"/>
      <c r="G48" s="616">
        <f>G45-G47</f>
        <v>-40266.4</v>
      </c>
      <c r="H48" s="617" t="str">
        <f>CONCATENATE("Projected ",E1+1," Carryover (est.)")</f>
        <v>Projected 2013 Carryover (est.)</v>
      </c>
      <c r="I48" s="618"/>
      <c r="J48" s="619"/>
    </row>
    <row r="49" spans="2:6" ht="15.75">
      <c r="B49" s="121"/>
      <c r="C49" s="676" t="s">
        <v>753</v>
      </c>
      <c r="D49" s="677"/>
      <c r="E49" s="175"/>
      <c r="F49" s="337">
        <f>IF(E46/0.95-E46&lt;E49,"Exceeds 5%","")</f>
      </c>
    </row>
    <row r="50" spans="2:10" ht="15.75">
      <c r="B50" s="532" t="str">
        <f>CONCATENATE(C70,"      ",D70)</f>
        <v>See Tab A      </v>
      </c>
      <c r="C50" s="678" t="s">
        <v>754</v>
      </c>
      <c r="D50" s="679"/>
      <c r="E50" s="267">
        <f>E46+E49</f>
        <v>8000</v>
      </c>
      <c r="G50" s="553">
        <f>IF(inputOth!E11=0,"",ROUND(gen!E53/inputOth!E11*1000,3))</f>
        <v>2.832</v>
      </c>
      <c r="H50" s="554" t="str">
        <f>CONCATENATE("Projected ",E1-1," Mill Rate (est.)")</f>
        <v>Projected 2011 Mill Rate (est.)</v>
      </c>
      <c r="I50" s="555"/>
      <c r="J50" s="556"/>
    </row>
    <row r="51" spans="2:10" ht="15.75">
      <c r="B51" s="532" t="str">
        <f>CONCATENATE(C71,"       ",D71)</f>
        <v>See Tab B       </v>
      </c>
      <c r="C51" s="535"/>
      <c r="D51" s="534" t="s">
        <v>302</v>
      </c>
      <c r="E51" s="186">
        <f>IF(E50-E26&gt;0,E50-E26,0)</f>
        <v>5398</v>
      </c>
      <c r="G51" s="557"/>
      <c r="H51" s="557"/>
      <c r="I51" s="557"/>
      <c r="J51" s="557"/>
    </row>
    <row r="52" spans="2:10" ht="15.75">
      <c r="B52" s="216"/>
      <c r="C52" s="533" t="s">
        <v>755</v>
      </c>
      <c r="D52" s="537">
        <f>inputOth!$E$77</f>
        <v>0</v>
      </c>
      <c r="E52" s="267">
        <f>ROUND(IF(D52&gt;0,(E51*D52),0),0)</f>
        <v>0</v>
      </c>
      <c r="G52" s="682" t="str">
        <f>CONCATENATE("Desired Carryover Into ",E1+1,"")</f>
        <v>Desired Carryover Into 2013</v>
      </c>
      <c r="H52" s="684"/>
      <c r="I52" s="684"/>
      <c r="J52" s="658"/>
    </row>
    <row r="53" spans="2:10" ht="15.75">
      <c r="B53" s="66"/>
      <c r="C53" s="680" t="str">
        <f>CONCATENATE("Amount of  ",$E$1-1," Ad Valorem Tax")</f>
        <v>Amount of  2011 Ad Valorem Tax</v>
      </c>
      <c r="D53" s="681"/>
      <c r="E53" s="186">
        <f>E51+E52</f>
        <v>5398</v>
      </c>
      <c r="G53" s="558"/>
      <c r="H53" s="541"/>
      <c r="I53" s="546"/>
      <c r="J53" s="559"/>
    </row>
    <row r="54" spans="2:10" ht="15.75">
      <c r="B54" s="66"/>
      <c r="C54" s="66"/>
      <c r="D54" s="66"/>
      <c r="E54" s="66"/>
      <c r="G54" s="560" t="s">
        <v>760</v>
      </c>
      <c r="H54" s="546"/>
      <c r="I54" s="546"/>
      <c r="J54" s="561">
        <v>0</v>
      </c>
    </row>
    <row r="55" spans="2:10" s="339" customFormat="1" ht="15.75">
      <c r="B55" s="73"/>
      <c r="C55" s="73"/>
      <c r="D55" s="274"/>
      <c r="E55" s="73"/>
      <c r="G55" s="558" t="s">
        <v>761</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t="str">
        <f>IF(C46&gt;C48,"See Tab A","")</f>
        <v>See Tab A</v>
      </c>
      <c r="D70" s="160">
        <f>IF(D46&gt;D48,"See Tab C","")</f>
      </c>
    </row>
    <row r="71" spans="3:4" ht="15.75" hidden="1">
      <c r="C71" s="160" t="str">
        <f>IF(C47&lt;0,"See Tab B","")</f>
        <v>See Tab B</v>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35">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Menlo Township</v>
      </c>
      <c r="C1" s="66"/>
      <c r="D1" s="66"/>
      <c r="E1" s="342">
        <f>inputPrYr!$D$9</f>
        <v>2012</v>
      </c>
    </row>
    <row r="2" spans="2:5" ht="15.75">
      <c r="B2" s="66"/>
      <c r="C2" s="66"/>
      <c r="D2" s="66"/>
      <c r="E2" s="216"/>
    </row>
    <row r="3" spans="2:5" ht="15.75">
      <c r="B3" s="606" t="s">
        <v>795</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98</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757</v>
      </c>
      <c r="C50" s="420">
        <f>IF(C51*0.1&lt;C49,"Exceed 10% Rule","")</f>
      </c>
      <c r="D50" s="420">
        <f>IF(D51*0.1&lt;D49,"Exceed 10% Rule","")</f>
      </c>
      <c r="E50" s="336">
        <f>IF(E51*0.1&lt;E49,"Exceed 10% Rule","")</f>
      </c>
      <c r="G50" s="685" t="str">
        <f>CONCATENATE("Projected Carryover Into ",E1+1,"")</f>
        <v>Projected Carryover Into 2013</v>
      </c>
      <c r="H50" s="686"/>
      <c r="I50" s="687"/>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76" t="s">
        <v>753</v>
      </c>
      <c r="D54" s="677"/>
      <c r="E54" s="175"/>
      <c r="F54" s="337">
        <f>IF(E51/0.95-E51&lt;E54,"Exceeds 5%","")</f>
      </c>
      <c r="G54" s="570">
        <f>E58</f>
        <v>0</v>
      </c>
      <c r="H54" s="569" t="str">
        <f>CONCATENATE("",E1," Ad Valorem Tax (est.)")</f>
        <v>2012 Ad Valorem Tax (est.)</v>
      </c>
      <c r="I54" s="542"/>
    </row>
    <row r="55" spans="2:9" ht="15.75">
      <c r="B55" s="532" t="str">
        <f>CONCATENATE(C68,"     ",D68)</f>
        <v>     </v>
      </c>
      <c r="C55" s="678" t="s">
        <v>754</v>
      </c>
      <c r="D55" s="679"/>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0" t="str">
        <f>CONCATENATE("Amount of  ",$E$1-1," Ad Valorem Tax")</f>
        <v>Amount of  2011 Ad Valorem Tax</v>
      </c>
      <c r="D58" s="681"/>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7">
      <selection activeCell="E31" sqref="E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Menlo Township</v>
      </c>
      <c r="C1" s="66"/>
      <c r="D1" s="66"/>
      <c r="E1" s="231">
        <f>inputPrYr!D9</f>
        <v>2012</v>
      </c>
    </row>
    <row r="2" spans="2:5" ht="15.75">
      <c r="B2" s="606" t="s">
        <v>795</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c r="D6" s="418">
        <f>C42</f>
        <v>761</v>
      </c>
      <c r="E6" s="267">
        <f>D42</f>
        <v>3210</v>
      </c>
    </row>
    <row r="7" spans="2:5" ht="15.75">
      <c r="B7" s="82" t="s">
        <v>75</v>
      </c>
      <c r="C7" s="418"/>
      <c r="D7" s="418"/>
      <c r="E7" s="328"/>
    </row>
    <row r="8" spans="2:5" ht="15.75">
      <c r="B8" s="82" t="s">
        <v>290</v>
      </c>
      <c r="C8" s="326"/>
      <c r="D8" s="418">
        <f>inputPrYr!E22</f>
        <v>40581</v>
      </c>
      <c r="E8" s="328" t="s">
        <v>269</v>
      </c>
    </row>
    <row r="9" spans="2:5" ht="15.75">
      <c r="B9" s="82" t="s">
        <v>291</v>
      </c>
      <c r="C9" s="326"/>
      <c r="D9" s="326"/>
      <c r="E9" s="175"/>
    </row>
    <row r="10" spans="2:5" ht="15.75">
      <c r="B10" s="82" t="s">
        <v>292</v>
      </c>
      <c r="C10" s="326"/>
      <c r="D10" s="326"/>
      <c r="E10" s="267">
        <f>mvalloc!G14</f>
        <v>2009</v>
      </c>
    </row>
    <row r="11" spans="2:5" ht="15.75">
      <c r="B11" s="82" t="s">
        <v>293</v>
      </c>
      <c r="C11" s="326"/>
      <c r="D11" s="326"/>
      <c r="E11" s="267">
        <f>mvalloc!I14</f>
        <v>31</v>
      </c>
    </row>
    <row r="12" spans="2:5" ht="15.75">
      <c r="B12" s="82" t="s">
        <v>54</v>
      </c>
      <c r="C12" s="326"/>
      <c r="D12" s="326"/>
      <c r="E12" s="267">
        <f>mvalloc!J14</f>
        <v>499</v>
      </c>
    </row>
    <row r="13" spans="2:5" ht="15.75">
      <c r="B13" s="82" t="s">
        <v>117</v>
      </c>
      <c r="C13" s="326"/>
      <c r="D13" s="326"/>
      <c r="E13" s="267">
        <f>mvalloc!K14</f>
        <v>0</v>
      </c>
    </row>
    <row r="14" spans="2:5" ht="15.75">
      <c r="B14" s="82" t="s">
        <v>55</v>
      </c>
      <c r="C14" s="326"/>
      <c r="D14" s="326"/>
      <c r="E14" s="267">
        <f>inputOth!E72</f>
        <v>0</v>
      </c>
    </row>
    <row r="15" spans="2:5" ht="15.75">
      <c r="B15" s="331" t="s">
        <v>847</v>
      </c>
      <c r="C15" s="326">
        <v>761</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761</v>
      </c>
      <c r="D23" s="421">
        <f>SUM(D8:D21)</f>
        <v>40581</v>
      </c>
      <c r="E23" s="335">
        <f>SUM(E8:E21)</f>
        <v>2539</v>
      </c>
    </row>
    <row r="24" spans="2:5" ht="15.75">
      <c r="B24" s="100" t="s">
        <v>298</v>
      </c>
      <c r="C24" s="421">
        <f>C23+C6</f>
        <v>761</v>
      </c>
      <c r="D24" s="421">
        <f>D23+D6</f>
        <v>41342</v>
      </c>
      <c r="E24" s="335">
        <f>E23+E6</f>
        <v>5749</v>
      </c>
    </row>
    <row r="25" spans="2:5" ht="15.75">
      <c r="B25" s="82" t="s">
        <v>299</v>
      </c>
      <c r="C25" s="418"/>
      <c r="D25" s="418"/>
      <c r="E25" s="267"/>
    </row>
    <row r="26" spans="2:5" ht="15.75">
      <c r="B26" s="331"/>
      <c r="C26" s="326"/>
      <c r="D26" s="326"/>
      <c r="E26" s="175"/>
    </row>
    <row r="27" spans="2:5" ht="15.75">
      <c r="B27" s="331" t="s">
        <v>56</v>
      </c>
      <c r="C27" s="326"/>
      <c r="D27" s="326"/>
      <c r="E27" s="175"/>
    </row>
    <row r="28" spans="2:5" ht="15.75">
      <c r="B28" s="331" t="s">
        <v>80</v>
      </c>
      <c r="C28" s="326"/>
      <c r="D28" s="326">
        <v>15000</v>
      </c>
      <c r="E28" s="175">
        <v>15000</v>
      </c>
    </row>
    <row r="29" spans="2:5" ht="15.75">
      <c r="B29" s="330" t="s">
        <v>57</v>
      </c>
      <c r="C29" s="326"/>
      <c r="D29" s="326"/>
      <c r="E29" s="175"/>
    </row>
    <row r="30" spans="2:5" ht="15.75">
      <c r="B30" s="331" t="s">
        <v>840</v>
      </c>
      <c r="C30" s="326"/>
      <c r="D30" s="326">
        <v>9000</v>
      </c>
      <c r="E30" s="175">
        <v>12427</v>
      </c>
    </row>
    <row r="31" spans="2:5" ht="15.75">
      <c r="B31" s="331" t="s">
        <v>60</v>
      </c>
      <c r="C31" s="326"/>
      <c r="D31" s="326">
        <v>4000</v>
      </c>
      <c r="E31" s="175">
        <v>5000</v>
      </c>
    </row>
    <row r="32" spans="2:5" ht="15.75">
      <c r="B32" s="331" t="s">
        <v>58</v>
      </c>
      <c r="C32" s="326"/>
      <c r="D32" s="326">
        <v>10132</v>
      </c>
      <c r="E32" s="175">
        <v>12405</v>
      </c>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762</v>
      </c>
      <c r="C37" s="420">
        <f>IF(C24*0.25&lt;C36,"Exceeds 25%","")</f>
      </c>
      <c r="D37" s="420">
        <f>IF(D24*0.25&lt;D36,"Exceeds 25%","")</f>
      </c>
      <c r="E37" s="336">
        <f>IF(E24*0.25+E48&lt;E36,"Exceeds 25%","")</f>
      </c>
      <c r="G37" s="682" t="str">
        <f>CONCATENATE("Projected Carryover Into ",E1+1,"")</f>
        <v>Projected Carryover Into 2013</v>
      </c>
      <c r="H37" s="683"/>
      <c r="I37" s="683"/>
      <c r="J37" s="658"/>
    </row>
    <row r="38" spans="2:10" ht="15.75">
      <c r="B38" s="329" t="s">
        <v>244</v>
      </c>
      <c r="C38" s="326"/>
      <c r="D38" s="326"/>
      <c r="E38" s="186">
        <f>nhood!E8</f>
      </c>
      <c r="G38" s="540"/>
      <c r="H38" s="541"/>
      <c r="I38" s="541"/>
      <c r="J38" s="542"/>
    </row>
    <row r="39" spans="2:10" ht="15.75">
      <c r="B39" s="329" t="s">
        <v>242</v>
      </c>
      <c r="C39" s="326"/>
      <c r="D39" s="326"/>
      <c r="E39" s="175"/>
      <c r="G39" s="543">
        <f>D42</f>
        <v>3210</v>
      </c>
      <c r="H39" s="544" t="str">
        <f>CONCATENATE("",E1-1," Ending Cash Balance (est.)")</f>
        <v>2011 Ending Cash Balance (est.)</v>
      </c>
      <c r="I39" s="545"/>
      <c r="J39" s="542"/>
    </row>
    <row r="40" spans="2:10" ht="15.75">
      <c r="B40" s="329" t="s">
        <v>757</v>
      </c>
      <c r="C40" s="420">
        <f>IF(C41*0.1&lt;C39,"Exceed 10% Rule","")</f>
      </c>
      <c r="D40" s="420">
        <f>IF(D41*0.1&lt;D39,"Exceed 10% Rule","")</f>
      </c>
      <c r="E40" s="336">
        <f>IF(E41*0.1&lt;E39,"Exceed 10% Rule","")</f>
      </c>
      <c r="G40" s="543">
        <f>E23</f>
        <v>2539</v>
      </c>
      <c r="H40" s="546" t="str">
        <f>CONCATENATE("",E1," Non-AV Receipts (est.)")</f>
        <v>2012 Non-AV Receipts (est.)</v>
      </c>
      <c r="I40" s="545"/>
      <c r="J40" s="542"/>
    </row>
    <row r="41" spans="2:10" ht="15.75">
      <c r="B41" s="100" t="s">
        <v>300</v>
      </c>
      <c r="C41" s="421">
        <f>SUM(C26:C39)</f>
        <v>0</v>
      </c>
      <c r="D41" s="421">
        <f>SUM(D26:D39)</f>
        <v>38132</v>
      </c>
      <c r="E41" s="335">
        <f>SUM(E26:E36,E39)</f>
        <v>44832</v>
      </c>
      <c r="G41" s="547">
        <f>E48</f>
        <v>39083</v>
      </c>
      <c r="H41" s="546" t="str">
        <f>CONCATENATE("",E1," Ad Valorem Tax (est.)")</f>
        <v>2012 Ad Valorem Tax (est.)</v>
      </c>
      <c r="I41" s="545"/>
      <c r="J41" s="542"/>
    </row>
    <row r="42" spans="2:10" ht="15.75">
      <c r="B42" s="82" t="s">
        <v>74</v>
      </c>
      <c r="C42" s="422">
        <f>C24-C41</f>
        <v>761</v>
      </c>
      <c r="D42" s="422">
        <f>D24-D41</f>
        <v>3210</v>
      </c>
      <c r="E42" s="328" t="s">
        <v>269</v>
      </c>
      <c r="G42" s="543">
        <f>SUM(G39:G41)</f>
        <v>44832</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40581</v>
      </c>
      <c r="E43" s="328" t="s">
        <v>269</v>
      </c>
      <c r="F43" s="337"/>
      <c r="G43" s="548"/>
      <c r="H43" s="546"/>
      <c r="I43" s="546"/>
      <c r="J43" s="542"/>
    </row>
    <row r="44" spans="2:10" ht="15.75">
      <c r="B44" s="121"/>
      <c r="C44" s="676" t="s">
        <v>753</v>
      </c>
      <c r="D44" s="677"/>
      <c r="E44" s="175"/>
      <c r="F44" s="337">
        <f>IF(E41/0.95-E41&lt;E44,"Exceeds 5%","")</f>
      </c>
      <c r="G44" s="547">
        <f>C41*0.05+C41</f>
        <v>0</v>
      </c>
      <c r="H44" s="546" t="str">
        <f>CONCATENATE("Less ",E1-2," Expenditures + 5%")</f>
        <v>Less 2010 Expenditures + 5%</v>
      </c>
      <c r="I44" s="545"/>
      <c r="J44" s="542"/>
    </row>
    <row r="45" spans="2:10" ht="15.75">
      <c r="B45" s="532" t="str">
        <f>CONCATENATE(C70,"     ",D70)</f>
        <v>     </v>
      </c>
      <c r="C45" s="678" t="s">
        <v>754</v>
      </c>
      <c r="D45" s="679"/>
      <c r="E45" s="267">
        <f>E41+E44</f>
        <v>44832</v>
      </c>
      <c r="G45" s="549">
        <f>G42-G44</f>
        <v>44832</v>
      </c>
      <c r="H45" s="550" t="str">
        <f>CONCATENATE("Projected ",E1+1," Carryover (est.)")</f>
        <v>Projected 2013 Carryover (est.)</v>
      </c>
      <c r="I45" s="551"/>
      <c r="J45" s="552"/>
    </row>
    <row r="46" spans="2:5" ht="15.75">
      <c r="B46" s="532" t="str">
        <f>CONCATENATE(C71,"     ",D71)</f>
        <v>     </v>
      </c>
      <c r="C46" s="535"/>
      <c r="D46" s="534" t="s">
        <v>302</v>
      </c>
      <c r="E46" s="186">
        <f>IF(E45-E24&gt;0,E45-E24,0)</f>
        <v>39083</v>
      </c>
    </row>
    <row r="47" spans="2:10" ht="15.75">
      <c r="B47" s="216"/>
      <c r="C47" s="533" t="s">
        <v>755</v>
      </c>
      <c r="D47" s="537">
        <f>inputOth!$E$77</f>
        <v>0</v>
      </c>
      <c r="E47" s="267">
        <f>ROUND(IF(D47&gt;0,(E46*D47),0),0)</f>
        <v>0</v>
      </c>
      <c r="G47" s="553">
        <f>IF(inputOth!E8=0,"",ROUND(E48/inputOth!E8*1000,3))</f>
        <v>24.153</v>
      </c>
      <c r="H47" s="554" t="str">
        <f>CONCATENATE("Projected ",E1-1," Mill Rate (est.)")</f>
        <v>Projected 2011 Mill Rate (est.)</v>
      </c>
      <c r="I47" s="555"/>
      <c r="J47" s="556"/>
    </row>
    <row r="48" spans="2:10" ht="15.75">
      <c r="B48" s="66"/>
      <c r="C48" s="680" t="str">
        <f>CONCATENATE("Amount of  ",$E$1-1," Ad Valorem Tax")</f>
        <v>Amount of  2011 Ad Valorem Tax</v>
      </c>
      <c r="D48" s="681"/>
      <c r="E48" s="186">
        <f>E46+E47</f>
        <v>39083</v>
      </c>
      <c r="G48" s="557"/>
      <c r="H48" s="557"/>
      <c r="I48" s="557"/>
      <c r="J48" s="557"/>
    </row>
    <row r="49" spans="2:10" ht="15.75">
      <c r="B49" s="66"/>
      <c r="C49" s="66"/>
      <c r="D49" s="66"/>
      <c r="E49" s="66"/>
      <c r="G49" s="682" t="str">
        <f>CONCATENATE("Desired Carryover Into ",E1+1,"")</f>
        <v>Desired Carryover Into 2013</v>
      </c>
      <c r="H49" s="684"/>
      <c r="I49" s="684"/>
      <c r="J49" s="658"/>
    </row>
    <row r="50" spans="2:10" ht="15.75">
      <c r="B50" s="66"/>
      <c r="C50" s="66"/>
      <c r="D50" s="66"/>
      <c r="E50" s="66"/>
      <c r="G50" s="558"/>
      <c r="H50" s="541"/>
      <c r="I50" s="546"/>
      <c r="J50" s="559"/>
    </row>
    <row r="51" spans="2:10" ht="15.75">
      <c r="B51" s="161" t="s">
        <v>304</v>
      </c>
      <c r="C51" s="209">
        <f>E1-2</f>
        <v>2010</v>
      </c>
      <c r="D51" s="66"/>
      <c r="E51" s="66"/>
      <c r="G51" s="560" t="s">
        <v>760</v>
      </c>
      <c r="H51" s="546"/>
      <c r="I51" s="546"/>
      <c r="J51" s="561">
        <v>0</v>
      </c>
    </row>
    <row r="52" spans="2:10" ht="15.75">
      <c r="B52" s="79" t="s">
        <v>305</v>
      </c>
      <c r="C52" s="81" t="s">
        <v>306</v>
      </c>
      <c r="D52" s="66"/>
      <c r="E52" s="66"/>
      <c r="G52" s="558" t="s">
        <v>761</v>
      </c>
      <c r="H52" s="541"/>
      <c r="I52" s="541"/>
      <c r="J52" s="562">
        <f>IF(J51=0,"",ROUND((J51+E48-G45)/inputOth!E8*1000,3)-G47)</f>
      </c>
    </row>
    <row r="53" spans="2:10" ht="15.75">
      <c r="B53" s="108" t="s">
        <v>288</v>
      </c>
      <c r="C53" s="531"/>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88">
        <f>IF(AND(gen!C39&gt;0,gen!C41&gt;0),"Not Auth. Two General Transfers - Only One","")</f>
      </c>
      <c r="E56" s="66"/>
    </row>
    <row r="57" spans="2:5" ht="15.75">
      <c r="B57" s="108" t="s">
        <v>206</v>
      </c>
      <c r="C57" s="526">
        <f>IF(gen!C41&gt;0,gen!C41,0)</f>
        <v>7000</v>
      </c>
      <c r="D57" s="689"/>
      <c r="E57" s="66"/>
    </row>
    <row r="58" spans="2:5" ht="15.75">
      <c r="B58" s="177"/>
      <c r="C58" s="531"/>
      <c r="D58" s="66"/>
      <c r="E58" s="66"/>
    </row>
    <row r="59" spans="2:5" ht="15.75">
      <c r="B59" s="177" t="s">
        <v>296</v>
      </c>
      <c r="C59" s="531"/>
      <c r="D59" s="66"/>
      <c r="E59" s="66"/>
    </row>
    <row r="60" spans="2:5" ht="15.75">
      <c r="B60" s="177" t="s">
        <v>295</v>
      </c>
      <c r="C60" s="531"/>
      <c r="D60" s="66"/>
      <c r="E60" s="66"/>
    </row>
    <row r="61" spans="2:5" ht="15.75">
      <c r="B61" s="354" t="s">
        <v>298</v>
      </c>
      <c r="C61" s="524">
        <f>SUM(C53,C55:C60)</f>
        <v>7000</v>
      </c>
      <c r="D61" s="66"/>
      <c r="E61" s="66"/>
    </row>
    <row r="62" spans="2:5" ht="15.75">
      <c r="B62" s="354" t="s">
        <v>300</v>
      </c>
      <c r="C62" s="531"/>
      <c r="D62" s="66"/>
      <c r="E62" s="66"/>
    </row>
    <row r="63" spans="2:5" ht="15.75">
      <c r="B63" s="354" t="s">
        <v>301</v>
      </c>
      <c r="C63" s="524">
        <f>C61-C62</f>
        <v>7000</v>
      </c>
      <c r="D63" s="66"/>
      <c r="E63" s="66"/>
    </row>
    <row r="64" spans="2:5" ht="15.75">
      <c r="B64" s="66"/>
      <c r="C64" s="66"/>
      <c r="D64" s="66"/>
      <c r="E64" s="66"/>
    </row>
    <row r="65" spans="2:5" ht="15.75">
      <c r="B65" s="216" t="s">
        <v>283</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0">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Menlo Township</v>
      </c>
      <c r="C1" s="74" t="s">
        <v>309</v>
      </c>
      <c r="D1" s="66"/>
      <c r="E1" s="231">
        <f>inputPrYr!D9</f>
        <v>2012</v>
      </c>
    </row>
    <row r="2" spans="2:5" ht="15.75">
      <c r="B2" s="606" t="s">
        <v>795</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757</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76" t="s">
        <v>753</v>
      </c>
      <c r="D34" s="677"/>
      <c r="E34" s="175"/>
      <c r="F34" s="337">
        <f>IF(E31/0.95-E31&lt;E34,"Exceeds 5%","")</f>
      </c>
    </row>
    <row r="35" spans="2:5" ht="15.75">
      <c r="B35" s="532" t="str">
        <f>CONCATENATE(C79,"     ",D79)</f>
        <v>     </v>
      </c>
      <c r="C35" s="678" t="s">
        <v>754</v>
      </c>
      <c r="D35" s="679"/>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757</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76" t="s">
        <v>753</v>
      </c>
      <c r="D70" s="677"/>
      <c r="E70" s="175"/>
      <c r="F70" s="337">
        <f>IF(E67/0.95-E67&lt;E70,"Exceeds 5%","")</f>
      </c>
    </row>
    <row r="71" spans="2:5" ht="15.75">
      <c r="B71" s="532" t="str">
        <f>CONCATENATE(C81,"     ",D81)</f>
        <v>     </v>
      </c>
      <c r="C71" s="678" t="s">
        <v>754</v>
      </c>
      <c r="D71" s="679"/>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3">
      <selection activeCell="E61" sqref="E6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Menlo Township</v>
      </c>
      <c r="C1" s="66"/>
      <c r="D1" s="66"/>
      <c r="E1" s="231">
        <f>inputPrYr!D9</f>
        <v>2012</v>
      </c>
    </row>
    <row r="2" spans="2:5" ht="15.75">
      <c r="B2" s="606" t="s">
        <v>795</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757</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76" t="s">
        <v>753</v>
      </c>
      <c r="D34" s="677"/>
      <c r="E34" s="175"/>
      <c r="F34" s="337">
        <f>IF(E31/0.95-E31&lt;E34,"Exceeds 5%","")</f>
      </c>
    </row>
    <row r="35" spans="2:5" ht="15.75">
      <c r="B35" s="532" t="str">
        <f>CONCATENATE(C79,"     ",D79)</f>
        <v>     </v>
      </c>
      <c r="C35" s="678" t="s">
        <v>754</v>
      </c>
      <c r="D35" s="679"/>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284</v>
      </c>
      <c r="C39" s="72"/>
      <c r="D39" s="72"/>
      <c r="E39" s="72"/>
    </row>
    <row r="40" spans="2:5" ht="15.75">
      <c r="B40" s="66"/>
      <c r="C40" s="416" t="s">
        <v>285</v>
      </c>
      <c r="D40" s="419" t="s">
        <v>286</v>
      </c>
      <c r="E40" s="76" t="s">
        <v>287</v>
      </c>
    </row>
    <row r="41" spans="2:5" ht="15.75">
      <c r="B41" s="518" t="str">
        <f>inputPrYr!B26</f>
        <v>Employee Benefit</v>
      </c>
      <c r="C41" s="417" t="str">
        <f>C5</f>
        <v>Actual 2010</v>
      </c>
      <c r="D41" s="417" t="str">
        <f>D5</f>
        <v>Estimate 2011</v>
      </c>
      <c r="E41" s="81" t="str">
        <f>E5</f>
        <v>Year 2012</v>
      </c>
    </row>
    <row r="42" spans="2:5" ht="15.75">
      <c r="B42" s="82" t="s">
        <v>73</v>
      </c>
      <c r="C42" s="326">
        <v>3062</v>
      </c>
      <c r="D42" s="418">
        <f>C68</f>
        <v>1384</v>
      </c>
      <c r="E42" s="267">
        <f>D68</f>
        <v>297</v>
      </c>
    </row>
    <row r="43" spans="2:5" ht="15.75">
      <c r="B43" s="82" t="s">
        <v>75</v>
      </c>
      <c r="C43" s="418"/>
      <c r="D43" s="418"/>
      <c r="E43" s="328"/>
    </row>
    <row r="44" spans="2:5" ht="15.75">
      <c r="B44" s="82" t="s">
        <v>290</v>
      </c>
      <c r="C44" s="326">
        <v>2388</v>
      </c>
      <c r="D44" s="418">
        <f>inputPrYr!E26</f>
        <v>2704</v>
      </c>
      <c r="E44" s="328" t="s">
        <v>269</v>
      </c>
    </row>
    <row r="45" spans="2:5" ht="15.75">
      <c r="B45" s="82" t="s">
        <v>291</v>
      </c>
      <c r="C45" s="326"/>
      <c r="D45" s="326"/>
      <c r="E45" s="175"/>
    </row>
    <row r="46" spans="2:5" ht="15.75">
      <c r="B46" s="82" t="s">
        <v>292</v>
      </c>
      <c r="C46" s="326">
        <v>155</v>
      </c>
      <c r="D46" s="326">
        <v>158</v>
      </c>
      <c r="E46" s="267">
        <f>mvalloc!G18</f>
        <v>134</v>
      </c>
    </row>
    <row r="47" spans="2:5" ht="15.75">
      <c r="B47" s="82" t="s">
        <v>293</v>
      </c>
      <c r="C47" s="326">
        <v>1</v>
      </c>
      <c r="D47" s="326">
        <v>6</v>
      </c>
      <c r="E47" s="267">
        <f>mvalloc!I18</f>
        <v>2</v>
      </c>
    </row>
    <row r="48" spans="2:5" ht="15.75">
      <c r="B48" s="82" t="s">
        <v>54</v>
      </c>
      <c r="C48" s="326">
        <v>50</v>
      </c>
      <c r="D48" s="326">
        <v>45</v>
      </c>
      <c r="E48" s="267">
        <f>mvalloc!J18</f>
        <v>33</v>
      </c>
    </row>
    <row r="49" spans="2:5" ht="15.75">
      <c r="B49" s="82" t="s">
        <v>117</v>
      </c>
      <c r="C49" s="326"/>
      <c r="D49" s="326"/>
      <c r="E49" s="267">
        <f>mvalloc!K18</f>
        <v>0</v>
      </c>
    </row>
    <row r="50" spans="2:5" ht="15.75">
      <c r="B50" s="331" t="s">
        <v>834</v>
      </c>
      <c r="C50" s="326">
        <v>2</v>
      </c>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2596</v>
      </c>
      <c r="D56" s="421">
        <f>SUM(D44:D54)</f>
        <v>2913</v>
      </c>
      <c r="E56" s="335">
        <f>SUM(E44:E54)</f>
        <v>169</v>
      </c>
    </row>
    <row r="57" spans="2:5" ht="15.75">
      <c r="B57" s="100" t="s">
        <v>298</v>
      </c>
      <c r="C57" s="421">
        <f>C56+C42</f>
        <v>5658</v>
      </c>
      <c r="D57" s="421">
        <f>D56+D42</f>
        <v>4297</v>
      </c>
      <c r="E57" s="335">
        <f>E56+E42</f>
        <v>466</v>
      </c>
    </row>
    <row r="58" spans="2:5" ht="15.75">
      <c r="B58" s="82" t="s">
        <v>299</v>
      </c>
      <c r="C58" s="418"/>
      <c r="D58" s="418"/>
      <c r="E58" s="267"/>
    </row>
    <row r="59" spans="2:5" ht="15.75">
      <c r="B59" s="331"/>
      <c r="C59" s="326"/>
      <c r="D59" s="326"/>
      <c r="E59" s="175"/>
    </row>
    <row r="60" spans="2:5" ht="15.75">
      <c r="B60" s="331" t="s">
        <v>57</v>
      </c>
      <c r="C60" s="326">
        <v>2128</v>
      </c>
      <c r="D60" s="326">
        <v>2500</v>
      </c>
      <c r="E60" s="175">
        <v>2700</v>
      </c>
    </row>
    <row r="61" spans="2:5" ht="15.75">
      <c r="B61" s="331" t="s">
        <v>841</v>
      </c>
      <c r="C61" s="326">
        <v>2146</v>
      </c>
      <c r="D61" s="326">
        <v>1500</v>
      </c>
      <c r="E61" s="175">
        <v>2200</v>
      </c>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757</v>
      </c>
      <c r="C66" s="420">
        <f>IF(C67*0.1&lt;C65,"Exceed 10% Rule","")</f>
      </c>
      <c r="D66" s="420">
        <f>IF(D67*0.1&lt;D65,"Exceed 10% Rule","")</f>
      </c>
      <c r="E66" s="336">
        <f>IF(E67*0.1&lt;E65,"Exceed 10% Rule","")</f>
      </c>
    </row>
    <row r="67" spans="2:5" ht="15.75">
      <c r="B67" s="100" t="s">
        <v>300</v>
      </c>
      <c r="C67" s="421">
        <f>SUM(C59:C65)</f>
        <v>4274</v>
      </c>
      <c r="D67" s="421">
        <f>SUM(D59:D65)</f>
        <v>4000</v>
      </c>
      <c r="E67" s="335">
        <f>SUM(E59:E65)</f>
        <v>4900</v>
      </c>
    </row>
    <row r="68" spans="2:5" ht="15.75">
      <c r="B68" s="82" t="s">
        <v>74</v>
      </c>
      <c r="C68" s="422">
        <f>C57-C67</f>
        <v>1384</v>
      </c>
      <c r="D68" s="422">
        <f>D57-D67</f>
        <v>297</v>
      </c>
      <c r="E68" s="328" t="s">
        <v>269</v>
      </c>
    </row>
    <row r="69" spans="2:6" ht="15.75">
      <c r="B69" s="121" t="str">
        <f>CONCATENATE("",$E$1-2,"/",$E$1-1," Budget Authority Amount:")</f>
        <v>2010/2011 Budget Authority Amount:</v>
      </c>
      <c r="C69" s="362">
        <f>inputOth!$B89</f>
        <v>5000</v>
      </c>
      <c r="D69" s="85">
        <f>inputPrYr!$D26</f>
        <v>4000</v>
      </c>
      <c r="E69" s="328" t="s">
        <v>269</v>
      </c>
      <c r="F69" s="337"/>
    </row>
    <row r="70" spans="2:6" ht="15.75">
      <c r="B70" s="121"/>
      <c r="C70" s="676" t="s">
        <v>753</v>
      </c>
      <c r="D70" s="677"/>
      <c r="E70" s="175"/>
      <c r="F70" s="337">
        <f>IF(E67/0.95-E67&lt;E70,"Exceeds 5%","")</f>
      </c>
    </row>
    <row r="71" spans="2:5" ht="15.75">
      <c r="B71" s="532" t="str">
        <f>CONCATENATE(C81,"     ",D81)</f>
        <v>     </v>
      </c>
      <c r="C71" s="678" t="s">
        <v>754</v>
      </c>
      <c r="D71" s="679"/>
      <c r="E71" s="267">
        <f>E67+E70</f>
        <v>4900</v>
      </c>
    </row>
    <row r="72" spans="2:5" ht="15.75">
      <c r="B72" s="532" t="str">
        <f>CONCATENATE(C82,"     ",D82)</f>
        <v>     </v>
      </c>
      <c r="C72" s="535"/>
      <c r="D72" s="534" t="s">
        <v>302</v>
      </c>
      <c r="E72" s="186">
        <f>IF(E71-E57&gt;0,E71-E57,0)</f>
        <v>4434</v>
      </c>
    </row>
    <row r="73" spans="2:5" ht="15.75">
      <c r="B73" s="216"/>
      <c r="C73" s="533" t="s">
        <v>755</v>
      </c>
      <c r="D73" s="537">
        <f>inputOth!$E$77</f>
        <v>0</v>
      </c>
      <c r="E73" s="267">
        <f>ROUND(IF(D73&gt;0,(E72*D73),0),0)</f>
        <v>0</v>
      </c>
    </row>
    <row r="74" spans="2:5" ht="15.75">
      <c r="B74" s="66"/>
      <c r="C74" s="680" t="str">
        <f>CONCATENATE("Amount of  ",$E$1-1," Ad Valorem Tax")</f>
        <v>Amount of  2011 Ad Valorem Tax</v>
      </c>
      <c r="D74" s="681"/>
      <c r="E74" s="186">
        <f>E72+E73</f>
        <v>4434</v>
      </c>
    </row>
    <row r="75" spans="2:5" ht="15.75">
      <c r="B75" s="216" t="s">
        <v>283</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Menlo Township</v>
      </c>
      <c r="C1" s="66"/>
      <c r="D1" s="66"/>
      <c r="E1" s="231">
        <f>inputPrYr!D9</f>
        <v>2012</v>
      </c>
    </row>
    <row r="2" spans="2:5" ht="15.75">
      <c r="B2" s="606" t="s">
        <v>795</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757</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76" t="s">
        <v>753</v>
      </c>
      <c r="D34" s="677"/>
      <c r="E34" s="175"/>
      <c r="F34" s="337">
        <f>IF(E31/0.95-E31&lt;E34,"Exceeds 5%","")</f>
      </c>
    </row>
    <row r="35" spans="2:5" ht="15.75">
      <c r="B35" s="532" t="str">
        <f>CONCATENATE(C79,"     ",D79)</f>
        <v>     </v>
      </c>
      <c r="C35" s="678" t="s">
        <v>754</v>
      </c>
      <c r="D35" s="679"/>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757</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76" t="s">
        <v>753</v>
      </c>
      <c r="D70" s="677"/>
      <c r="E70" s="175"/>
      <c r="F70" s="337">
        <f>IF(E67/0.95-E67&lt;E70,"Exceeds 5%","")</f>
      </c>
    </row>
    <row r="71" spans="2:5" ht="15.75">
      <c r="B71" s="532" t="str">
        <f>CONCATENATE(C81,"     ",D81)</f>
        <v>     </v>
      </c>
      <c r="C71" s="678" t="s">
        <v>754</v>
      </c>
      <c r="D71" s="679"/>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Menlo Township</v>
      </c>
      <c r="C1" s="66"/>
      <c r="D1" s="66"/>
      <c r="E1" s="231">
        <f>inputPrYr!D9</f>
        <v>2012</v>
      </c>
    </row>
    <row r="2" spans="2:5" ht="15.75">
      <c r="B2" s="606" t="s">
        <v>795</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757</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76" t="s">
        <v>753</v>
      </c>
      <c r="D34" s="677"/>
      <c r="E34" s="175"/>
      <c r="F34" s="337">
        <f>IF(E31/0.95-E31&lt;E34,"Exceeds 5%","")</f>
      </c>
    </row>
    <row r="35" spans="2:5" ht="15.75">
      <c r="B35" s="532" t="str">
        <f>CONCATENATE(C79,"     ",D79)</f>
        <v>     </v>
      </c>
      <c r="C35" s="678" t="s">
        <v>754</v>
      </c>
      <c r="D35" s="679"/>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0" t="str">
        <f>CONCATENATE("Amount of  ",$E$1-1," Ad Valorem Tax")</f>
        <v>Amount of  2011 Ad Valorem Tax</v>
      </c>
      <c r="D38" s="681"/>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757</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76" t="s">
        <v>753</v>
      </c>
      <c r="D70" s="677"/>
      <c r="E70" s="175"/>
      <c r="F70" s="337">
        <f>IF(E67/0.95-E67&lt;E70,"Exceeds 5%","")</f>
      </c>
    </row>
    <row r="71" spans="2:5" ht="15.75">
      <c r="B71" s="532" t="str">
        <f>CONCATENATE(C81,"     ",D81)</f>
        <v>     </v>
      </c>
      <c r="C71" s="678" t="s">
        <v>754</v>
      </c>
      <c r="D71" s="679"/>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0" t="str">
        <f>CONCATENATE("Amount of  ",$E$1-1," Ad Valorem Tax")</f>
        <v>Amount of  2011 Ad Valorem Tax</v>
      </c>
      <c r="D74" s="681"/>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Menlo Township</v>
      </c>
      <c r="C1" s="66"/>
      <c r="D1" s="66"/>
      <c r="E1" s="231">
        <f>inputPrYr!D9</f>
        <v>2012</v>
      </c>
    </row>
    <row r="2" spans="2:5" ht="15.75">
      <c r="B2" s="66"/>
      <c r="C2" s="66"/>
      <c r="D2" s="66"/>
      <c r="E2" s="216"/>
    </row>
    <row r="3" spans="2:5" ht="15.75">
      <c r="B3" s="163" t="s">
        <v>97</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757</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757</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238</v>
      </c>
      <c r="B2" s="66"/>
      <c r="C2" s="66"/>
      <c r="D2" s="66"/>
      <c r="E2" s="66"/>
    </row>
    <row r="3" spans="1:5" ht="15.75">
      <c r="A3" s="161" t="s">
        <v>236</v>
      </c>
      <c r="B3" s="66"/>
      <c r="C3" s="66"/>
      <c r="D3" s="122" t="s">
        <v>827</v>
      </c>
      <c r="E3" s="73"/>
    </row>
    <row r="4" spans="1:5" ht="15.75">
      <c r="A4" s="161" t="s">
        <v>237</v>
      </c>
      <c r="B4" s="66"/>
      <c r="C4" s="66"/>
      <c r="D4" s="162" t="s">
        <v>828</v>
      </c>
      <c r="E4" s="73"/>
    </row>
    <row r="5" spans="1:5" ht="15.75">
      <c r="A5" s="66"/>
      <c r="B5" s="66"/>
      <c r="C5" s="66"/>
      <c r="D5" s="66"/>
      <c r="E5" s="66"/>
    </row>
    <row r="6" spans="1:5" ht="15.75">
      <c r="A6" s="163" t="s">
        <v>154</v>
      </c>
      <c r="B6" s="66"/>
      <c r="C6" s="66"/>
      <c r="D6" s="391" t="s">
        <v>829</v>
      </c>
      <c r="E6" s="66"/>
    </row>
    <row r="7" spans="1:5" ht="15.75">
      <c r="A7" s="163" t="s">
        <v>155</v>
      </c>
      <c r="B7" s="66"/>
      <c r="C7" s="66"/>
      <c r="D7" s="115"/>
      <c r="E7" s="66"/>
    </row>
    <row r="8" spans="1:5" ht="15.75">
      <c r="A8" s="66"/>
      <c r="B8" s="66"/>
      <c r="C8" s="66"/>
      <c r="D8" s="66"/>
      <c r="E8" s="66"/>
    </row>
    <row r="9" spans="1:5" ht="15.75">
      <c r="A9" s="163" t="s">
        <v>100</v>
      </c>
      <c r="B9" s="66"/>
      <c r="C9" s="66"/>
      <c r="D9" s="164">
        <v>2012</v>
      </c>
      <c r="E9" s="66"/>
    </row>
    <row r="10" spans="1:5" ht="15.75">
      <c r="A10" s="66"/>
      <c r="B10" s="66"/>
      <c r="C10" s="66"/>
      <c r="D10" s="66"/>
      <c r="E10" s="66"/>
    </row>
    <row r="11" spans="1:5" ht="15.75">
      <c r="A11" s="165" t="s">
        <v>102</v>
      </c>
      <c r="B11" s="166"/>
      <c r="C11" s="166"/>
      <c r="D11" s="166"/>
      <c r="E11" s="166"/>
    </row>
    <row r="12" spans="1:5" ht="15.75">
      <c r="A12" s="165" t="s">
        <v>173</v>
      </c>
      <c r="B12" s="166"/>
      <c r="C12" s="166"/>
      <c r="D12" s="166"/>
      <c r="E12" s="166"/>
    </row>
    <row r="13" spans="1:5" ht="15.75">
      <c r="A13" s="66"/>
      <c r="B13" s="66"/>
      <c r="C13" s="66"/>
      <c r="D13" s="66"/>
      <c r="E13" s="66"/>
    </row>
    <row r="14" spans="1:5" ht="15.75">
      <c r="A14" s="627" t="s">
        <v>113</v>
      </c>
      <c r="B14" s="628"/>
      <c r="C14" s="628"/>
      <c r="D14" s="628"/>
      <c r="E14" s="628"/>
    </row>
    <row r="15" spans="1:5" ht="15.75">
      <c r="A15" s="161"/>
      <c r="B15" s="66"/>
      <c r="C15" s="66"/>
      <c r="D15" s="66"/>
      <c r="E15" s="66"/>
    </row>
    <row r="16" spans="1:5" ht="15.75">
      <c r="A16" s="167" t="s">
        <v>101</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11100</v>
      </c>
      <c r="E20" s="175">
        <v>4771</v>
      </c>
    </row>
    <row r="21" spans="1:5" ht="15.75">
      <c r="A21" s="66"/>
      <c r="B21" s="108" t="s">
        <v>324</v>
      </c>
      <c r="C21" s="85" t="s">
        <v>107</v>
      </c>
      <c r="D21" s="175"/>
      <c r="E21" s="175"/>
    </row>
    <row r="22" spans="1:5" ht="15.75">
      <c r="A22" s="66"/>
      <c r="B22" s="108" t="s">
        <v>254</v>
      </c>
      <c r="C22" s="176" t="s">
        <v>239</v>
      </c>
      <c r="D22" s="175">
        <v>40581</v>
      </c>
      <c r="E22" s="175">
        <v>40581</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t="s">
        <v>830</v>
      </c>
      <c r="C26" s="515" t="s">
        <v>831</v>
      </c>
      <c r="D26" s="175">
        <v>4000</v>
      </c>
      <c r="E26" s="175">
        <v>2704</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48056</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55681</v>
      </c>
      <c r="E38" s="66"/>
    </row>
    <row r="39" spans="1:5" ht="15.75">
      <c r="A39" s="111" t="s">
        <v>361</v>
      </c>
      <c r="B39" s="73"/>
      <c r="C39" s="73"/>
      <c r="D39" s="66"/>
      <c r="E39" s="66"/>
    </row>
    <row r="40" spans="1:5" ht="15.75">
      <c r="A40" s="378">
        <v>1</v>
      </c>
      <c r="B40" s="184" t="s">
        <v>832</v>
      </c>
      <c r="C40" s="73"/>
      <c r="D40" s="66"/>
      <c r="E40" s="66"/>
    </row>
    <row r="41" spans="1:5" ht="15.75">
      <c r="A41" s="378">
        <v>2</v>
      </c>
      <c r="B41" s="184" t="s">
        <v>848</v>
      </c>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625" t="str">
        <f>CONCATENATE("",D9-3," Tax Rate         (",D9-2," Column)")</f>
        <v>2009 Tax Rate         (2010 Column)</v>
      </c>
      <c r="E46" s="66"/>
    </row>
    <row r="47" spans="1:5" ht="15.75">
      <c r="A47" s="170" t="str">
        <f>CONCATENATE("the ",D9-1," Budget, Budget Summary Page:")</f>
        <v>the 2011 Budget, Budget Summary Page:</v>
      </c>
      <c r="B47" s="187"/>
      <c r="C47" s="66"/>
      <c r="D47" s="626"/>
      <c r="E47" s="66"/>
    </row>
    <row r="48" spans="1:5" ht="15.75">
      <c r="A48" s="66"/>
      <c r="B48" s="92" t="str">
        <f aca="true" t="shared" si="0" ref="B48:B57">B20</f>
        <v>General</v>
      </c>
      <c r="C48" s="66"/>
      <c r="D48" s="188">
        <v>24.13</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Employee Benefit</v>
      </c>
      <c r="C54" s="66"/>
      <c r="D54" s="189">
        <v>1.561</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25.691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47752</v>
      </c>
    </row>
    <row r="62" spans="1:5" ht="15.75">
      <c r="A62" s="192" t="str">
        <f>CONCATENATE("Assessed Valuation (",D9-2," budget column):")</f>
        <v>Assessed Valuation (2010 budget column):</v>
      </c>
      <c r="B62" s="168"/>
      <c r="C62" s="66"/>
      <c r="D62" s="66"/>
      <c r="E62" s="193">
        <v>1858747</v>
      </c>
    </row>
    <row r="63" spans="1:5" ht="15.75">
      <c r="A63" s="66"/>
      <c r="B63" s="66"/>
      <c r="C63" s="66"/>
      <c r="D63" s="66"/>
      <c r="E63" s="194"/>
    </row>
    <row r="64" spans="1:5" ht="15.75">
      <c r="A64" s="195" t="s">
        <v>174</v>
      </c>
      <c r="B64" s="195"/>
      <c r="C64" s="196"/>
      <c r="D64" s="197">
        <f>D9-3</f>
        <v>2009</v>
      </c>
      <c r="E64" s="197">
        <f>D9-2</f>
        <v>2010</v>
      </c>
    </row>
    <row r="65" spans="1:5" ht="15.75">
      <c r="A65" s="195" t="s">
        <v>120</v>
      </c>
      <c r="B65" s="195"/>
      <c r="C65" s="198"/>
      <c r="D65" s="185"/>
      <c r="E65" s="185"/>
    </row>
    <row r="66" spans="1:5" ht="15.75">
      <c r="A66" s="199" t="s">
        <v>170</v>
      </c>
      <c r="B66" s="199"/>
      <c r="C66" s="200"/>
      <c r="D66" s="185"/>
      <c r="E66" s="185"/>
    </row>
    <row r="67" spans="1:5" ht="15.75">
      <c r="A67" s="199" t="s">
        <v>121</v>
      </c>
      <c r="B67" s="199"/>
      <c r="C67" s="200"/>
      <c r="D67" s="185">
        <v>19943</v>
      </c>
      <c r="E67" s="185">
        <v>6634</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Menlo Township</v>
      </c>
      <c r="C1" s="66"/>
      <c r="D1" s="66"/>
      <c r="E1" s="231">
        <f>inputPrYr!D9</f>
        <v>2012</v>
      </c>
    </row>
    <row r="2" spans="2:5" ht="15.75">
      <c r="B2" s="66"/>
      <c r="C2" s="66"/>
      <c r="D2" s="66"/>
      <c r="E2" s="216"/>
    </row>
    <row r="3" spans="2:5" ht="15.75">
      <c r="B3" s="163" t="s">
        <v>97</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757</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757</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758</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2" sqref="K22"/>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Menlo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0" t="str">
        <f>inputPrYr!B40</f>
        <v>Special Equipment Fund</v>
      </c>
      <c r="B5" s="691"/>
      <c r="C5" s="690" t="str">
        <f>inputPrYr!B41</f>
        <v>Fema State Reimbursement</v>
      </c>
      <c r="D5" s="691"/>
      <c r="E5" s="690">
        <f>inputPrYr!B42</f>
        <v>0</v>
      </c>
      <c r="F5" s="691"/>
      <c r="G5" s="692">
        <f>inputPrYr!B43</f>
        <v>0</v>
      </c>
      <c r="H5" s="691"/>
      <c r="I5" s="692">
        <f>inputPrYr!B44</f>
        <v>0</v>
      </c>
      <c r="J5" s="691"/>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v>0</v>
      </c>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t="s">
        <v>848</v>
      </c>
      <c r="D9" s="136">
        <v>3991</v>
      </c>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3991</v>
      </c>
      <c r="E17" s="139" t="s">
        <v>297</v>
      </c>
      <c r="F17" s="152">
        <f>SUM(F9:F16)</f>
        <v>0</v>
      </c>
      <c r="G17" s="139" t="s">
        <v>297</v>
      </c>
      <c r="H17" s="138">
        <f>SUM(H9:H16)</f>
        <v>0</v>
      </c>
      <c r="I17" s="139" t="s">
        <v>297</v>
      </c>
      <c r="J17" s="138">
        <f>SUM(J9:J16)</f>
        <v>0</v>
      </c>
      <c r="K17" s="138">
        <f>SUM(B17+D17+F17+H17+J17)</f>
        <v>3991</v>
      </c>
    </row>
    <row r="18" spans="1:11" ht="15.75">
      <c r="A18" s="139" t="s">
        <v>298</v>
      </c>
      <c r="B18" s="138">
        <f>SUM(B7+B17)</f>
        <v>0</v>
      </c>
      <c r="C18" s="139" t="s">
        <v>298</v>
      </c>
      <c r="D18" s="138">
        <f>SUM(D7+D17)</f>
        <v>3991</v>
      </c>
      <c r="E18" s="139" t="s">
        <v>298</v>
      </c>
      <c r="F18" s="138">
        <f>SUM(F7+F17)</f>
        <v>0</v>
      </c>
      <c r="G18" s="139" t="s">
        <v>298</v>
      </c>
      <c r="H18" s="138">
        <f>SUM(H7+H17)</f>
        <v>0</v>
      </c>
      <c r="I18" s="139" t="s">
        <v>298</v>
      </c>
      <c r="J18" s="138">
        <f>SUM(J7+J17)</f>
        <v>0</v>
      </c>
      <c r="K18" s="138">
        <f>SUM(B18+D18+F18+H18+J18)</f>
        <v>3991</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t="s">
        <v>849</v>
      </c>
      <c r="D20" s="136">
        <v>3991</v>
      </c>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3991</v>
      </c>
      <c r="E28" s="139" t="s">
        <v>300</v>
      </c>
      <c r="F28" s="152">
        <f>SUM(F20:F27)</f>
        <v>0</v>
      </c>
      <c r="G28" s="139" t="s">
        <v>300</v>
      </c>
      <c r="H28" s="152">
        <f>SUM(H20:H27)</f>
        <v>0</v>
      </c>
      <c r="I28" s="139" t="s">
        <v>300</v>
      </c>
      <c r="J28" s="138">
        <f>SUM(J20:J27)</f>
        <v>0</v>
      </c>
      <c r="K28" s="138">
        <f>SUM(B28+D28+F28+H28+J28)</f>
        <v>3991</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v>9</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04"/>
  <sheetViews>
    <sheetView zoomScalePageLayoutView="0" workbookViewId="0" topLeftCell="B4">
      <selection activeCell="H34" sqref="H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0" t="s">
        <v>313</v>
      </c>
      <c r="B3" s="650"/>
      <c r="C3" s="650"/>
      <c r="D3" s="650"/>
      <c r="E3" s="650"/>
      <c r="F3" s="650"/>
      <c r="G3" s="650"/>
      <c r="H3" s="650"/>
    </row>
    <row r="4" spans="1:8" ht="15.75">
      <c r="A4" s="704" t="str">
        <f>inputPrYr!D3</f>
        <v>Menlo Township</v>
      </c>
      <c r="B4" s="704"/>
      <c r="C4" s="704"/>
      <c r="D4" s="704"/>
      <c r="E4" s="704"/>
      <c r="F4" s="704"/>
      <c r="G4" s="704"/>
      <c r="H4" s="704"/>
    </row>
    <row r="5" spans="1:8" ht="15.75">
      <c r="A5" s="704" t="str">
        <f>inputPrYr!D4</f>
        <v>Thomas County</v>
      </c>
      <c r="B5" s="704"/>
      <c r="C5" s="704"/>
      <c r="D5" s="704"/>
      <c r="E5" s="704"/>
      <c r="F5" s="704"/>
      <c r="G5" s="704"/>
      <c r="H5" s="704"/>
    </row>
    <row r="6" spans="1:8" ht="15.75">
      <c r="A6" s="703" t="str">
        <f>CONCATENATE("will meet on ",inputBudSum!B5," at ",inputBudSum!B7," at ",inputBudSum!B9," for the purpose of hearing and")</f>
        <v>will meet on August 14, 2011 at 2.00 p.m.  at Loren Guill Residence, 1631 County Road 32, Menlo  KS 67753 for the purpose of hearing and</v>
      </c>
      <c r="B6" s="703"/>
      <c r="C6" s="703"/>
      <c r="D6" s="703"/>
      <c r="E6" s="703"/>
      <c r="F6" s="703"/>
      <c r="G6" s="703"/>
      <c r="H6" s="703"/>
    </row>
    <row r="7" spans="1:8" ht="15.75">
      <c r="A7" s="70" t="s">
        <v>432</v>
      </c>
      <c r="B7" s="67"/>
      <c r="C7" s="67"/>
      <c r="D7" s="67"/>
      <c r="E7" s="67"/>
      <c r="F7" s="67"/>
      <c r="G7" s="67"/>
      <c r="H7" s="67"/>
    </row>
    <row r="8" spans="1:8" ht="15.75">
      <c r="A8" s="655" t="str">
        <f>CONCATENATE("Detailed budget information is available at ",inputBudSum!B12," and will be available at this hearing.")</f>
        <v>Detailed budget information is available at Loren Guill Residence and will be available at this hearing.</v>
      </c>
      <c r="B8" s="664"/>
      <c r="C8" s="664"/>
      <c r="D8" s="664"/>
      <c r="E8" s="664"/>
      <c r="F8" s="664"/>
      <c r="G8" s="664"/>
      <c r="H8" s="664"/>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47" t="str">
        <f>CONCATENATE("Amount of ",H1-1," Ad Valorem Tax")</f>
        <v>Amount of 2011 Ad Valorem Tax</v>
      </c>
      <c r="H14" s="76" t="s">
        <v>314</v>
      </c>
      <c r="I14" s="203"/>
    </row>
    <row r="15" spans="1:9" ht="15.75">
      <c r="A15" s="66"/>
      <c r="B15" s="78"/>
      <c r="C15" s="78" t="s">
        <v>315</v>
      </c>
      <c r="D15" s="78"/>
      <c r="E15" s="78" t="s">
        <v>315</v>
      </c>
      <c r="F15" s="528" t="s">
        <v>186</v>
      </c>
      <c r="G15" s="701"/>
      <c r="H15" s="78" t="s">
        <v>315</v>
      </c>
      <c r="I15" s="203"/>
    </row>
    <row r="16" spans="1:10" ht="15.75">
      <c r="A16" s="211" t="s">
        <v>265</v>
      </c>
      <c r="B16" s="81" t="s">
        <v>316</v>
      </c>
      <c r="C16" s="81" t="s">
        <v>317</v>
      </c>
      <c r="D16" s="81" t="s">
        <v>316</v>
      </c>
      <c r="E16" s="81" t="s">
        <v>317</v>
      </c>
      <c r="F16" s="527" t="s">
        <v>752</v>
      </c>
      <c r="G16" s="702"/>
      <c r="H16" s="81" t="s">
        <v>317</v>
      </c>
      <c r="I16" s="203"/>
      <c r="J16" s="585"/>
    </row>
    <row r="17" spans="1:10" ht="15.75">
      <c r="A17" s="92" t="str">
        <f>inputPrYr!B20</f>
        <v>General</v>
      </c>
      <c r="B17" s="92">
        <f>IF(gen!$C$46&lt;&gt;0,gen!$C$46,"  ")</f>
        <v>45968</v>
      </c>
      <c r="C17" s="95">
        <f>IF(inputPrYr!D48&gt;0,inputPrYr!D48,"  ")</f>
        <v>24.13</v>
      </c>
      <c r="D17" s="92">
        <f>IF(gen!$D$46&lt;&gt;0,gen!$D$46,"  ")</f>
        <v>5050</v>
      </c>
      <c r="E17" s="95">
        <f>IF(inputOth!D37&gt;0,inputOth!D37,"  ")</f>
        <v>2.486</v>
      </c>
      <c r="F17" s="92">
        <f>IF(gen!$E$46&lt;&gt;0,gen!$E$46,"  ")</f>
        <v>8000</v>
      </c>
      <c r="G17" s="92">
        <f>IF(gen!$E$53&lt;&gt;0,gen!$E$53,"")</f>
        <v>5398</v>
      </c>
      <c r="H17" s="95">
        <f>IF(gen!E53&gt;0,ROUND(G17/F31*1000,3)," ")</f>
        <v>2.832</v>
      </c>
      <c r="I17" s="203"/>
      <c r="J17" s="585"/>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IF(DebtService!E58&gt;0,ROUND(G18/F31*1000,3)," ")</f>
        <v> </v>
      </c>
      <c r="I18" s="203"/>
    </row>
    <row r="19" spans="1:8" ht="15.75">
      <c r="A19" s="92" t="str">
        <f>IF(inputPrYr!$B22&gt;"  ",inputPrYr!$B22,"  ")</f>
        <v>Road</v>
      </c>
      <c r="B19" s="92" t="str">
        <f>IF(road!$C$41&lt;&gt;0,road!$C$41,"  ")</f>
        <v>  </v>
      </c>
      <c r="C19" s="95" t="str">
        <f>IF(inputPrYr!D50&gt;0,inputPrYr!D50,"  ")</f>
        <v>  </v>
      </c>
      <c r="D19" s="92">
        <f>IF(road!$D$41&lt;&gt;0,road!$D$41,"  ")</f>
        <v>38132</v>
      </c>
      <c r="E19" s="95">
        <f>IF(inputOth!D39&gt;0,inputOth!D39,"  ")</f>
        <v>25.059</v>
      </c>
      <c r="F19" s="92">
        <f>IF(road!$E$41&lt;&gt;0,road!$E$41,"  ")</f>
        <v>44832</v>
      </c>
      <c r="G19" s="92">
        <f>IF(road!$E$48&lt;&gt;0,road!$E$48,"  ")</f>
        <v>39083</v>
      </c>
      <c r="H19" s="95">
        <f>IF(road!E48&gt;0,ROUND(G19/F32*1000,3)," ")</f>
        <v>24.153</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IF('SpecRoad&amp;Noxious'!E38&gt;0,ROUND(G20/F32*1000,3),"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IF('SpecRoad&amp;Noxious'!E74&gt;0,ROUND(G21/F32*1000,3)," ")</f>
        <v> </v>
      </c>
    </row>
    <row r="22" spans="1:13" ht="15.75">
      <c r="A22" s="92" t="str">
        <f>IF(inputPrYr!$B25&gt;"  ",inputPrYr!$B25,"  ")</f>
        <v>Fire Protection</v>
      </c>
      <c r="B22" s="92" t="str">
        <f>IF(EmpBen!$C$31&lt;&gt;0,EmpBen!$C$31,"  ")</f>
        <v>  </v>
      </c>
      <c r="C22" s="95" t="str">
        <f>IF(inputPrYr!D53&gt;0,inputPrYr!D53,"  ")</f>
        <v>  </v>
      </c>
      <c r="D22" s="92" t="str">
        <f>IF(EmpBen!$D$31&lt;&gt;0,EmpBen!$D$31,"  ")</f>
        <v>  </v>
      </c>
      <c r="E22" s="95" t="str">
        <f>IF(inputOth!D42&gt;0,inputOth!D42,"  ")</f>
        <v>  </v>
      </c>
      <c r="F22" s="92" t="str">
        <f>IF(EmpBen!$E$31&lt;&gt;0,EmpBen!$E$31,"  ")</f>
        <v>  </v>
      </c>
      <c r="G22" s="92" t="str">
        <f>IF(EmpBen!$E$38&lt;&gt;0,EmpBen!$E$38,"  ")</f>
        <v>  </v>
      </c>
      <c r="H22" s="95" t="str">
        <f>IF(EmpBen!E38&gt;0,ROUND(G22/F32*1000,3)," ")</f>
        <v> </v>
      </c>
      <c r="J22" s="693" t="str">
        <f>CONCATENATE("Estimated Value Of One Mill For ",H1,"")</f>
        <v>Estimated Value Of One Mill For 2012</v>
      </c>
      <c r="K22" s="698"/>
      <c r="L22" s="698"/>
      <c r="M22" s="699"/>
    </row>
    <row r="23" spans="1:13" ht="15.75">
      <c r="A23" s="92" t="str">
        <f>IF(inputPrYr!$B26&gt;"  ",inputPrYr!$B26,"  ")</f>
        <v>Employee Benefit</v>
      </c>
      <c r="B23" s="92">
        <f>IF(EmpBen!$C$67&lt;&gt;0,EmpBen!$C$67,"  ")</f>
        <v>4274</v>
      </c>
      <c r="C23" s="95">
        <f>IF(inputPrYr!D54&gt;0,inputPrYr!D54,"  ")</f>
        <v>1.561</v>
      </c>
      <c r="D23" s="92">
        <f>IF(EmpBen!$D$67&lt;&gt;0,EmpBen!$D$67,"  ")</f>
        <v>4000</v>
      </c>
      <c r="E23" s="95">
        <f>IF(inputOth!D43&gt;0,inputOth!D43,"  ")</f>
        <v>1.409</v>
      </c>
      <c r="F23" s="92">
        <f>IF(EmpBen!$E$67&lt;&gt;0,EmpBen!$E$67,"  ")</f>
        <v>4900</v>
      </c>
      <c r="G23" s="92">
        <f>IF(EmpBen!$E$74&lt;&gt;0,EmpBen!$E$74,"  ")</f>
        <v>4434</v>
      </c>
      <c r="H23" s="95">
        <f>IF(EmpBen!E74&gt;0,ROUND(G23/F31*1000,3)," ")</f>
        <v>2.326</v>
      </c>
      <c r="J23" s="584"/>
      <c r="K23" s="583"/>
      <c r="L23" s="583"/>
      <c r="M23" s="582"/>
    </row>
    <row r="24" spans="1:13" ht="15.75">
      <c r="A24" s="92" t="str">
        <f>IF(inputPrYr!$B37&gt;"  ",inputPrYr!$B37,"  ")</f>
        <v>  </v>
      </c>
      <c r="B24" s="92" t="str">
        <f>IF(nolevypage14!$C$59&lt;&gt;0,nolevypage14!$C$59,"  ")</f>
        <v>  </v>
      </c>
      <c r="C24" s="95"/>
      <c r="D24" s="92" t="str">
        <f>IF(nolevypage14!$D$59&lt;&gt;0,nolevypage14!$D$59,"  ")</f>
        <v>  </v>
      </c>
      <c r="E24" s="95"/>
      <c r="F24" s="92" t="str">
        <f>IF(nolevypage14!$E$59&lt;&gt;0,nolevypage14!$E$59,"  ")</f>
        <v>  </v>
      </c>
      <c r="G24" s="92"/>
      <c r="H24" s="95"/>
      <c r="J24" s="601" t="s">
        <v>770</v>
      </c>
      <c r="K24" s="578"/>
      <c r="L24" s="578"/>
      <c r="M24" s="577">
        <f>M36*-1</f>
        <v>1466</v>
      </c>
    </row>
    <row r="25" spans="1:13" ht="15.75">
      <c r="A25" s="92" t="str">
        <f>IF((inputPrYr!$B40&gt;"  "),(Fema!$A3),"  ")</f>
        <v>Non-Budgeted Funds</v>
      </c>
      <c r="B25" s="267">
        <f>IF((Fema!$K$28)&lt;&gt;0,(Fema!$K$28),"  ")</f>
        <v>3991</v>
      </c>
      <c r="C25" s="362"/>
      <c r="D25" s="92"/>
      <c r="E25" s="95"/>
      <c r="F25" s="92"/>
      <c r="G25" s="92"/>
      <c r="H25" s="95"/>
      <c r="J25" s="576" t="s">
        <v>771</v>
      </c>
      <c r="K25" s="564"/>
      <c r="L25" s="564"/>
      <c r="M25" s="575" t="e">
        <f>M37*-1</f>
        <v>#VALUE!</v>
      </c>
    </row>
    <row r="26" spans="1:13" ht="16.5" thickBot="1">
      <c r="A26" s="108" t="s">
        <v>267</v>
      </c>
      <c r="B26" s="509" t="str">
        <f>IF(road!C62&lt;&gt;0,road!C62,"  ")</f>
        <v>  </v>
      </c>
      <c r="C26" s="510"/>
      <c r="D26" s="510"/>
      <c r="E26" s="510"/>
      <c r="F26" s="510"/>
      <c r="G26" s="510"/>
      <c r="H26" s="510"/>
      <c r="J26" s="574"/>
      <c r="K26" s="574"/>
      <c r="L26" s="574"/>
      <c r="M26" s="574"/>
    </row>
    <row r="27" spans="1:13" ht="15.75">
      <c r="A27" s="108" t="s">
        <v>268</v>
      </c>
      <c r="B27" s="507">
        <f aca="true" t="shared" si="0" ref="B27:H27">SUM(B17:B26)</f>
        <v>54233</v>
      </c>
      <c r="C27" s="508">
        <f t="shared" si="0"/>
        <v>25.691</v>
      </c>
      <c r="D27" s="507">
        <f t="shared" si="0"/>
        <v>47182</v>
      </c>
      <c r="E27" s="508">
        <f t="shared" si="0"/>
        <v>28.954</v>
      </c>
      <c r="F27" s="507">
        <f t="shared" si="0"/>
        <v>57732</v>
      </c>
      <c r="G27" s="507">
        <f t="shared" si="0"/>
        <v>48915</v>
      </c>
      <c r="H27" s="508">
        <f t="shared" si="0"/>
        <v>29.311</v>
      </c>
      <c r="J27" s="693" t="str">
        <f>CONCATENATE("Impact On Keeping The Same Mill Rate As For ",H1-1,"")</f>
        <v>Impact On Keeping The Same Mill Rate As For 2011</v>
      </c>
      <c r="K27" s="694"/>
      <c r="L27" s="694"/>
      <c r="M27" s="695"/>
    </row>
    <row r="28" spans="1:13" ht="15.75">
      <c r="A28" s="108" t="s">
        <v>318</v>
      </c>
      <c r="B28" s="92">
        <f>transfer!C29</f>
        <v>7000</v>
      </c>
      <c r="C28" s="66"/>
      <c r="D28" s="92">
        <f>transfer!D29</f>
        <v>0</v>
      </c>
      <c r="E28" s="213"/>
      <c r="F28" s="92">
        <f>transfer!E29</f>
        <v>0</v>
      </c>
      <c r="G28" s="66"/>
      <c r="H28" s="66"/>
      <c r="J28" s="581"/>
      <c r="K28" s="583"/>
      <c r="L28" s="583"/>
      <c r="M28" s="580"/>
    </row>
    <row r="29" spans="1:13" ht="16.5" thickBot="1">
      <c r="A29" s="108" t="s">
        <v>319</v>
      </c>
      <c r="B29" s="511">
        <f>B27-B28</f>
        <v>47233</v>
      </c>
      <c r="C29" s="66"/>
      <c r="D29" s="511">
        <f>D27-D28</f>
        <v>47182</v>
      </c>
      <c r="E29" s="66"/>
      <c r="F29" s="511">
        <f>F27-F28</f>
        <v>57732</v>
      </c>
      <c r="G29" s="66"/>
      <c r="H29" s="66"/>
      <c r="J29" s="581" t="str">
        <f>CONCATENATE("",H1," Ad Valorem Tax Rev(Township Only):")</f>
        <v>2012 Ad Valorem Tax Rev(Township Only):</v>
      </c>
      <c r="K29" s="583"/>
      <c r="L29" s="583"/>
      <c r="M29" s="582">
        <f>SUM(G19:G22)</f>
        <v>39083</v>
      </c>
    </row>
    <row r="30" spans="1:13" ht="16.5" thickTop="1">
      <c r="A30" s="108" t="s">
        <v>0</v>
      </c>
      <c r="B30" s="236">
        <f>inputPrYr!E61</f>
        <v>47752</v>
      </c>
      <c r="C30" s="213"/>
      <c r="D30" s="236">
        <f>inputPrYr!E31</f>
        <v>48056</v>
      </c>
      <c r="E30" s="66"/>
      <c r="F30" s="512" t="s">
        <v>269</v>
      </c>
      <c r="G30" s="66"/>
      <c r="H30" s="66"/>
      <c r="J30" s="581" t="str">
        <f>CONCATENATE("",H1," Ad Valorem Tax Rev(Township Tot):")</f>
        <v>2012 Ad Valorem Tax Rev(Township Tot):</v>
      </c>
      <c r="K30" s="583"/>
      <c r="L30" s="583"/>
      <c r="M30" s="596" t="e">
        <f>SUM(G17+G18+G23+#REF!+#REF!+#REF!+#REF!)</f>
        <v>#VALUE!</v>
      </c>
    </row>
    <row r="31" spans="1:13" ht="15.75">
      <c r="A31" s="108" t="s">
        <v>193</v>
      </c>
      <c r="B31" s="92">
        <f>inputPrYr!E62</f>
        <v>1858747</v>
      </c>
      <c r="C31" s="213"/>
      <c r="D31" s="92">
        <f>inputOth!E54</f>
        <v>1858747</v>
      </c>
      <c r="E31" s="213"/>
      <c r="F31" s="92">
        <f>inputOth!E11</f>
        <v>1906249</v>
      </c>
      <c r="G31" s="66"/>
      <c r="H31" s="66"/>
      <c r="J31" s="581" t="str">
        <f>CONCATENATE("Total ",H1," Ad Valorem Tax Revenue:")</f>
        <v>Total 2012 Ad Valorem Tax Revenue:</v>
      </c>
      <c r="K31" s="541"/>
      <c r="L31" s="541"/>
      <c r="M31" s="597" t="e">
        <f>M29+M30</f>
        <v>#VALUE!</v>
      </c>
    </row>
    <row r="32" spans="1:14" ht="15.75">
      <c r="A32" s="82" t="s">
        <v>249</v>
      </c>
      <c r="B32" s="214"/>
      <c r="C32" s="66"/>
      <c r="D32" s="182"/>
      <c r="E32" s="66"/>
      <c r="F32" s="92">
        <f>inputOth!E8</f>
        <v>1618159</v>
      </c>
      <c r="G32" s="66"/>
      <c r="H32" s="66"/>
      <c r="J32" s="581" t="str">
        <f>CONCATENATE("",H1-1," Ad Valorem Tax Rev(Township Only):")</f>
        <v>2011 Ad Valorem Tax Rev(Township Only):</v>
      </c>
      <c r="K32" s="583"/>
      <c r="L32" s="583"/>
      <c r="M32" s="598">
        <f>ROUND(SUM(E19:E22)*F32/1000,0)</f>
        <v>40549</v>
      </c>
      <c r="N32" s="590"/>
    </row>
    <row r="33" spans="1:15" ht="15.75">
      <c r="A33" s="111"/>
      <c r="B33" s="182"/>
      <c r="C33" s="66"/>
      <c r="D33" s="182"/>
      <c r="E33" s="66"/>
      <c r="F33" s="182"/>
      <c r="G33" s="66"/>
      <c r="H33" s="66"/>
      <c r="J33" s="581" t="str">
        <f>CONCATENATE("",H1-1," Ad Valorem Tax Rev(Township Tot):")</f>
        <v>2011 Ad Valorem Tax Rev(Township Tot):</v>
      </c>
      <c r="K33" s="541"/>
      <c r="L33" s="541"/>
      <c r="M33" s="599" t="e">
        <f>ROUND(SUM(E17+E18+(E23+#REF!+#REF!+#REF!+#REF!))*F31/1000,0)</f>
        <v>#VALUE!</v>
      </c>
      <c r="N33" s="590"/>
      <c r="O33" s="590"/>
    </row>
    <row r="34" spans="1:15" ht="15.75">
      <c r="A34" s="74" t="s">
        <v>1</v>
      </c>
      <c r="B34" s="66"/>
      <c r="C34" s="66"/>
      <c r="D34" s="66"/>
      <c r="E34" s="66"/>
      <c r="F34" s="66"/>
      <c r="G34" s="66"/>
      <c r="H34" s="66"/>
      <c r="J34" s="540" t="str">
        <f>CONCATENATE("Total ",H1-1," Ad Valorem Tax Revenue:")</f>
        <v>Total 2011 Ad Valorem Tax Revenue:</v>
      </c>
      <c r="K34" s="541"/>
      <c r="L34" s="541"/>
      <c r="M34" s="600" t="e">
        <f>M32+M33</f>
        <v>#VALUE!</v>
      </c>
      <c r="O34" s="590"/>
    </row>
    <row r="35" spans="1:13" ht="15.75">
      <c r="A35" s="74" t="s">
        <v>2</v>
      </c>
      <c r="B35" s="215">
        <f>H1-3</f>
        <v>2009</v>
      </c>
      <c r="C35" s="66"/>
      <c r="D35" s="215">
        <f>H1-2</f>
        <v>2010</v>
      </c>
      <c r="E35" s="66"/>
      <c r="F35" s="215">
        <f>H1-1</f>
        <v>2011</v>
      </c>
      <c r="G35" s="66"/>
      <c r="H35" s="66"/>
      <c r="J35" s="579" t="s">
        <v>763</v>
      </c>
      <c r="K35" s="578"/>
      <c r="L35" s="578"/>
      <c r="M35" s="577" t="e">
        <f>M31-M34</f>
        <v>#VALUE!</v>
      </c>
    </row>
    <row r="36" spans="1:13" ht="15.75">
      <c r="A36" s="74" t="s">
        <v>3</v>
      </c>
      <c r="B36" s="85">
        <f>inputPrYr!D65</f>
        <v>0</v>
      </c>
      <c r="C36" s="71"/>
      <c r="D36" s="85">
        <f>inputPrYr!E65</f>
        <v>0</v>
      </c>
      <c r="E36" s="71"/>
      <c r="F36" s="85">
        <f>debt!E11</f>
        <v>0</v>
      </c>
      <c r="G36" s="66"/>
      <c r="H36" s="66"/>
      <c r="J36" s="601" t="s">
        <v>766</v>
      </c>
      <c r="K36" s="602"/>
      <c r="L36" s="602"/>
      <c r="M36" s="597">
        <f>M29-M32</f>
        <v>-1466</v>
      </c>
    </row>
    <row r="37" spans="1:13" ht="15.75">
      <c r="A37" s="74" t="s">
        <v>295</v>
      </c>
      <c r="B37" s="85">
        <f>inputPrYr!D66</f>
        <v>0</v>
      </c>
      <c r="C37" s="71"/>
      <c r="D37" s="85">
        <f>inputPrYr!E66</f>
        <v>0</v>
      </c>
      <c r="E37" s="71"/>
      <c r="F37" s="85">
        <f>debt!E15</f>
        <v>0</v>
      </c>
      <c r="G37" s="66"/>
      <c r="H37" s="390"/>
      <c r="J37" s="576" t="s">
        <v>765</v>
      </c>
      <c r="K37" s="564"/>
      <c r="L37" s="564"/>
      <c r="M37" s="575" t="e">
        <f>M30-M33</f>
        <v>#VALUE!</v>
      </c>
    </row>
    <row r="38" spans="1:8" ht="15.75">
      <c r="A38" s="74" t="s">
        <v>759</v>
      </c>
      <c r="B38" s="85">
        <f>inputPrYr!D67</f>
        <v>19943</v>
      </c>
      <c r="C38" s="71"/>
      <c r="D38" s="85">
        <f>inputPrYr!E67</f>
        <v>6634</v>
      </c>
      <c r="E38" s="71"/>
      <c r="F38" s="85">
        <f>debt!F36</f>
        <v>165210</v>
      </c>
      <c r="G38" s="66"/>
      <c r="H38" s="66"/>
    </row>
    <row r="39" spans="1:13" ht="16.5" thickBot="1">
      <c r="A39" s="74" t="s">
        <v>4</v>
      </c>
      <c r="B39" s="102">
        <f>SUM(B36:B38)</f>
        <v>19943</v>
      </c>
      <c r="C39" s="71"/>
      <c r="D39" s="102">
        <f>SUM(D36:D38)</f>
        <v>6634</v>
      </c>
      <c r="E39" s="71"/>
      <c r="F39" s="102">
        <f>SUM(F36:F38)</f>
        <v>165210</v>
      </c>
      <c r="G39" s="66"/>
      <c r="H39" s="66"/>
      <c r="J39" s="693" t="s">
        <v>764</v>
      </c>
      <c r="K39" s="696"/>
      <c r="L39" s="696"/>
      <c r="M39" s="697"/>
    </row>
    <row r="40" spans="1:13" ht="16.5" thickTop="1">
      <c r="A40" s="74" t="s">
        <v>5</v>
      </c>
      <c r="B40" s="66"/>
      <c r="C40" s="66"/>
      <c r="D40" s="66"/>
      <c r="E40" s="66"/>
      <c r="F40" s="66"/>
      <c r="G40" s="66"/>
      <c r="H40" s="66"/>
      <c r="J40" s="581"/>
      <c r="K40" s="583"/>
      <c r="L40" s="583"/>
      <c r="M40" s="580"/>
    </row>
    <row r="41" spans="1:13" ht="15.75">
      <c r="A41" s="66"/>
      <c r="B41" s="66"/>
      <c r="C41" s="66"/>
      <c r="D41" s="66"/>
      <c r="E41" s="66"/>
      <c r="F41" s="66"/>
      <c r="G41" s="66"/>
      <c r="H41" s="66"/>
      <c r="J41" s="587" t="str">
        <f>CONCATENATE("Enter Desired ",$H$1," Mill Rate:")</f>
        <v>Enter Desired 2012 Mill Rate:</v>
      </c>
      <c r="K41" s="588"/>
      <c r="L41" s="589"/>
      <c r="M41" s="586">
        <v>0</v>
      </c>
    </row>
    <row r="42" spans="1:13" ht="15.75">
      <c r="A42" s="700" t="s">
        <v>854</v>
      </c>
      <c r="B42" s="700"/>
      <c r="C42" s="66"/>
      <c r="D42" s="66"/>
      <c r="E42" s="66"/>
      <c r="F42" s="66"/>
      <c r="G42" s="66"/>
      <c r="H42" s="66"/>
      <c r="J42" s="581" t="str">
        <f>CONCATENATE("Current ",$H$1," Estimated Mill Rate:")</f>
        <v>Current 2012 Estimated Mill Rate:</v>
      </c>
      <c r="K42" s="583"/>
      <c r="L42" s="583"/>
      <c r="M42" s="593">
        <f>IF(M41=0,0,$H$27)</f>
        <v>0</v>
      </c>
    </row>
    <row r="43" spans="1:13" ht="15.75">
      <c r="A43" s="70" t="s">
        <v>6</v>
      </c>
      <c r="B43" s="67"/>
      <c r="C43" s="66"/>
      <c r="D43" s="66"/>
      <c r="E43" s="66"/>
      <c r="F43" s="66"/>
      <c r="G43" s="66"/>
      <c r="H43" s="66"/>
      <c r="J43" s="581" t="s">
        <v>767</v>
      </c>
      <c r="K43" s="583"/>
      <c r="L43" s="583"/>
      <c r="M43" s="594">
        <f>M41-M42</f>
        <v>0</v>
      </c>
    </row>
    <row r="44" spans="1:13" ht="15.75">
      <c r="A44" s="66"/>
      <c r="B44" s="66"/>
      <c r="C44" s="66"/>
      <c r="D44" s="66"/>
      <c r="E44" s="66"/>
      <c r="F44" s="66"/>
      <c r="G44" s="66"/>
      <c r="H44" s="66"/>
      <c r="J44" s="540" t="s">
        <v>768</v>
      </c>
      <c r="K44" s="73"/>
      <c r="L44" s="73"/>
      <c r="M44" s="591">
        <f>IF(M41=0,0,ROUND(SUM(H19:H22)/M42,2))</f>
        <v>0</v>
      </c>
    </row>
    <row r="45" spans="1:13" ht="15.75">
      <c r="A45" s="66"/>
      <c r="B45" s="216" t="s">
        <v>283</v>
      </c>
      <c r="C45" s="217">
        <v>10</v>
      </c>
      <c r="D45" s="66"/>
      <c r="E45" s="66"/>
      <c r="F45" s="66"/>
      <c r="G45" s="66"/>
      <c r="H45" s="66"/>
      <c r="J45" s="540" t="s">
        <v>769</v>
      </c>
      <c r="K45" s="73"/>
      <c r="L45" s="73"/>
      <c r="M45" s="591">
        <f>IF(M41=0,0,ROUND(SUM(H17+H18+H23+#REF!+#REF!+#REF!+#REF!)/M42,2))</f>
        <v>0</v>
      </c>
    </row>
    <row r="46" spans="1:13" ht="15.75">
      <c r="A46" s="117"/>
      <c r="B46" s="117"/>
      <c r="C46" s="117"/>
      <c r="H46" s="592"/>
      <c r="J46" s="579" t="str">
        <f>CONCATENATE("",$H$1," Tax Levy Fund Total Exp. Changed By:")</f>
        <v>2012 Tax Levy Fund Total Exp. Changed By:</v>
      </c>
      <c r="K46" s="578"/>
      <c r="L46" s="578"/>
      <c r="M46" s="582"/>
    </row>
    <row r="47" spans="10:13" ht="15.75">
      <c r="J47" s="601" t="s">
        <v>770</v>
      </c>
      <c r="K47" s="602"/>
      <c r="L47" s="602"/>
      <c r="M47" s="597">
        <f>ROUND(F32*M43*M44/1000,0)</f>
        <v>0</v>
      </c>
    </row>
    <row r="48" spans="1:13" ht="15.75">
      <c r="A48" s="117"/>
      <c r="B48" s="117"/>
      <c r="C48" s="117"/>
      <c r="D48" s="117"/>
      <c r="E48" s="117"/>
      <c r="F48" s="117"/>
      <c r="G48" s="117"/>
      <c r="J48" s="576" t="s">
        <v>771</v>
      </c>
      <c r="K48" s="564"/>
      <c r="L48" s="564"/>
      <c r="M48" s="575">
        <f>ROUND(F31*M43*M45/1000,0)</f>
        <v>0</v>
      </c>
    </row>
    <row r="49" spans="8:13" ht="15.75">
      <c r="H49" s="117"/>
      <c r="M49" s="595"/>
    </row>
    <row r="50" ht="15.75">
      <c r="M50" s="595"/>
    </row>
    <row r="70" spans="1:6" ht="15.75">
      <c r="A70" s="117"/>
      <c r="B70" s="117"/>
      <c r="C70" s="117"/>
      <c r="D70" s="117"/>
      <c r="E70" s="117"/>
      <c r="F70" s="117"/>
    </row>
    <row r="77" spans="1:7" ht="15.75">
      <c r="A77" s="117"/>
      <c r="B77" s="117"/>
      <c r="C77" s="117"/>
      <c r="D77" s="117"/>
      <c r="E77" s="117"/>
      <c r="F77" s="117"/>
      <c r="G77" s="117"/>
    </row>
    <row r="78" ht="15.75">
      <c r="H78" s="117"/>
    </row>
    <row r="83" spans="1:7" ht="15.75">
      <c r="A83" s="117"/>
      <c r="B83" s="117"/>
      <c r="C83" s="117"/>
      <c r="D83" s="117"/>
      <c r="E83" s="117"/>
      <c r="F83" s="117"/>
      <c r="G83" s="117"/>
    </row>
    <row r="84" ht="15.75">
      <c r="H84" s="117"/>
    </row>
    <row r="104" spans="1:7" ht="15.75">
      <c r="A104" s="117"/>
      <c r="B104" s="117"/>
      <c r="C104" s="117"/>
      <c r="D104" s="117"/>
      <c r="E104" s="117"/>
      <c r="F104" s="117"/>
      <c r="G104" s="117"/>
    </row>
  </sheetData>
  <sheetProtection/>
  <mergeCells count="10">
    <mergeCell ref="A8:H8"/>
    <mergeCell ref="J27:M27"/>
    <mergeCell ref="J39:M39"/>
    <mergeCell ref="J22:M22"/>
    <mergeCell ref="A42:B42"/>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57706" r:id="rId1"/>
  </oleObjects>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Menlo Township</v>
      </c>
      <c r="B1" s="66"/>
      <c r="C1" s="66"/>
      <c r="D1" s="66"/>
      <c r="E1" s="66"/>
      <c r="F1" s="66">
        <f>inputPrYr!D9</f>
        <v>2012</v>
      </c>
    </row>
    <row r="2" spans="1:6" ht="15.75">
      <c r="A2" s="66"/>
      <c r="B2" s="66"/>
      <c r="C2" s="66"/>
      <c r="D2" s="66"/>
      <c r="E2" s="66"/>
      <c r="F2" s="66"/>
    </row>
    <row r="3" spans="1:6" ht="15.75">
      <c r="A3" s="66"/>
      <c r="B3" s="646" t="str">
        <f>CONCATENATE("",F1," Neighborhood Revitalization Rebate")</f>
        <v>2012 Neighborhood Revitalization Rebate</v>
      </c>
      <c r="C3" s="651"/>
      <c r="D3" s="651"/>
      <c r="E3" s="65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Employee Benefit</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7" t="str">
        <f>CONCATENATE("",F1-1," July 1 Valuation:")</f>
        <v>2011 July 1 Valuation:</v>
      </c>
      <c r="B20" s="706"/>
      <c r="C20" s="707"/>
      <c r="D20" s="371">
        <f>inputOth!E11</f>
        <v>1906249</v>
      </c>
      <c r="E20" s="66"/>
      <c r="F20" s="196"/>
    </row>
    <row r="21" spans="1:6" ht="15.75">
      <c r="A21" s="66"/>
      <c r="B21" s="66"/>
      <c r="C21" s="66"/>
      <c r="D21" s="66"/>
      <c r="E21" s="66"/>
      <c r="F21" s="196"/>
    </row>
    <row r="22" spans="1:6" ht="15.75">
      <c r="A22" s="66"/>
      <c r="B22" s="707" t="s">
        <v>390</v>
      </c>
      <c r="C22" s="707"/>
      <c r="D22" s="372">
        <f>IF(D20&gt;0,(D20*0.001),"")</f>
        <v>1906.249</v>
      </c>
      <c r="E22" s="66"/>
      <c r="F22" s="196"/>
    </row>
    <row r="23" spans="1:6" ht="15.75">
      <c r="A23" s="66"/>
      <c r="B23" s="121"/>
      <c r="C23" s="121"/>
      <c r="D23" s="373"/>
      <c r="E23" s="66"/>
      <c r="F23" s="196"/>
    </row>
    <row r="24" spans="1:6" ht="15.75">
      <c r="A24" s="705" t="s">
        <v>391</v>
      </c>
      <c r="B24" s="664"/>
      <c r="C24" s="664"/>
      <c r="D24" s="374">
        <f>inputOth!E33</f>
        <v>0</v>
      </c>
      <c r="E24" s="183"/>
      <c r="F24" s="183"/>
    </row>
    <row r="25" spans="1:6" ht="15.75">
      <c r="A25" s="183"/>
      <c r="B25" s="183"/>
      <c r="C25" s="183"/>
      <c r="D25" s="375"/>
      <c r="E25" s="183"/>
      <c r="F25" s="183"/>
    </row>
    <row r="26" spans="1:6" ht="15.75">
      <c r="A26" s="183"/>
      <c r="B26" s="705" t="s">
        <v>392</v>
      </c>
      <c r="C26" s="70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3" t="s">
        <v>83</v>
      </c>
      <c r="B1" s="713"/>
      <c r="C1" s="713"/>
      <c r="D1" s="713"/>
      <c r="E1" s="713"/>
      <c r="F1" s="713"/>
      <c r="G1" s="713"/>
    </row>
    <row r="2" ht="15.75">
      <c r="A2" s="21"/>
    </row>
    <row r="3" spans="1:7" ht="15.75">
      <c r="A3" s="714" t="s">
        <v>84</v>
      </c>
      <c r="B3" s="714"/>
      <c r="C3" s="714"/>
      <c r="D3" s="714"/>
      <c r="E3" s="714"/>
      <c r="F3" s="714"/>
      <c r="G3" s="714"/>
    </row>
    <row r="4" ht="15.75">
      <c r="A4" s="22"/>
    </row>
    <row r="5" ht="15.75">
      <c r="A5" s="22"/>
    </row>
    <row r="6" spans="1:9" ht="15.75">
      <c r="A6" s="28" t="str">
        <f>CONCATENATE("A resolution expressing the property taxation policy of the Board of ",(inputPrYr!D3)," ")</f>
        <v>A resolution expressing the property taxation policy of the Board of Menlo Township </v>
      </c>
      <c r="I6">
        <f>CONCATENATE(I7)</f>
      </c>
    </row>
    <row r="7" spans="1:7" ht="15.75">
      <c r="A7" s="715" t="str">
        <f>CONCATENATE("   with respect to financing the ",inputPrYr!D9," annual budget for ",(inputPrYr!D3)," , ",(inputPrYr!D4)," , Kansas.")</f>
        <v>   with respect to financing the 2012 annual budget for Menlo Township , Thomas County , Kansas.</v>
      </c>
      <c r="B7" s="634"/>
      <c r="C7" s="634"/>
      <c r="D7" s="634"/>
      <c r="E7" s="634"/>
      <c r="F7" s="634"/>
      <c r="G7" s="634"/>
    </row>
    <row r="8" spans="1:7" ht="15.75">
      <c r="A8" s="634"/>
      <c r="B8" s="634"/>
      <c r="C8" s="634"/>
      <c r="D8" s="634"/>
      <c r="E8" s="634"/>
      <c r="F8" s="634"/>
      <c r="G8" s="634"/>
    </row>
    <row r="9" ht="15.75">
      <c r="A9" s="21"/>
    </row>
    <row r="10" ht="15.75">
      <c r="A10" s="29" t="s">
        <v>85</v>
      </c>
    </row>
    <row r="11" ht="15.75">
      <c r="A11" s="27" t="str">
        <f>CONCATENATE("to finance the ",inputPrYr!D9," ",(inputPrYr!D3)," budget exceed the amount levied to finance the ",inputPrYr!D9-1,"")</f>
        <v>to finance the 2012 Menlo Township budget exceed the amount levied to finance the 2011</v>
      </c>
    </row>
    <row r="12" spans="1:7" ht="15.75">
      <c r="A12" s="710" t="str">
        <f>CONCATENATE((inputPrYr!D3)," Township budget, except with regard to revenue produced and attributable to the taxation of 1) new improvements to real property; 2) increased personal property valuation, other than increased")</f>
        <v>Menlo Township Township budget, except with regard to revenue produced and attributable to the taxation of 1) new improvements to real property; 2) increased personal property valuation, other than increased</v>
      </c>
      <c r="B12" s="634"/>
      <c r="C12" s="634"/>
      <c r="D12" s="634"/>
      <c r="E12" s="634"/>
      <c r="F12" s="634"/>
      <c r="G12" s="634"/>
    </row>
    <row r="13" spans="1:7" ht="15.75">
      <c r="A13" s="634"/>
      <c r="B13" s="634"/>
      <c r="C13" s="634"/>
      <c r="D13" s="634"/>
      <c r="E13" s="634"/>
      <c r="F13" s="634"/>
      <c r="G13" s="634"/>
    </row>
    <row r="14" spans="1:7" ht="15.75">
      <c r="A14" s="710" t="s">
        <v>90</v>
      </c>
      <c r="B14" s="634"/>
      <c r="C14" s="634"/>
      <c r="D14" s="634"/>
      <c r="E14" s="634"/>
      <c r="F14" s="634"/>
      <c r="G14" s="634"/>
    </row>
    <row r="15" spans="1:7" ht="15.75">
      <c r="A15" s="634"/>
      <c r="B15" s="634"/>
      <c r="C15" s="634"/>
      <c r="D15" s="634"/>
      <c r="E15" s="634"/>
      <c r="F15" s="634"/>
      <c r="G15" s="634"/>
    </row>
    <row r="16" spans="1:7" ht="15.75">
      <c r="A16" s="711"/>
      <c r="B16" s="711"/>
      <c r="C16" s="711"/>
      <c r="D16" s="711"/>
      <c r="E16" s="711"/>
      <c r="F16" s="711"/>
      <c r="G16" s="711"/>
    </row>
    <row r="17" ht="15.75">
      <c r="A17" s="22"/>
    </row>
    <row r="18" spans="1:7" ht="15.75">
      <c r="A18" s="716" t="s">
        <v>86</v>
      </c>
      <c r="B18" s="634"/>
      <c r="C18" s="634"/>
      <c r="D18" s="634"/>
      <c r="E18" s="634"/>
      <c r="F18" s="634"/>
      <c r="G18" s="634"/>
    </row>
    <row r="19" spans="1:7" ht="15.75">
      <c r="A19" s="634"/>
      <c r="B19" s="634"/>
      <c r="C19" s="634"/>
      <c r="D19" s="634"/>
      <c r="E19" s="634"/>
      <c r="F19" s="634"/>
      <c r="G19" s="634"/>
    </row>
    <row r="20" ht="15.75">
      <c r="A20" s="22"/>
    </row>
    <row r="21" spans="1:7" ht="15.75">
      <c r="A21" s="716" t="str">
        <f>CONCATENATE("Whereas, ",(inputPrYr!D3)," provides essential services to protect the safety and well being of the citizens of the township; and")</f>
        <v>Whereas, Menlo Township provides essential services to protect the safety and well being of the citizens of the township; and</v>
      </c>
      <c r="B21" s="634"/>
      <c r="C21" s="634"/>
      <c r="D21" s="634"/>
      <c r="E21" s="634"/>
      <c r="F21" s="634"/>
      <c r="G21" s="634"/>
    </row>
    <row r="22" spans="1:7" ht="15.75">
      <c r="A22" s="634"/>
      <c r="B22" s="634"/>
      <c r="C22" s="634"/>
      <c r="D22" s="634"/>
      <c r="E22" s="634"/>
      <c r="F22" s="634"/>
      <c r="G22" s="634"/>
    </row>
    <row r="23" ht="15.75">
      <c r="A23" s="24"/>
    </row>
    <row r="24" ht="15.75">
      <c r="A24" s="23" t="s">
        <v>87</v>
      </c>
    </row>
    <row r="25" ht="15.75">
      <c r="A25" s="24"/>
    </row>
    <row r="26" spans="1:7" ht="15.75">
      <c r="A26" s="716" t="str">
        <f>CONCATENATE("NOW, THEREFORE, BE IT RESOLVED by the Board of ",(inputPrYr!D3)," of ",(inputPrYr!D4),", Kansas that is our desire to notify the public of increased property taxes to finance the ",inputPrYr!D9," ",(inputPrYr!D3),"  budget as defined above.")</f>
        <v>NOW, THEREFORE, BE IT RESOLVED by the Board of Menlo Township of Thomas County, Kansas that is our desire to notify the public of increased property taxes to finance the 2012 Menlo Township  budget as defined above.</v>
      </c>
      <c r="B26" s="634"/>
      <c r="C26" s="634"/>
      <c r="D26" s="634"/>
      <c r="E26" s="634"/>
      <c r="F26" s="634"/>
      <c r="G26" s="634"/>
    </row>
    <row r="27" spans="1:7" ht="15.75">
      <c r="A27" s="634"/>
      <c r="B27" s="634"/>
      <c r="C27" s="634"/>
      <c r="D27" s="634"/>
      <c r="E27" s="634"/>
      <c r="F27" s="634"/>
      <c r="G27" s="634"/>
    </row>
    <row r="28" spans="1:7" ht="15.75">
      <c r="A28" s="634"/>
      <c r="B28" s="634"/>
      <c r="C28" s="634"/>
      <c r="D28" s="634"/>
      <c r="E28" s="634"/>
      <c r="F28" s="634"/>
      <c r="G28" s="634"/>
    </row>
    <row r="29" ht="15.75">
      <c r="A29" s="24"/>
    </row>
    <row r="30" spans="1:7" ht="15.75">
      <c r="A30" s="712" t="str">
        <f>CONCATENATE("Adopted this _________ day of ___________, ",inputPrYr!D9-1," by the ",(inputPrYr!D3)," Board, ",(inputPrYr!D4),", Kansas.")</f>
        <v>Adopted this _________ day of ___________, 2011 by the Menlo Township Board, Thomas County, Kansas.</v>
      </c>
      <c r="B30" s="634"/>
      <c r="C30" s="634"/>
      <c r="D30" s="634"/>
      <c r="E30" s="634"/>
      <c r="F30" s="634"/>
      <c r="G30" s="634"/>
    </row>
    <row r="31" spans="1:7" ht="15.75">
      <c r="A31" s="634"/>
      <c r="B31" s="634"/>
      <c r="C31" s="634"/>
      <c r="D31" s="634"/>
      <c r="E31" s="634"/>
      <c r="F31" s="634"/>
      <c r="G31" s="634"/>
    </row>
    <row r="32" ht="15.75">
      <c r="A32" s="24"/>
    </row>
    <row r="33" spans="4:7" ht="15.75">
      <c r="D33" s="709" t="str">
        <f>CONCATENATE((inputPrYr!D3)," Board")</f>
        <v>Menlo Township Board</v>
      </c>
      <c r="E33" s="709"/>
      <c r="F33" s="709"/>
      <c r="G33" s="709"/>
    </row>
    <row r="35" spans="4:7" ht="15.75">
      <c r="D35" s="708" t="s">
        <v>88</v>
      </c>
      <c r="E35" s="708"/>
      <c r="F35" s="708"/>
      <c r="G35" s="708"/>
    </row>
    <row r="36" spans="1:7" ht="15.75">
      <c r="A36" s="25"/>
      <c r="D36" s="708" t="s">
        <v>92</v>
      </c>
      <c r="E36" s="708"/>
      <c r="F36" s="708"/>
      <c r="G36" s="708"/>
    </row>
    <row r="37" spans="4:7" ht="15.75">
      <c r="D37" s="708"/>
      <c r="E37" s="708"/>
      <c r="F37" s="708"/>
      <c r="G37" s="708"/>
    </row>
    <row r="38" spans="4:7" ht="15.75">
      <c r="D38" s="708" t="s">
        <v>88</v>
      </c>
      <c r="E38" s="708"/>
      <c r="F38" s="708"/>
      <c r="G38" s="708"/>
    </row>
    <row r="39" spans="1:7" ht="15.75">
      <c r="A39" s="24"/>
      <c r="D39" s="708" t="s">
        <v>93</v>
      </c>
      <c r="E39" s="708"/>
      <c r="F39" s="708"/>
      <c r="G39" s="708"/>
    </row>
    <row r="40" spans="4:7" ht="15.75">
      <c r="D40" s="708"/>
      <c r="E40" s="708"/>
      <c r="F40" s="708"/>
      <c r="G40" s="708"/>
    </row>
    <row r="41" spans="4:7" ht="15.75">
      <c r="D41" s="708" t="s">
        <v>91</v>
      </c>
      <c r="E41" s="708"/>
      <c r="F41" s="708"/>
      <c r="G41" s="708"/>
    </row>
    <row r="42" spans="1:7" ht="15.75">
      <c r="A42" s="24"/>
      <c r="D42" s="708" t="s">
        <v>94</v>
      </c>
      <c r="E42" s="708"/>
      <c r="F42" s="708"/>
      <c r="G42" s="708"/>
    </row>
    <row r="43" ht="15.75">
      <c r="A43" s="26"/>
    </row>
    <row r="44" ht="15.75">
      <c r="A44" s="26"/>
    </row>
    <row r="45" ht="15.75">
      <c r="A45" s="26" t="s">
        <v>89</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Menlo Township</v>
      </c>
      <c r="B1" s="30"/>
      <c r="C1" s="30"/>
      <c r="D1" s="30"/>
      <c r="E1" s="30">
        <f>inputPrYr!D9</f>
        <v>2012</v>
      </c>
    </row>
    <row r="2" spans="1:5" ht="15.75">
      <c r="A2" s="42" t="str">
        <f>inputPrYr!D4</f>
        <v>Thomas County</v>
      </c>
      <c r="B2" s="30"/>
      <c r="C2" s="30"/>
      <c r="D2" s="30"/>
      <c r="E2" s="30"/>
    </row>
    <row r="3" spans="1:5" ht="15.75">
      <c r="A3" s="30"/>
      <c r="B3" s="30"/>
      <c r="C3" s="30"/>
      <c r="D3" s="30"/>
      <c r="E3" s="30"/>
    </row>
    <row r="4" spans="1:5" ht="15.75">
      <c r="A4" s="635" t="s">
        <v>113</v>
      </c>
      <c r="B4" s="636"/>
      <c r="C4" s="636"/>
      <c r="D4" s="636"/>
      <c r="E4" s="636"/>
    </row>
    <row r="5" spans="1:5" ht="15.75">
      <c r="A5" s="30"/>
      <c r="B5" s="30"/>
      <c r="C5" s="30"/>
      <c r="D5" s="30"/>
      <c r="E5" s="30"/>
    </row>
    <row r="6" spans="1:5" ht="15.75">
      <c r="A6" s="639" t="str">
        <f>CONCATENATE("From the County Clerks Budget Information for ",E1,":")</f>
        <v>From the County Clerks Budget Information for 2012:</v>
      </c>
      <c r="B6" s="640"/>
      <c r="C6" s="640"/>
      <c r="D6" s="640"/>
      <c r="E6" s="640"/>
    </row>
    <row r="7" spans="1:5" ht="15.75">
      <c r="A7" s="56" t="str">
        <f>CONCATENATE("Assessed Valuation for ",E1-1,":")</f>
        <v>Assessed Valuation for 2011:</v>
      </c>
      <c r="B7" s="10"/>
      <c r="C7" s="10"/>
      <c r="D7" s="10"/>
      <c r="E7" s="36"/>
    </row>
    <row r="8" spans="1:5" ht="15.75">
      <c r="A8" s="13" t="s">
        <v>165</v>
      </c>
      <c r="B8" s="14"/>
      <c r="C8" s="14"/>
      <c r="D8" s="14"/>
      <c r="E8" s="35">
        <v>1618159</v>
      </c>
    </row>
    <row r="9" spans="1:5" ht="15.75">
      <c r="A9" s="15" t="str">
        <f>inputPrYr!$D$6</f>
        <v>Menlo City</v>
      </c>
      <c r="B9" s="16"/>
      <c r="C9" s="16"/>
      <c r="D9" s="16"/>
      <c r="E9" s="35">
        <v>288090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1906249</v>
      </c>
    </row>
    <row r="12" spans="1:5" ht="15.75">
      <c r="A12" s="55" t="str">
        <f>CONCATENATE("New Improvements for ",E1-1,":")</f>
        <v>New Improvements for 2011:</v>
      </c>
      <c r="B12" s="10"/>
      <c r="C12" s="10"/>
      <c r="D12" s="10"/>
      <c r="E12" s="34"/>
    </row>
    <row r="13" spans="1:5" ht="15.75">
      <c r="A13" s="13" t="s">
        <v>165</v>
      </c>
      <c r="B13" s="14"/>
      <c r="C13" s="14"/>
      <c r="D13" s="14"/>
      <c r="E13" s="53">
        <v>31058</v>
      </c>
    </row>
    <row r="14" spans="1:5" ht="15.75">
      <c r="A14" s="15" t="str">
        <f>inputPrYr!$D$6</f>
        <v>Menlo City</v>
      </c>
      <c r="B14" s="14"/>
      <c r="C14" s="14"/>
      <c r="D14" s="14"/>
      <c r="E14" s="3">
        <v>2407</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33465</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67433</v>
      </c>
    </row>
    <row r="19" spans="1:5" ht="15.75">
      <c r="A19" s="15" t="str">
        <f>inputPrYr!$D$6</f>
        <v>Menlo City</v>
      </c>
      <c r="B19" s="16"/>
      <c r="C19" s="16"/>
      <c r="D19" s="16"/>
      <c r="E19" s="3">
        <v>42284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109717</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12</v>
      </c>
    </row>
    <row r="24" spans="1:5" ht="15.75">
      <c r="A24" s="15" t="str">
        <f>inputPrYr!$D$6</f>
        <v>Menlo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12</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68016</v>
      </c>
    </row>
    <row r="29" spans="1:5" ht="15.75">
      <c r="A29" s="15" t="str">
        <f>inputPrYr!$D$6</f>
        <v>Menlo City</v>
      </c>
      <c r="B29" s="16"/>
      <c r="C29" s="16"/>
      <c r="D29" s="16"/>
      <c r="E29" s="3">
        <v>45337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113353</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7" t="s">
        <v>265</v>
      </c>
      <c r="B36" s="638"/>
      <c r="C36" s="30"/>
      <c r="D36" s="37" t="s">
        <v>277</v>
      </c>
      <c r="E36" s="36"/>
    </row>
    <row r="37" spans="1:5" ht="15.75">
      <c r="A37" s="13" t="str">
        <f>inputPrYr!B20</f>
        <v>General</v>
      </c>
      <c r="B37" s="14"/>
      <c r="C37" s="10"/>
      <c r="D37" s="49">
        <v>2.486</v>
      </c>
      <c r="E37" s="36"/>
    </row>
    <row r="38" spans="1:5" ht="15.75">
      <c r="A38" s="13" t="str">
        <f>inputPrYr!B21</f>
        <v>Debt Service</v>
      </c>
      <c r="B38" s="16"/>
      <c r="C38" s="10"/>
      <c r="D38" s="50"/>
      <c r="E38" s="36"/>
    </row>
    <row r="39" spans="1:5" ht="15.75">
      <c r="A39" s="13" t="str">
        <f>inputPrYr!B22</f>
        <v>Road</v>
      </c>
      <c r="B39" s="16"/>
      <c r="C39" s="10"/>
      <c r="D39" s="50">
        <v>25.059</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Employee Benefit</v>
      </c>
      <c r="B43" s="16"/>
      <c r="C43" s="10"/>
      <c r="D43" s="51">
        <v>1.409</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255</v>
      </c>
      <c r="C48" s="10"/>
      <c r="D48" s="43">
        <f>SUM(D37:D47)</f>
        <v>28.954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1541419</v>
      </c>
    </row>
    <row r="52" spans="1:5" ht="15.75">
      <c r="A52" s="16" t="str">
        <f>inputPrYr!D6</f>
        <v>Menlo City</v>
      </c>
      <c r="B52" s="16"/>
      <c r="C52" s="16"/>
      <c r="D52" s="20"/>
      <c r="E52" s="4">
        <v>317328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1858747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114</v>
      </c>
      <c r="B58" s="14"/>
      <c r="C58" s="14"/>
      <c r="D58" s="39"/>
      <c r="E58" s="2">
        <v>1791</v>
      </c>
    </row>
    <row r="59" spans="1:5" ht="15.75">
      <c r="A59" s="15" t="s">
        <v>256</v>
      </c>
      <c r="B59" s="16"/>
      <c r="C59" s="16"/>
      <c r="D59" s="40"/>
      <c r="E59" s="2">
        <v>13</v>
      </c>
    </row>
    <row r="60" spans="1:5" ht="15.75">
      <c r="A60" s="15" t="s">
        <v>115</v>
      </c>
      <c r="B60" s="16"/>
      <c r="C60" s="16"/>
      <c r="D60" s="40"/>
      <c r="E60" s="2">
        <v>449</v>
      </c>
    </row>
    <row r="61" spans="1:5" ht="15.75">
      <c r="A61" s="45" t="s">
        <v>161</v>
      </c>
      <c r="B61" s="46"/>
      <c r="C61" s="16"/>
      <c r="D61" s="40"/>
      <c r="E61" s="31"/>
    </row>
    <row r="62" spans="1:5" ht="15.75">
      <c r="A62" s="13" t="s">
        <v>158</v>
      </c>
      <c r="B62" s="16"/>
      <c r="C62" s="16"/>
      <c r="D62" s="40"/>
      <c r="E62" s="2">
        <v>588</v>
      </c>
    </row>
    <row r="63" spans="1:5" ht="15.75">
      <c r="A63" s="15" t="s">
        <v>159</v>
      </c>
      <c r="B63" s="16"/>
      <c r="C63" s="16"/>
      <c r="D63" s="40"/>
      <c r="E63" s="2">
        <v>24</v>
      </c>
    </row>
    <row r="64" spans="1:5" ht="15.75">
      <c r="A64" s="15" t="s">
        <v>160</v>
      </c>
      <c r="B64" s="16"/>
      <c r="C64" s="16"/>
      <c r="D64" s="40"/>
      <c r="E64" s="2">
        <v>142</v>
      </c>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row>
    <row r="73" spans="1:5" ht="33" customHeight="1">
      <c r="A73" s="641" t="s">
        <v>163</v>
      </c>
      <c r="B73" s="642"/>
      <c r="C73" s="642"/>
      <c r="D73" s="642"/>
      <c r="E73" s="642"/>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3" t="s">
        <v>119</v>
      </c>
      <c r="B78" s="634"/>
      <c r="C78" s="634"/>
      <c r="D78" s="634"/>
      <c r="E78" s="634"/>
    </row>
    <row r="79" spans="1:5" ht="15.75">
      <c r="A79" s="33"/>
      <c r="B79" s="33"/>
      <c r="C79" s="33"/>
      <c r="D79" s="33"/>
      <c r="E79" s="33"/>
    </row>
    <row r="80" spans="1:5" ht="15.75">
      <c r="A80" s="629" t="str">
        <f>CONCATENATE("From the ",E1-2," Budget Certificate Page")</f>
        <v>From the 2010 Budget Certificate Page</v>
      </c>
      <c r="B80" s="630"/>
      <c r="C80" s="33"/>
      <c r="D80" s="33"/>
      <c r="E80" s="33"/>
    </row>
    <row r="81" spans="1:5" ht="15.75">
      <c r="A81" s="58"/>
      <c r="B81" s="58" t="str">
        <f>CONCATENATE("",E1-2," Expenditure Amounts")</f>
        <v>2010 Expenditure Amounts</v>
      </c>
      <c r="C81" s="631" t="str">
        <f>CONCATENATE("Note: If the ",E1-2," budget was amended, then the")</f>
        <v>Note: If the 2010 budget was amended, then the</v>
      </c>
      <c r="D81" s="632"/>
      <c r="E81" s="632"/>
    </row>
    <row r="82" spans="1:5" ht="15.75">
      <c r="A82" s="59" t="s">
        <v>185</v>
      </c>
      <c r="B82" s="59" t="s">
        <v>186</v>
      </c>
      <c r="C82" s="60" t="s">
        <v>187</v>
      </c>
      <c r="D82" s="61"/>
      <c r="E82" s="61"/>
    </row>
    <row r="83" spans="1:5" ht="15.75">
      <c r="A83" s="62" t="str">
        <f>inputPrYr!B20</f>
        <v>General</v>
      </c>
      <c r="B83" s="4">
        <v>45400</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Employee Benefit</v>
      </c>
      <c r="B89" s="4">
        <v>5000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18" t="s">
        <v>683</v>
      </c>
      <c r="C6" s="719"/>
      <c r="D6" s="719"/>
      <c r="E6" s="719"/>
      <c r="F6" s="719"/>
      <c r="G6" s="719"/>
      <c r="H6" s="719"/>
      <c r="I6" s="719"/>
      <c r="J6" s="719"/>
      <c r="K6" s="719"/>
      <c r="L6" s="429"/>
    </row>
    <row r="7" spans="1:12" ht="40.5" customHeight="1">
      <c r="A7" s="427"/>
      <c r="B7" s="720" t="s">
        <v>684</v>
      </c>
      <c r="C7" s="721"/>
      <c r="D7" s="721"/>
      <c r="E7" s="721"/>
      <c r="F7" s="721"/>
      <c r="G7" s="721"/>
      <c r="H7" s="721"/>
      <c r="I7" s="721"/>
      <c r="J7" s="721"/>
      <c r="K7" s="721"/>
      <c r="L7" s="427"/>
    </row>
    <row r="8" spans="1:12" ht="14.25">
      <c r="A8" s="427"/>
      <c r="B8" s="722" t="s">
        <v>685</v>
      </c>
      <c r="C8" s="722"/>
      <c r="D8" s="722"/>
      <c r="E8" s="722"/>
      <c r="F8" s="722"/>
      <c r="G8" s="722"/>
      <c r="H8" s="722"/>
      <c r="I8" s="722"/>
      <c r="J8" s="722"/>
      <c r="K8" s="722"/>
      <c r="L8" s="427"/>
    </row>
    <row r="9" spans="1:12" ht="14.25">
      <c r="A9" s="427"/>
      <c r="L9" s="427"/>
    </row>
    <row r="10" spans="1:12" ht="14.25">
      <c r="A10" s="427"/>
      <c r="B10" s="722" t="s">
        <v>686</v>
      </c>
      <c r="C10" s="722"/>
      <c r="D10" s="722"/>
      <c r="E10" s="722"/>
      <c r="F10" s="722"/>
      <c r="G10" s="722"/>
      <c r="H10" s="722"/>
      <c r="I10" s="722"/>
      <c r="J10" s="722"/>
      <c r="K10" s="722"/>
      <c r="L10" s="427"/>
    </row>
    <row r="11" spans="1:12" ht="14.25">
      <c r="A11" s="427"/>
      <c r="B11" s="430"/>
      <c r="C11" s="430"/>
      <c r="D11" s="430"/>
      <c r="E11" s="430"/>
      <c r="F11" s="430"/>
      <c r="G11" s="430"/>
      <c r="H11" s="430"/>
      <c r="I11" s="430"/>
      <c r="J11" s="430"/>
      <c r="K11" s="430"/>
      <c r="L11" s="427"/>
    </row>
    <row r="12" spans="1:12" ht="32.25" customHeight="1">
      <c r="A12" s="427"/>
      <c r="B12" s="723" t="s">
        <v>687</v>
      </c>
      <c r="C12" s="723"/>
      <c r="D12" s="723"/>
      <c r="E12" s="723"/>
      <c r="F12" s="723"/>
      <c r="G12" s="723"/>
      <c r="H12" s="723"/>
      <c r="I12" s="723"/>
      <c r="J12" s="723"/>
      <c r="K12" s="723"/>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17">
        <v>133685008</v>
      </c>
      <c r="G23" s="717"/>
      <c r="L23" s="427"/>
    </row>
    <row r="24" spans="1:12" ht="14.25">
      <c r="A24" s="427"/>
      <c r="L24" s="427"/>
    </row>
    <row r="25" spans="1:12" ht="14.25">
      <c r="A25" s="427"/>
      <c r="C25" s="724">
        <f>F23</f>
        <v>133685008</v>
      </c>
      <c r="D25" s="724"/>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5" t="s">
        <v>684</v>
      </c>
      <c r="C30" s="725"/>
      <c r="D30" s="725"/>
      <c r="E30" s="725"/>
      <c r="F30" s="725"/>
      <c r="G30" s="725"/>
      <c r="H30" s="725"/>
      <c r="I30" s="725"/>
      <c r="J30" s="725"/>
      <c r="K30" s="725"/>
      <c r="L30" s="427"/>
    </row>
    <row r="31" spans="1:12" ht="14.25">
      <c r="A31" s="427"/>
      <c r="B31" s="722" t="s">
        <v>698</v>
      </c>
      <c r="C31" s="722"/>
      <c r="D31" s="722"/>
      <c r="E31" s="722"/>
      <c r="F31" s="722"/>
      <c r="G31" s="722"/>
      <c r="H31" s="722"/>
      <c r="I31" s="722"/>
      <c r="J31" s="722"/>
      <c r="K31" s="722"/>
      <c r="L31" s="427"/>
    </row>
    <row r="32" spans="1:12" ht="14.25">
      <c r="A32" s="427"/>
      <c r="L32" s="427"/>
    </row>
    <row r="33" spans="1:12" ht="14.25">
      <c r="A33" s="427"/>
      <c r="B33" s="722" t="s">
        <v>699</v>
      </c>
      <c r="C33" s="722"/>
      <c r="D33" s="722"/>
      <c r="E33" s="722"/>
      <c r="F33" s="722"/>
      <c r="G33" s="722"/>
      <c r="H33" s="722"/>
      <c r="I33" s="722"/>
      <c r="J33" s="722"/>
      <c r="K33" s="722"/>
      <c r="L33" s="427"/>
    </row>
    <row r="34" spans="1:12" ht="14.25">
      <c r="A34" s="427"/>
      <c r="L34" s="427"/>
    </row>
    <row r="35" spans="1:12" ht="89.25" customHeight="1">
      <c r="A35" s="427"/>
      <c r="B35" s="723" t="s">
        <v>700</v>
      </c>
      <c r="C35" s="726"/>
      <c r="D35" s="726"/>
      <c r="E35" s="726"/>
      <c r="F35" s="726"/>
      <c r="G35" s="726"/>
      <c r="H35" s="726"/>
      <c r="I35" s="726"/>
      <c r="J35" s="726"/>
      <c r="K35" s="726"/>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27">
        <v>3120000</v>
      </c>
      <c r="D41" s="727"/>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17">
        <v>133685008</v>
      </c>
      <c r="C48" s="717"/>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28" t="s">
        <v>708</v>
      </c>
      <c r="H50" s="729"/>
      <c r="I50" s="439" t="s">
        <v>694</v>
      </c>
      <c r="J50" s="449">
        <f>B50/F50</f>
        <v>52.8690023342034</v>
      </c>
      <c r="K50" s="441"/>
      <c r="L50" s="427"/>
    </row>
    <row r="51" spans="1:15" ht="15" thickBot="1">
      <c r="A51" s="427"/>
      <c r="B51" s="442"/>
      <c r="C51" s="443"/>
      <c r="D51" s="443"/>
      <c r="E51" s="443"/>
      <c r="F51" s="443"/>
      <c r="G51" s="443"/>
      <c r="H51" s="443"/>
      <c r="I51" s="730" t="s">
        <v>709</v>
      </c>
      <c r="J51" s="730"/>
      <c r="K51" s="731"/>
      <c r="L51" s="427"/>
      <c r="O51" s="450"/>
    </row>
    <row r="52" spans="1:12" ht="40.5" customHeight="1">
      <c r="A52" s="427"/>
      <c r="B52" s="725" t="s">
        <v>684</v>
      </c>
      <c r="C52" s="725"/>
      <c r="D52" s="725"/>
      <c r="E52" s="725"/>
      <c r="F52" s="725"/>
      <c r="G52" s="725"/>
      <c r="H52" s="725"/>
      <c r="I52" s="725"/>
      <c r="J52" s="725"/>
      <c r="K52" s="725"/>
      <c r="L52" s="427"/>
    </row>
    <row r="53" spans="1:12" ht="14.25">
      <c r="A53" s="427"/>
      <c r="B53" s="722" t="s">
        <v>710</v>
      </c>
      <c r="C53" s="722"/>
      <c r="D53" s="722"/>
      <c r="E53" s="722"/>
      <c r="F53" s="722"/>
      <c r="G53" s="722"/>
      <c r="H53" s="722"/>
      <c r="I53" s="722"/>
      <c r="J53" s="722"/>
      <c r="K53" s="722"/>
      <c r="L53" s="427"/>
    </row>
    <row r="54" spans="1:12" ht="14.25">
      <c r="A54" s="427"/>
      <c r="B54" s="430"/>
      <c r="C54" s="430"/>
      <c r="D54" s="430"/>
      <c r="E54" s="430"/>
      <c r="F54" s="430"/>
      <c r="G54" s="430"/>
      <c r="H54" s="430"/>
      <c r="I54" s="430"/>
      <c r="J54" s="430"/>
      <c r="K54" s="430"/>
      <c r="L54" s="427"/>
    </row>
    <row r="55" spans="1:12" ht="14.25">
      <c r="A55" s="427"/>
      <c r="B55" s="718" t="s">
        <v>711</v>
      </c>
      <c r="C55" s="718"/>
      <c r="D55" s="718"/>
      <c r="E55" s="718"/>
      <c r="F55" s="718"/>
      <c r="G55" s="718"/>
      <c r="H55" s="718"/>
      <c r="I55" s="718"/>
      <c r="J55" s="718"/>
      <c r="K55" s="718"/>
      <c r="L55" s="427"/>
    </row>
    <row r="56" spans="1:12" ht="15" customHeight="1">
      <c r="A56" s="427"/>
      <c r="L56" s="427"/>
    </row>
    <row r="57" spans="1:24" ht="74.25" customHeight="1">
      <c r="A57" s="427"/>
      <c r="B57" s="723" t="s">
        <v>712</v>
      </c>
      <c r="C57" s="726"/>
      <c r="D57" s="726"/>
      <c r="E57" s="726"/>
      <c r="F57" s="726"/>
      <c r="G57" s="726"/>
      <c r="H57" s="726"/>
      <c r="I57" s="726"/>
      <c r="J57" s="726"/>
      <c r="K57" s="726"/>
      <c r="L57" s="427"/>
      <c r="M57" s="451"/>
      <c r="N57" s="452"/>
      <c r="O57" s="452"/>
      <c r="P57" s="452"/>
      <c r="Q57" s="452"/>
      <c r="R57" s="452"/>
      <c r="S57" s="452"/>
      <c r="T57" s="452"/>
      <c r="U57" s="452"/>
      <c r="V57" s="452"/>
      <c r="W57" s="452"/>
      <c r="X57" s="452"/>
    </row>
    <row r="58" spans="1:24" ht="15" customHeight="1">
      <c r="A58" s="427"/>
      <c r="B58" s="723"/>
      <c r="C58" s="726"/>
      <c r="D58" s="726"/>
      <c r="E58" s="726"/>
      <c r="F58" s="726"/>
      <c r="G58" s="726"/>
      <c r="H58" s="726"/>
      <c r="I58" s="726"/>
      <c r="J58" s="726"/>
      <c r="K58" s="726"/>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17">
        <v>133685008</v>
      </c>
      <c r="D74" s="717"/>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17">
        <v>5000</v>
      </c>
      <c r="D77" s="717"/>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17">
        <v>100000</v>
      </c>
      <c r="D80" s="717"/>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2">
        <f>H80</f>
        <v>11500</v>
      </c>
      <c r="D83" s="732"/>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5" t="s">
        <v>684</v>
      </c>
      <c r="C85" s="725"/>
      <c r="D85" s="725"/>
      <c r="E85" s="725"/>
      <c r="F85" s="725"/>
      <c r="G85" s="725"/>
      <c r="H85" s="725"/>
      <c r="I85" s="725"/>
      <c r="J85" s="725"/>
      <c r="K85" s="725"/>
      <c r="L85" s="427"/>
    </row>
    <row r="86" spans="1:12" ht="14.25">
      <c r="A86" s="427"/>
      <c r="B86" s="718" t="s">
        <v>732</v>
      </c>
      <c r="C86" s="718"/>
      <c r="D86" s="718"/>
      <c r="E86" s="718"/>
      <c r="F86" s="718"/>
      <c r="G86" s="718"/>
      <c r="H86" s="718"/>
      <c r="I86" s="718"/>
      <c r="J86" s="718"/>
      <c r="K86" s="718"/>
      <c r="L86" s="427"/>
    </row>
    <row r="87" spans="1:12" ht="14.25">
      <c r="A87" s="427"/>
      <c r="B87" s="466"/>
      <c r="C87" s="466"/>
      <c r="D87" s="466"/>
      <c r="E87" s="466"/>
      <c r="F87" s="466"/>
      <c r="G87" s="466"/>
      <c r="H87" s="466"/>
      <c r="I87" s="466"/>
      <c r="J87" s="466"/>
      <c r="K87" s="466"/>
      <c r="L87" s="427"/>
    </row>
    <row r="88" spans="1:12" ht="14.25">
      <c r="A88" s="427"/>
      <c r="B88" s="718" t="s">
        <v>733</v>
      </c>
      <c r="C88" s="718"/>
      <c r="D88" s="718"/>
      <c r="E88" s="718"/>
      <c r="F88" s="718"/>
      <c r="G88" s="718"/>
      <c r="H88" s="718"/>
      <c r="I88" s="718"/>
      <c r="J88" s="718"/>
      <c r="K88" s="718"/>
      <c r="L88" s="427"/>
    </row>
    <row r="89" spans="1:12" ht="14.25">
      <c r="A89" s="427"/>
      <c r="B89" s="467"/>
      <c r="C89" s="467"/>
      <c r="D89" s="467"/>
      <c r="E89" s="467"/>
      <c r="F89" s="467"/>
      <c r="G89" s="467"/>
      <c r="H89" s="467"/>
      <c r="I89" s="467"/>
      <c r="J89" s="467"/>
      <c r="K89" s="467"/>
      <c r="L89" s="427"/>
    </row>
    <row r="90" spans="1:12" ht="45" customHeight="1">
      <c r="A90" s="427"/>
      <c r="B90" s="723" t="s">
        <v>734</v>
      </c>
      <c r="C90" s="723"/>
      <c r="D90" s="723"/>
      <c r="E90" s="723"/>
      <c r="F90" s="723"/>
      <c r="G90" s="723"/>
      <c r="H90" s="723"/>
      <c r="I90" s="723"/>
      <c r="J90" s="723"/>
      <c r="K90" s="723"/>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17">
        <v>133685008</v>
      </c>
      <c r="D94" s="717"/>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17">
        <v>50000</v>
      </c>
      <c r="D97" s="717"/>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17">
        <v>2500000</v>
      </c>
      <c r="D100" s="717"/>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2">
        <f>H100</f>
        <v>750000</v>
      </c>
      <c r="D103" s="732"/>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5" t="s">
        <v>684</v>
      </c>
      <c r="C105" s="733"/>
      <c r="D105" s="733"/>
      <c r="E105" s="733"/>
      <c r="F105" s="733"/>
      <c r="G105" s="733"/>
      <c r="H105" s="733"/>
      <c r="I105" s="733"/>
      <c r="J105" s="733"/>
      <c r="K105" s="733"/>
      <c r="L105" s="427"/>
    </row>
    <row r="106" spans="1:12" ht="15" customHeight="1">
      <c r="A106" s="427"/>
      <c r="B106" s="734" t="s">
        <v>736</v>
      </c>
      <c r="C106" s="719"/>
      <c r="D106" s="719"/>
      <c r="E106" s="719"/>
      <c r="F106" s="719"/>
      <c r="G106" s="719"/>
      <c r="H106" s="719"/>
      <c r="I106" s="719"/>
      <c r="J106" s="719"/>
      <c r="K106" s="719"/>
      <c r="L106" s="427"/>
    </row>
    <row r="107" spans="1:12" ht="15" customHeight="1">
      <c r="A107" s="427"/>
      <c r="B107" s="472"/>
      <c r="C107" s="480"/>
      <c r="D107" s="480"/>
      <c r="E107" s="439"/>
      <c r="F107" s="449"/>
      <c r="G107" s="439"/>
      <c r="H107" s="439"/>
      <c r="I107" s="439"/>
      <c r="J107" s="461"/>
      <c r="K107" s="472"/>
      <c r="L107" s="427"/>
    </row>
    <row r="108" spans="1:12" ht="15" customHeight="1">
      <c r="A108" s="427"/>
      <c r="B108" s="734" t="s">
        <v>737</v>
      </c>
      <c r="C108" s="735"/>
      <c r="D108" s="735"/>
      <c r="E108" s="735"/>
      <c r="F108" s="735"/>
      <c r="G108" s="735"/>
      <c r="H108" s="735"/>
      <c r="I108" s="735"/>
      <c r="J108" s="735"/>
      <c r="K108" s="735"/>
      <c r="L108" s="427"/>
    </row>
    <row r="109" spans="1:12" ht="15" customHeight="1">
      <c r="A109" s="427"/>
      <c r="B109" s="472"/>
      <c r="C109" s="480"/>
      <c r="D109" s="480"/>
      <c r="E109" s="439"/>
      <c r="F109" s="449"/>
      <c r="G109" s="439"/>
      <c r="H109" s="439"/>
      <c r="I109" s="439"/>
      <c r="J109" s="461"/>
      <c r="K109" s="472"/>
      <c r="L109" s="427"/>
    </row>
    <row r="110" spans="1:12" ht="59.25" customHeight="1">
      <c r="A110" s="427"/>
      <c r="B110" s="738" t="s">
        <v>738</v>
      </c>
      <c r="C110" s="726"/>
      <c r="D110" s="726"/>
      <c r="E110" s="726"/>
      <c r="F110" s="726"/>
      <c r="G110" s="726"/>
      <c r="H110" s="726"/>
      <c r="I110" s="726"/>
      <c r="J110" s="726"/>
      <c r="K110" s="726"/>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17">
        <v>133685008</v>
      </c>
      <c r="D114" s="717"/>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17">
        <v>50000</v>
      </c>
      <c r="D117" s="717"/>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17">
        <v>2500000</v>
      </c>
      <c r="D120" s="717"/>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2">
        <f>H120</f>
        <v>625000</v>
      </c>
      <c r="D123" s="732"/>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5" t="s">
        <v>684</v>
      </c>
      <c r="C125" s="725"/>
      <c r="D125" s="725"/>
      <c r="E125" s="725"/>
      <c r="F125" s="725"/>
      <c r="G125" s="725"/>
      <c r="H125" s="725"/>
      <c r="I125" s="725"/>
      <c r="J125" s="725"/>
      <c r="K125" s="725"/>
      <c r="L125" s="481"/>
    </row>
    <row r="126" spans="1:12" ht="14.25">
      <c r="A126" s="427"/>
      <c r="B126" s="718" t="s">
        <v>739</v>
      </c>
      <c r="C126" s="718"/>
      <c r="D126" s="718"/>
      <c r="E126" s="718"/>
      <c r="F126" s="718"/>
      <c r="G126" s="718"/>
      <c r="H126" s="718"/>
      <c r="I126" s="718"/>
      <c r="J126" s="718"/>
      <c r="K126" s="718"/>
      <c r="L126" s="481"/>
    </row>
    <row r="127" spans="1:12" ht="14.25">
      <c r="A127" s="427"/>
      <c r="B127" s="430"/>
      <c r="C127" s="430"/>
      <c r="D127" s="430"/>
      <c r="E127" s="430"/>
      <c r="F127" s="430"/>
      <c r="G127" s="430"/>
      <c r="H127" s="430"/>
      <c r="I127" s="430"/>
      <c r="J127" s="430"/>
      <c r="K127" s="430"/>
      <c r="L127" s="481"/>
    </row>
    <row r="128" spans="1:12" ht="14.25">
      <c r="A128" s="427"/>
      <c r="B128" s="718" t="s">
        <v>740</v>
      </c>
      <c r="C128" s="718"/>
      <c r="D128" s="718"/>
      <c r="E128" s="718"/>
      <c r="F128" s="718"/>
      <c r="G128" s="718"/>
      <c r="H128" s="718"/>
      <c r="I128" s="718"/>
      <c r="J128" s="718"/>
      <c r="K128" s="718"/>
      <c r="L128" s="481"/>
    </row>
    <row r="129" spans="1:12" ht="14.25">
      <c r="A129" s="427"/>
      <c r="B129" s="467"/>
      <c r="C129" s="467"/>
      <c r="D129" s="467"/>
      <c r="E129" s="467"/>
      <c r="F129" s="467"/>
      <c r="G129" s="467"/>
      <c r="H129" s="467"/>
      <c r="I129" s="467"/>
      <c r="J129" s="467"/>
      <c r="K129" s="467"/>
      <c r="L129" s="481"/>
    </row>
    <row r="130" spans="1:12" ht="74.25" customHeight="1">
      <c r="A130" s="427"/>
      <c r="B130" s="723" t="s">
        <v>741</v>
      </c>
      <c r="C130" s="723"/>
      <c r="D130" s="723"/>
      <c r="E130" s="723"/>
      <c r="F130" s="723"/>
      <c r="G130" s="723"/>
      <c r="H130" s="723"/>
      <c r="I130" s="723"/>
      <c r="J130" s="723"/>
      <c r="K130" s="723"/>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46" t="s">
        <v>742</v>
      </c>
      <c r="D133" s="746"/>
      <c r="E133" s="438"/>
      <c r="F133" s="439" t="s">
        <v>743</v>
      </c>
      <c r="G133" s="438"/>
      <c r="H133" s="746" t="s">
        <v>728</v>
      </c>
      <c r="I133" s="746"/>
      <c r="J133" s="438"/>
      <c r="K133" s="441"/>
      <c r="L133" s="427"/>
    </row>
    <row r="134" spans="1:12" ht="14.25">
      <c r="A134" s="427"/>
      <c r="B134" s="447" t="s">
        <v>721</v>
      </c>
      <c r="C134" s="717">
        <v>100000</v>
      </c>
      <c r="D134" s="717"/>
      <c r="E134" s="439" t="s">
        <v>269</v>
      </c>
      <c r="F134" s="439">
        <v>0.115</v>
      </c>
      <c r="G134" s="439" t="s">
        <v>694</v>
      </c>
      <c r="H134" s="736">
        <f>C134*F134</f>
        <v>11500</v>
      </c>
      <c r="I134" s="736"/>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7" t="s">
        <v>728</v>
      </c>
      <c r="D136" s="737"/>
      <c r="E136" s="458"/>
      <c r="F136" s="459" t="s">
        <v>744</v>
      </c>
      <c r="G136" s="459"/>
      <c r="H136" s="458"/>
      <c r="I136" s="458"/>
      <c r="J136" s="458" t="s">
        <v>745</v>
      </c>
      <c r="K136" s="460"/>
      <c r="L136" s="427"/>
    </row>
    <row r="137" spans="1:12" ht="14.25">
      <c r="A137" s="427"/>
      <c r="B137" s="447" t="s">
        <v>724</v>
      </c>
      <c r="C137" s="736">
        <f>H134</f>
        <v>11500</v>
      </c>
      <c r="D137" s="736"/>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39" t="s">
        <v>748</v>
      </c>
      <c r="C144" s="740"/>
      <c r="D144" s="740"/>
      <c r="E144" s="740"/>
      <c r="F144" s="740"/>
      <c r="G144" s="740"/>
      <c r="H144" s="740"/>
      <c r="I144" s="740"/>
      <c r="J144" s="740"/>
      <c r="K144" s="741"/>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36" t="s">
        <v>749</v>
      </c>
      <c r="D147" s="736"/>
      <c r="E147" s="439"/>
      <c r="F147" s="499" t="s">
        <v>750</v>
      </c>
      <c r="G147" s="439"/>
      <c r="H147" s="439"/>
      <c r="I147" s="439"/>
      <c r="J147" s="742" t="s">
        <v>751</v>
      </c>
      <c r="K147" s="743"/>
      <c r="L147" s="427"/>
    </row>
    <row r="148" spans="1:12" ht="14.25">
      <c r="A148" s="427"/>
      <c r="B148" s="447"/>
      <c r="C148" s="744">
        <v>52.869</v>
      </c>
      <c r="D148" s="744"/>
      <c r="E148" s="439" t="s">
        <v>269</v>
      </c>
      <c r="F148" s="504">
        <v>133685008</v>
      </c>
      <c r="G148" s="505" t="s">
        <v>695</v>
      </c>
      <c r="H148" s="439">
        <v>1000</v>
      </c>
      <c r="I148" s="439" t="s">
        <v>694</v>
      </c>
      <c r="J148" s="736">
        <f>C148*(F148/1000)</f>
        <v>7067792.687952</v>
      </c>
      <c r="K148" s="74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4" t="s">
        <v>825</v>
      </c>
    </row>
    <row r="2" ht="15.75">
      <c r="A2" s="605" t="s">
        <v>826</v>
      </c>
    </row>
    <row r="4" ht="15.75">
      <c r="A4" s="412" t="s">
        <v>772</v>
      </c>
    </row>
    <row r="5" ht="15.75">
      <c r="A5" s="605" t="s">
        <v>773</v>
      </c>
    </row>
    <row r="6" ht="15.75">
      <c r="A6" s="605" t="s">
        <v>774</v>
      </c>
    </row>
    <row r="7" ht="31.5">
      <c r="A7" s="604" t="s">
        <v>775</v>
      </c>
    </row>
    <row r="8" ht="15.75">
      <c r="A8" s="605" t="s">
        <v>776</v>
      </c>
    </row>
    <row r="9" ht="15.75">
      <c r="A9" s="605" t="s">
        <v>777</v>
      </c>
    </row>
    <row r="10" ht="15.75">
      <c r="A10" s="605" t="s">
        <v>778</v>
      </c>
    </row>
    <row r="11" ht="15.75">
      <c r="A11" s="605" t="s">
        <v>779</v>
      </c>
    </row>
    <row r="12" ht="15.75">
      <c r="A12" s="605" t="s">
        <v>780</v>
      </c>
    </row>
    <row r="13" ht="15.75">
      <c r="A13" s="605" t="s">
        <v>781</v>
      </c>
    </row>
    <row r="14" ht="15.75">
      <c r="A14" s="605" t="s">
        <v>782</v>
      </c>
    </row>
    <row r="15" ht="15.75">
      <c r="A15" s="605" t="s">
        <v>783</v>
      </c>
    </row>
    <row r="16" ht="15.75">
      <c r="A16" s="605" t="s">
        <v>784</v>
      </c>
    </row>
    <row r="17" ht="15.75">
      <c r="A17" s="605" t="s">
        <v>785</v>
      </c>
    </row>
    <row r="18" ht="15.75">
      <c r="A18" s="605" t="s">
        <v>786</v>
      </c>
    </row>
    <row r="19" ht="15.75">
      <c r="A19" s="605" t="s">
        <v>787</v>
      </c>
    </row>
    <row r="20" ht="15.75">
      <c r="A20" s="605" t="s">
        <v>788</v>
      </c>
    </row>
    <row r="21" ht="15.75">
      <c r="A21" s="605" t="s">
        <v>789</v>
      </c>
    </row>
    <row r="22" ht="15.75">
      <c r="A22" s="605" t="s">
        <v>790</v>
      </c>
    </row>
    <row r="23" ht="15.75">
      <c r="A23" s="605" t="s">
        <v>791</v>
      </c>
    </row>
    <row r="24" ht="15.75">
      <c r="A24" s="605" t="s">
        <v>792</v>
      </c>
    </row>
    <row r="25" ht="15.75">
      <c r="A25" s="605" t="s">
        <v>793</v>
      </c>
    </row>
    <row r="26" ht="15.75">
      <c r="A26" s="605" t="s">
        <v>794</v>
      </c>
    </row>
    <row r="27" ht="15.75">
      <c r="A27" s="117" t="s">
        <v>824</v>
      </c>
    </row>
    <row r="29" ht="15.75">
      <c r="A29" s="412" t="s">
        <v>660</v>
      </c>
    </row>
    <row r="30" ht="36" customHeight="1">
      <c r="A30" s="221" t="s">
        <v>661</v>
      </c>
    </row>
    <row r="32" ht="15.75">
      <c r="A32" s="412" t="s">
        <v>656</v>
      </c>
    </row>
    <row r="33" ht="15.75">
      <c r="A33" s="117" t="s">
        <v>657</v>
      </c>
    </row>
    <row r="34" ht="15.75">
      <c r="A34" s="117" t="s">
        <v>658</v>
      </c>
    </row>
    <row r="35" ht="15.75">
      <c r="A35" s="117" t="s">
        <v>659</v>
      </c>
    </row>
    <row r="37" ht="15.75">
      <c r="A37" s="412" t="s">
        <v>645</v>
      </c>
    </row>
    <row r="38" ht="15.75">
      <c r="A38" s="117" t="s">
        <v>655</v>
      </c>
    </row>
    <row r="40" ht="15.75">
      <c r="A40" s="411" t="s">
        <v>397</v>
      </c>
    </row>
    <row r="41" ht="15.75">
      <c r="A41" s="117" t="s">
        <v>398</v>
      </c>
    </row>
    <row r="42" ht="15.75">
      <c r="A42" s="117" t="s">
        <v>399</v>
      </c>
    </row>
    <row r="43" ht="15.75">
      <c r="A43" s="117" t="s">
        <v>429</v>
      </c>
    </row>
    <row r="44" ht="15.75">
      <c r="A44" s="117" t="s">
        <v>430</v>
      </c>
    </row>
    <row r="45" ht="15.75">
      <c r="A45" s="117" t="s">
        <v>431</v>
      </c>
    </row>
    <row r="46" ht="15.75">
      <c r="A46" s="117" t="s">
        <v>643</v>
      </c>
    </row>
    <row r="48" ht="15.75">
      <c r="A48" s="411" t="s">
        <v>336</v>
      </c>
    </row>
    <row r="49" ht="15.75">
      <c r="A49" s="117" t="s">
        <v>337</v>
      </c>
    </row>
    <row r="50" ht="15.75">
      <c r="A50" s="117" t="s">
        <v>338</v>
      </c>
    </row>
    <row r="51" ht="15.75">
      <c r="A51" s="117" t="s">
        <v>339</v>
      </c>
    </row>
    <row r="52" ht="15.75">
      <c r="A52" s="117" t="s">
        <v>340</v>
      </c>
    </row>
    <row r="53" ht="15.75">
      <c r="A53" s="117" t="s">
        <v>341</v>
      </c>
    </row>
    <row r="54" ht="15.75">
      <c r="A54" s="117" t="s">
        <v>342</v>
      </c>
    </row>
    <row r="55" ht="15.75">
      <c r="A55" s="117" t="s">
        <v>343</v>
      </c>
    </row>
    <row r="56" ht="15.75">
      <c r="A56" s="117" t="s">
        <v>345</v>
      </c>
    </row>
    <row r="57" ht="15.75">
      <c r="A57" s="117" t="s">
        <v>346</v>
      </c>
    </row>
    <row r="58" ht="15.75">
      <c r="A58" s="117" t="s">
        <v>362</v>
      </c>
    </row>
    <row r="59" ht="15.75">
      <c r="A59" s="117" t="s">
        <v>363</v>
      </c>
    </row>
    <row r="60" ht="15.75">
      <c r="A60" s="117" t="s">
        <v>364</v>
      </c>
    </row>
    <row r="61" ht="15.75">
      <c r="A61" s="117" t="s">
        <v>365</v>
      </c>
    </row>
    <row r="62" ht="15.75">
      <c r="A62" s="117" t="s">
        <v>380</v>
      </c>
    </row>
    <row r="63" ht="15.75">
      <c r="A63" s="117" t="s">
        <v>381</v>
      </c>
    </row>
    <row r="64" ht="15.75">
      <c r="A64" s="117" t="s">
        <v>393</v>
      </c>
    </row>
    <row r="65" ht="15.75">
      <c r="A65" s="389" t="s">
        <v>394</v>
      </c>
    </row>
    <row r="67" ht="15.75">
      <c r="A67" s="411" t="s">
        <v>331</v>
      </c>
    </row>
    <row r="68" ht="15.75">
      <c r="A68" s="117" t="s">
        <v>332</v>
      </c>
    </row>
    <row r="70" ht="15.75">
      <c r="A70" s="411" t="s">
        <v>329</v>
      </c>
    </row>
    <row r="71" ht="15.75">
      <c r="A71" s="117" t="s">
        <v>330</v>
      </c>
    </row>
    <row r="73" ht="15.75">
      <c r="A73" s="411" t="s">
        <v>325</v>
      </c>
    </row>
    <row r="74" ht="15.75">
      <c r="A74" s="117" t="s">
        <v>326</v>
      </c>
    </row>
    <row r="75" ht="15.75">
      <c r="A75" s="117" t="s">
        <v>327</v>
      </c>
    </row>
    <row r="76" ht="15.75">
      <c r="A76" s="117" t="s">
        <v>328</v>
      </c>
    </row>
    <row r="78" ht="15.75">
      <c r="A78" s="411" t="s">
        <v>321</v>
      </c>
    </row>
    <row r="79" ht="15.75">
      <c r="A79" s="117" t="s">
        <v>322</v>
      </c>
    </row>
    <row r="80" ht="15.75">
      <c r="A80" s="117" t="s">
        <v>323</v>
      </c>
    </row>
    <row r="82" ht="15.75">
      <c r="A82" s="411" t="s">
        <v>235</v>
      </c>
    </row>
    <row r="83" ht="15.75">
      <c r="A83" s="117" t="s">
        <v>207</v>
      </c>
    </row>
    <row r="84" ht="31.5">
      <c r="A84" s="221" t="s">
        <v>208</v>
      </c>
    </row>
    <row r="85" ht="15.75">
      <c r="A85" s="117" t="s">
        <v>221</v>
      </c>
    </row>
    <row r="86" ht="15.75">
      <c r="A86" s="117" t="s">
        <v>222</v>
      </c>
    </row>
    <row r="87" ht="15.75">
      <c r="A87" s="117" t="s">
        <v>223</v>
      </c>
    </row>
    <row r="88" ht="15.75">
      <c r="A88" s="117" t="s">
        <v>224</v>
      </c>
    </row>
    <row r="89" ht="31.5">
      <c r="A89" s="221" t="s">
        <v>216</v>
      </c>
    </row>
    <row r="90" ht="31.5">
      <c r="A90" s="221" t="s">
        <v>225</v>
      </c>
    </row>
    <row r="91" ht="31.5">
      <c r="A91" s="221" t="s">
        <v>226</v>
      </c>
    </row>
    <row r="92" ht="15.75">
      <c r="A92" s="221" t="s">
        <v>227</v>
      </c>
    </row>
    <row r="93" ht="31.5">
      <c r="A93" s="221" t="s">
        <v>228</v>
      </c>
    </row>
    <row r="94" ht="15.75">
      <c r="A94" s="117" t="s">
        <v>229</v>
      </c>
    </row>
    <row r="95" ht="15.75">
      <c r="A95" s="117" t="s">
        <v>230</v>
      </c>
    </row>
    <row r="96" ht="15.75">
      <c r="A96" s="117" t="s">
        <v>231</v>
      </c>
    </row>
    <row r="97" ht="15.75">
      <c r="A97" s="117" t="s">
        <v>232</v>
      </c>
    </row>
    <row r="98" ht="31.5">
      <c r="A98" s="221" t="s">
        <v>233</v>
      </c>
    </row>
    <row r="99" ht="15.75">
      <c r="A99" s="221" t="s">
        <v>209</v>
      </c>
    </row>
    <row r="100" ht="31.5">
      <c r="A100" s="221" t="s">
        <v>217</v>
      </c>
    </row>
    <row r="101" ht="15.75">
      <c r="A101" s="221" t="s">
        <v>210</v>
      </c>
    </row>
    <row r="102" ht="15.75">
      <c r="A102" s="221" t="s">
        <v>211</v>
      </c>
    </row>
    <row r="103" ht="15.75">
      <c r="A103" s="221" t="s">
        <v>212</v>
      </c>
    </row>
    <row r="104" ht="31.5">
      <c r="A104" s="221" t="s">
        <v>213</v>
      </c>
    </row>
    <row r="105" ht="31.5">
      <c r="A105" s="221" t="s">
        <v>218</v>
      </c>
    </row>
    <row r="106" ht="31.5">
      <c r="A106" s="221" t="s">
        <v>214</v>
      </c>
    </row>
    <row r="107" ht="31.5">
      <c r="A107" s="221" t="s">
        <v>219</v>
      </c>
    </row>
    <row r="108" ht="15.75">
      <c r="A108" s="221" t="s">
        <v>220</v>
      </c>
    </row>
    <row r="109" ht="15.75">
      <c r="A109" s="221"/>
    </row>
    <row r="110" ht="15.75">
      <c r="A110" s="411" t="s">
        <v>142</v>
      </c>
    </row>
    <row r="111" ht="47.25">
      <c r="A111" s="221" t="s">
        <v>175</v>
      </c>
    </row>
    <row r="112" ht="15.75">
      <c r="A112" s="117" t="s">
        <v>143</v>
      </c>
    </row>
    <row r="113" ht="15.75">
      <c r="A113" s="117" t="s">
        <v>147</v>
      </c>
    </row>
    <row r="114" ht="15.75">
      <c r="A114" s="117" t="s">
        <v>148</v>
      </c>
    </row>
    <row r="115" ht="15.75">
      <c r="A115" s="117" t="s">
        <v>144</v>
      </c>
    </row>
    <row r="116" ht="15.75">
      <c r="A116" s="117" t="s">
        <v>145</v>
      </c>
    </row>
    <row r="117" ht="15.75">
      <c r="A117" s="117" t="s">
        <v>146</v>
      </c>
    </row>
    <row r="118" ht="15.75">
      <c r="A118" s="221" t="s">
        <v>247</v>
      </c>
    </row>
    <row r="119" ht="15.75">
      <c r="A119" s="117" t="s">
        <v>149</v>
      </c>
    </row>
    <row r="120" ht="15.75">
      <c r="A120" s="117" t="s">
        <v>150</v>
      </c>
    </row>
    <row r="121" ht="15.75">
      <c r="A121" s="117" t="s">
        <v>176</v>
      </c>
    </row>
    <row r="122" ht="15.75">
      <c r="A122" s="117" t="s">
        <v>166</v>
      </c>
    </row>
    <row r="123" ht="15.75">
      <c r="A123" s="117" t="s">
        <v>177</v>
      </c>
    </row>
    <row r="124" ht="15.75">
      <c r="A124" s="117" t="s">
        <v>151</v>
      </c>
    </row>
    <row r="125" ht="15.75">
      <c r="A125" s="117" t="s">
        <v>248</v>
      </c>
    </row>
    <row r="126" ht="15.75">
      <c r="A126" s="117" t="s">
        <v>152</v>
      </c>
    </row>
    <row r="127" ht="15.75">
      <c r="A127" s="117" t="s">
        <v>167</v>
      </c>
    </row>
    <row r="128" ht="31.5">
      <c r="A128" s="221" t="s">
        <v>168</v>
      </c>
    </row>
    <row r="129" ht="15.75">
      <c r="A129" s="117" t="s">
        <v>169</v>
      </c>
    </row>
    <row r="130" ht="15.75">
      <c r="A130" s="117" t="s">
        <v>178</v>
      </c>
    </row>
    <row r="131" ht="15.75">
      <c r="A131" s="117" t="s">
        <v>215</v>
      </c>
    </row>
    <row r="132" ht="15.75">
      <c r="A132" s="117" t="s">
        <v>246</v>
      </c>
    </row>
    <row r="133" ht="15.75">
      <c r="A133" s="117" t="s">
        <v>180</v>
      </c>
    </row>
    <row r="134" ht="15.75">
      <c r="A134" s="117" t="s">
        <v>245</v>
      </c>
    </row>
    <row r="135" ht="15.75">
      <c r="A135" s="117" t="s">
        <v>184</v>
      </c>
    </row>
    <row r="136" ht="15.75">
      <c r="A136" s="117" t="s">
        <v>189</v>
      </c>
    </row>
    <row r="137" ht="15.75">
      <c r="A137" s="117" t="s">
        <v>190</v>
      </c>
    </row>
    <row r="138" ht="15.75">
      <c r="A138" s="117" t="s">
        <v>198</v>
      </c>
    </row>
    <row r="139" ht="15.75">
      <c r="A139"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12" sqref="B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3" t="s">
        <v>405</v>
      </c>
      <c r="B2" s="644"/>
      <c r="C2" s="644"/>
      <c r="D2" s="644"/>
      <c r="E2" s="644"/>
      <c r="F2" s="644"/>
    </row>
    <row r="4" ht="15.75">
      <c r="D4" s="393"/>
    </row>
    <row r="5" spans="1:4" ht="15.75">
      <c r="A5" s="220" t="s">
        <v>400</v>
      </c>
      <c r="B5" s="394" t="s">
        <v>842</v>
      </c>
      <c r="C5" s="395"/>
      <c r="D5" s="220" t="s">
        <v>823</v>
      </c>
    </row>
    <row r="6" spans="1:4" ht="15.75">
      <c r="A6" s="220"/>
      <c r="B6" s="396"/>
      <c r="C6" s="397"/>
      <c r="D6" s="220" t="s">
        <v>822</v>
      </c>
    </row>
    <row r="7" spans="1:4" ht="15.75">
      <c r="A7" s="220" t="s">
        <v>401</v>
      </c>
      <c r="B7" s="394" t="s">
        <v>843</v>
      </c>
      <c r="C7" s="398"/>
      <c r="D7" s="220"/>
    </row>
    <row r="8" spans="1:4" ht="15.75">
      <c r="A8" s="220"/>
      <c r="B8" s="220"/>
      <c r="C8" s="220"/>
      <c r="D8" s="220"/>
    </row>
    <row r="9" spans="1:5" ht="15.75">
      <c r="A9" s="220" t="s">
        <v>402</v>
      </c>
      <c r="B9" s="399" t="s">
        <v>844</v>
      </c>
      <c r="C9" s="399"/>
      <c r="D9" s="399"/>
      <c r="E9" s="400"/>
    </row>
    <row r="10" spans="1:4" ht="15.75">
      <c r="A10" s="220"/>
      <c r="B10" s="220"/>
      <c r="C10" s="220"/>
      <c r="D10" s="220"/>
    </row>
    <row r="11" spans="1:4" ht="15.75">
      <c r="A11" s="220"/>
      <c r="B11" s="220"/>
      <c r="C11" s="220"/>
      <c r="D11" s="220"/>
    </row>
    <row r="12" spans="1:5" ht="15.75">
      <c r="A12" s="220" t="s">
        <v>403</v>
      </c>
      <c r="B12" s="399" t="s">
        <v>845</v>
      </c>
      <c r="C12" s="399"/>
      <c r="D12" s="399"/>
      <c r="E12" s="400"/>
    </row>
    <row r="15" spans="1:5" ht="15.75">
      <c r="A15" s="645" t="s">
        <v>406</v>
      </c>
      <c r="B15" s="645"/>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28">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6" t="s">
        <v>25</v>
      </c>
      <c r="B1" s="646"/>
      <c r="C1" s="646"/>
      <c r="D1" s="646"/>
      <c r="E1" s="646"/>
      <c r="F1" s="646"/>
      <c r="G1" s="66">
        <f>inputPrYr!D9</f>
        <v>2012</v>
      </c>
    </row>
    <row r="2" spans="2:6" s="66" customFormat="1" ht="15.75">
      <c r="B2" s="67"/>
      <c r="C2" s="67"/>
      <c r="D2" s="67"/>
      <c r="E2" s="67"/>
      <c r="F2" s="68"/>
    </row>
    <row r="3" spans="1:7" s="66" customFormat="1" ht="15.75">
      <c r="A3" s="650" t="str">
        <f>CONCATENATE("To the Clerk of ",inputPrYr!D4,", State of Kansas")</f>
        <v>To the Clerk of Thomas County, State of Kansas</v>
      </c>
      <c r="B3" s="651"/>
      <c r="C3" s="651"/>
      <c r="D3" s="651"/>
      <c r="E3" s="651"/>
      <c r="F3" s="651"/>
      <c r="G3" s="651"/>
    </row>
    <row r="4" spans="1:6" s="66" customFormat="1" ht="15.75">
      <c r="A4" s="70" t="s">
        <v>106</v>
      </c>
      <c r="B4" s="67"/>
      <c r="C4" s="67"/>
      <c r="D4" s="67"/>
      <c r="E4" s="67"/>
      <c r="F4" s="67"/>
    </row>
    <row r="5" s="66" customFormat="1" ht="15.75">
      <c r="C5" s="603" t="str">
        <f>inputPrYr!D3</f>
        <v>Menlo Township</v>
      </c>
    </row>
    <row r="6" spans="1:6" s="66" customFormat="1" ht="15.75">
      <c r="A6" s="655" t="s">
        <v>104</v>
      </c>
      <c r="B6" s="651"/>
      <c r="C6" s="651"/>
      <c r="D6" s="651"/>
      <c r="E6" s="651"/>
      <c r="F6" s="651"/>
    </row>
    <row r="7" spans="1:6" s="66" customFormat="1" ht="15.75" customHeight="1">
      <c r="A7" s="650" t="s">
        <v>105</v>
      </c>
      <c r="B7" s="656"/>
      <c r="C7" s="656"/>
      <c r="D7" s="656"/>
      <c r="E7" s="656"/>
      <c r="F7" s="656"/>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2" t="str">
        <f>CONCATENATE("",G1," Adopted Budget")</f>
        <v>2012 Adopted Budget</v>
      </c>
      <c r="E11" s="653"/>
      <c r="F11" s="654"/>
    </row>
    <row r="12" spans="1:6" s="66" customFormat="1" ht="15.75">
      <c r="A12" s="74"/>
      <c r="C12" s="72"/>
      <c r="D12" s="75" t="s">
        <v>257</v>
      </c>
      <c r="E12" s="647" t="str">
        <f>CONCATENATE("Amount of ",G1-1," Ad Valorem Tax")</f>
        <v>Amount of 2011 Ad Valorem Tax</v>
      </c>
      <c r="F12" s="76" t="s">
        <v>258</v>
      </c>
    </row>
    <row r="13" spans="3:6" s="66" customFormat="1" ht="15.75">
      <c r="C13" s="76" t="s">
        <v>259</v>
      </c>
      <c r="D13" s="529" t="s">
        <v>186</v>
      </c>
      <c r="E13" s="648"/>
      <c r="F13" s="78" t="s">
        <v>260</v>
      </c>
    </row>
    <row r="14" spans="1:6" s="66" customFormat="1" ht="15.75">
      <c r="A14" s="79" t="s">
        <v>261</v>
      </c>
      <c r="B14" s="80"/>
      <c r="C14" s="81" t="s">
        <v>262</v>
      </c>
      <c r="D14" s="530" t="s">
        <v>752</v>
      </c>
      <c r="E14" s="649"/>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123</v>
      </c>
      <c r="B17" s="83"/>
      <c r="C17" s="85">
        <v>4</v>
      </c>
      <c r="D17" s="73"/>
      <c r="E17" s="73"/>
      <c r="F17" s="86"/>
    </row>
    <row r="18" spans="1:6" s="66" customFormat="1" ht="15.75">
      <c r="A18" s="87" t="s">
        <v>95</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8000</v>
      </c>
      <c r="E20" s="85">
        <f>IF(gen!$E$53&lt;&gt;0,gen!$E$53,0)</f>
        <v>5398</v>
      </c>
      <c r="F20" s="95">
        <f>IF(AND(gen!E53=0,$B$45&gt;=0)," ",IF(AND(E20&gt;0,$B$45=0)," ",IF(AND(E20&gt;0,$B$45&gt;0),ROUND(E20/$B$45*1000,3))))</f>
        <v>2.837</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44832</v>
      </c>
      <c r="E22" s="85">
        <f>IF(road!$E$48&lt;&gt;0,road!$E$48,"  ")</f>
        <v>39083</v>
      </c>
      <c r="F22" s="95">
        <f>IF(AND(road!E48=0,$B$42&gt;=0)," ",IF(AND(E22&gt;0,$B$42=0)," ",IF(AND(E22&gt;0,$B$42&gt;0),ROUND(E22/$B$42*1000,3))))</f>
        <v>24.184</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IF(EmpBen!C75&gt;0,EmpBen!C75,"  ")</f>
        <v>8</v>
      </c>
      <c r="D25" s="85" t="str">
        <f>IF(EmpBen!$E$31&lt;&gt;0,EmpBen!$E$31,"  ")</f>
        <v>  </v>
      </c>
      <c r="E25" s="85" t="str">
        <f>IF(EmpBen!$E$38&lt;&gt;0,EmpBen!$E$38,"  ")</f>
        <v>  </v>
      </c>
      <c r="F25" s="95" t="str">
        <f>IF(AND(EmpBen!$E$38=0,$B$42&gt;=0)," ",IF(AND(E25&gt;0,$B$42=0)," ",IF(AND(E25&gt;0,$B$42&gt;0),ROUND(E25/$B$42*1000,3))))</f>
        <v> </v>
      </c>
    </row>
    <row r="26" spans="1:6" s="66" customFormat="1" ht="15.75">
      <c r="A26" s="92" t="str">
        <f>IF(inputPrYr!$B26&gt;"  ",inputPrYr!$B26,"  ")</f>
        <v>Employee Benefit</v>
      </c>
      <c r="B26" s="93" t="str">
        <f>IF(inputPrYr!C26&gt;0,inputPrYr!C26,"  ")</f>
        <v>12-16-102</v>
      </c>
      <c r="C26" s="94">
        <f>IF(EmpBen!C75&gt;0,EmpBen!C75,"  ")</f>
        <v>8</v>
      </c>
      <c r="D26" s="85">
        <f>IF(EmpBen!$E$67&lt;&gt;0,EmpBen!$E$67,"  ")</f>
        <v>4900</v>
      </c>
      <c r="E26" s="85">
        <f>IF(EmpBen!$E$74&lt;&gt;0,EmpBen!$E$74,"  ")</f>
        <v>4434</v>
      </c>
      <c r="F26" s="95">
        <f>IF(AND(EmpBen!$E$74=0,$B$45&gt;=0)," ",IF(AND(E26&gt;0,$B$45=0)," ",IF(AND(E26&gt;0,$B$45&gt;0),ROUND(E26/$B$45*1000,3))))</f>
        <v>2.33</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IF(inputPrYr!B40&gt;"",Fema!A3,"")</f>
        <v>Non-Budgeted Funds</v>
      </c>
      <c r="B35" s="99"/>
      <c r="C35" s="98">
        <f>IF(Fema!F33&gt;0,Fema!F33,"  ")</f>
        <v>9</v>
      </c>
      <c r="D35" s="85"/>
      <c r="E35" s="85"/>
      <c r="F35" s="95"/>
    </row>
    <row r="36" spans="1:6" s="66" customFormat="1" ht="15.75">
      <c r="A36" s="82" t="s">
        <v>267</v>
      </c>
      <c r="B36" s="97"/>
      <c r="C36" s="98">
        <f>IF(road!C65&gt;0,road!C65,"  ")</f>
        <v>7</v>
      </c>
      <c r="D36" s="90"/>
      <c r="E36" s="90"/>
      <c r="F36" s="95"/>
    </row>
    <row r="37" spans="1:6" s="66" customFormat="1" ht="16.5" thickBot="1">
      <c r="A37" s="100" t="s">
        <v>268</v>
      </c>
      <c r="B37" s="91"/>
      <c r="C37" s="101" t="s">
        <v>269</v>
      </c>
      <c r="D37" s="102">
        <f>SUM(D20:D36)</f>
        <v>57732</v>
      </c>
      <c r="E37" s="102">
        <f>SUM(E20:E36)</f>
        <v>48915</v>
      </c>
      <c r="F37" s="103">
        <f>IF(SUM(F20:F36)&gt;0,SUM(F20:F36),"")</f>
        <v>29.351</v>
      </c>
    </row>
    <row r="38" spans="1:3" s="66" customFormat="1" ht="16.5" thickTop="1">
      <c r="A38" s="87" t="s">
        <v>122</v>
      </c>
      <c r="B38" s="83"/>
      <c r="C38" s="98">
        <f>summ!C45</f>
        <v>10</v>
      </c>
    </row>
    <row r="39" spans="1:5" s="66" customFormat="1" ht="15.75">
      <c r="A39" s="82" t="s">
        <v>179</v>
      </c>
      <c r="B39" s="83"/>
      <c r="C39" s="98">
        <f>IF(nhood!C39&gt;0,nhood!C39,"")</f>
      </c>
      <c r="D39" s="104" t="s">
        <v>112</v>
      </c>
      <c r="E39" s="105" t="str">
        <f>IF(E37&gt;computation!J34,"Yes","No")</f>
        <v>No</v>
      </c>
    </row>
    <row r="40" spans="1:5" s="66" customFormat="1" ht="15.75">
      <c r="A40" s="87" t="s">
        <v>111</v>
      </c>
      <c r="B40" s="83"/>
      <c r="C40" s="98">
        <f>IF(Resolution!D50&gt;0,Resolution!D50,"")</f>
      </c>
      <c r="D40" s="106"/>
      <c r="E40" s="107"/>
    </row>
    <row r="41" spans="1:6" s="66" customFormat="1" ht="15.75">
      <c r="A41" s="82" t="s">
        <v>53</v>
      </c>
      <c r="B41" s="657" t="s">
        <v>79</v>
      </c>
      <c r="C41" s="658"/>
      <c r="D41" s="109"/>
      <c r="F41" s="74" t="s">
        <v>270</v>
      </c>
    </row>
    <row r="42" spans="1:6" s="66" customFormat="1" ht="15.75">
      <c r="A42" s="82" t="str">
        <f>inputPrYr!D3</f>
        <v>Menlo Township</v>
      </c>
      <c r="B42" s="659">
        <v>1616074</v>
      </c>
      <c r="C42" s="660"/>
      <c r="D42" s="110"/>
      <c r="F42" s="74"/>
    </row>
    <row r="43" spans="1:6" s="66" customFormat="1" ht="15.75">
      <c r="A43" s="82" t="str">
        <f>inputPrYr!D6</f>
        <v>Menlo City</v>
      </c>
      <c r="B43" s="659">
        <v>286639</v>
      </c>
      <c r="C43" s="667"/>
      <c r="D43" s="110"/>
      <c r="F43" s="74"/>
    </row>
    <row r="44" spans="1:6" s="66" customFormat="1" ht="15.75">
      <c r="A44" s="82">
        <f>inputPrYr!D7</f>
        <v>0</v>
      </c>
      <c r="B44" s="659"/>
      <c r="C44" s="667"/>
      <c r="D44" s="110"/>
      <c r="F44" s="74"/>
    </row>
    <row r="45" spans="1:6" s="66" customFormat="1" ht="15.75">
      <c r="A45" s="82" t="s">
        <v>156</v>
      </c>
      <c r="B45" s="665">
        <f>SUM(B42:C44)</f>
        <v>1902713</v>
      </c>
      <c r="C45" s="666"/>
      <c r="D45" s="110"/>
      <c r="F45" s="74"/>
    </row>
    <row r="46" spans="1:6" s="66" customFormat="1" ht="15.75">
      <c r="A46" s="111"/>
      <c r="B46" s="661" t="str">
        <f>CONCATENATE("Nov. 1, ",G1-1," Valuation")</f>
        <v>Nov. 1, 2011 Valuation</v>
      </c>
      <c r="C46" s="662"/>
      <c r="D46" s="109"/>
      <c r="F46" s="74"/>
    </row>
    <row r="47" spans="1:6" s="66" customFormat="1" ht="15.75">
      <c r="A47" s="111" t="s">
        <v>271</v>
      </c>
      <c r="D47" s="73"/>
      <c r="F47" s="74"/>
    </row>
    <row r="48" spans="1:6" s="66" customFormat="1" ht="15.75">
      <c r="A48" s="114" t="s">
        <v>850</v>
      </c>
      <c r="D48" s="109"/>
      <c r="E48" s="73"/>
      <c r="F48" s="73"/>
    </row>
    <row r="49" spans="1:2" s="66" customFormat="1" ht="15.75">
      <c r="A49" s="115" t="s">
        <v>851</v>
      </c>
      <c r="B49" s="72"/>
    </row>
    <row r="50" spans="1:6" s="66" customFormat="1" ht="15.75">
      <c r="A50" s="111" t="s">
        <v>99</v>
      </c>
      <c r="D50" s="80"/>
      <c r="E50" s="80"/>
      <c r="F50" s="80"/>
    </row>
    <row r="51" spans="1:3" s="66" customFormat="1" ht="15.75">
      <c r="A51" s="114" t="s">
        <v>852</v>
      </c>
      <c r="C51" s="74"/>
    </row>
    <row r="52" spans="1:6" s="66" customFormat="1" ht="15.75">
      <c r="A52" s="115" t="s">
        <v>853</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3" t="s">
        <v>272</v>
      </c>
      <c r="E59" s="664"/>
      <c r="F59" s="66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1"/>
      <c r="B67" s="622"/>
      <c r="C67" s="622"/>
      <c r="D67" s="622"/>
      <c r="E67" s="622"/>
      <c r="F67" s="622"/>
    </row>
    <row r="68" spans="1:6" ht="15.75">
      <c r="A68" s="621"/>
      <c r="B68" s="622"/>
      <c r="C68" s="622"/>
      <c r="D68" s="622"/>
      <c r="E68" s="622"/>
      <c r="F68" s="622"/>
    </row>
    <row r="69" spans="1:6" ht="15.75">
      <c r="A69" s="621"/>
      <c r="B69" s="622"/>
      <c r="C69" s="622"/>
      <c r="D69" s="623"/>
      <c r="E69" s="620"/>
      <c r="F69" s="62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55358"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5">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Menlo Township</v>
      </c>
      <c r="D1" s="66"/>
      <c r="E1" s="66"/>
      <c r="F1" s="66"/>
      <c r="G1" s="66"/>
      <c r="H1" s="66"/>
      <c r="I1" s="66"/>
      <c r="J1" s="66">
        <f>inputPrYr!D9</f>
        <v>2012</v>
      </c>
    </row>
    <row r="2" spans="1:10" ht="15.75">
      <c r="A2" s="66"/>
      <c r="B2" s="66"/>
      <c r="C2" s="66"/>
      <c r="D2" s="66"/>
      <c r="E2" s="66"/>
      <c r="F2" s="66"/>
      <c r="G2" s="66"/>
      <c r="H2" s="66"/>
      <c r="I2" s="66"/>
      <c r="J2" s="66"/>
    </row>
    <row r="3" spans="1:10" ht="15.75">
      <c r="A3" s="669" t="str">
        <f>CONCATENATE("Computation to Determine Limit for ",J1,"")</f>
        <v>Computation to Determine Limit for 2012</v>
      </c>
      <c r="B3" s="646"/>
      <c r="C3" s="646"/>
      <c r="D3" s="646"/>
      <c r="E3" s="646"/>
      <c r="F3" s="646"/>
      <c r="G3" s="646"/>
      <c r="H3" s="646"/>
      <c r="I3" s="646"/>
      <c r="J3" s="646"/>
    </row>
    <row r="4" spans="1:10" ht="15.75">
      <c r="A4" s="66"/>
      <c r="B4" s="66"/>
      <c r="C4" s="66"/>
      <c r="D4" s="66"/>
      <c r="E4" s="646"/>
      <c r="F4" s="646"/>
      <c r="G4" s="646"/>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48056</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48056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33465</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109717</v>
      </c>
      <c r="F14" s="270"/>
      <c r="G14" s="194"/>
      <c r="H14" s="194"/>
      <c r="I14" s="274"/>
      <c r="J14" s="194"/>
    </row>
    <row r="15" spans="1:10" ht="15.75">
      <c r="A15" s="269"/>
      <c r="B15" s="66" t="s">
        <v>43</v>
      </c>
      <c r="C15" s="66" t="str">
        <f>CONCATENATE("Personal Property ",J1-2,"")</f>
        <v>Personal Property 2010</v>
      </c>
      <c r="D15" s="269" t="s">
        <v>38</v>
      </c>
      <c r="E15" s="273">
        <f>inputOth!E31</f>
        <v>113353</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12</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33477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1906249</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1872772</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0.01787564102837932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859</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48915</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48915</v>
      </c>
    </row>
    <row r="35" spans="1:10" ht="16.5" thickTop="1">
      <c r="A35" s="66"/>
      <c r="B35" s="66"/>
      <c r="C35" s="66"/>
      <c r="D35" s="66"/>
      <c r="E35" s="66"/>
      <c r="F35" s="66"/>
      <c r="G35" s="66"/>
      <c r="H35" s="66"/>
      <c r="I35" s="66"/>
      <c r="J35" s="66"/>
    </row>
    <row r="36" spans="1:10" s="279" customFormat="1" ht="18.75">
      <c r="A36" s="668" t="str">
        <f>CONCATENATE("If the ",J1," budget includes tax levies exceeding the total on line 14, you must")</f>
        <v>If the 2012 budget includes tax levies exceeding the total on line 14, you must</v>
      </c>
      <c r="B36" s="668"/>
      <c r="C36" s="668"/>
      <c r="D36" s="668"/>
      <c r="E36" s="668"/>
      <c r="F36" s="668"/>
      <c r="G36" s="668"/>
      <c r="H36" s="668"/>
      <c r="I36" s="668"/>
      <c r="J36" s="668"/>
    </row>
    <row r="37" spans="1:10" s="279" customFormat="1" ht="18.75">
      <c r="A37" s="668" t="s">
        <v>68</v>
      </c>
      <c r="B37" s="668"/>
      <c r="C37" s="668"/>
      <c r="D37" s="668"/>
      <c r="E37" s="668"/>
      <c r="F37" s="668"/>
      <c r="G37" s="668"/>
      <c r="H37" s="668"/>
      <c r="I37" s="668"/>
      <c r="J37" s="66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26">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Menlo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0" t="s">
        <v>240</v>
      </c>
      <c r="C6" s="664"/>
      <c r="D6" s="664"/>
      <c r="E6" s="664"/>
      <c r="F6" s="664"/>
      <c r="G6" s="664"/>
      <c r="H6" s="664"/>
      <c r="I6" s="664"/>
      <c r="J6" s="664"/>
      <c r="K6" s="664"/>
    </row>
    <row r="7" spans="1:11" ht="16.5">
      <c r="A7" s="66"/>
      <c r="B7" s="646"/>
      <c r="C7" s="671"/>
      <c r="D7" s="671"/>
      <c r="E7" s="671"/>
      <c r="F7" s="671"/>
      <c r="G7" s="671"/>
      <c r="H7" s="671"/>
      <c r="I7" s="671"/>
      <c r="J7" s="671"/>
      <c r="K7" s="671"/>
    </row>
    <row r="8" spans="1:11" ht="16.5">
      <c r="A8" s="66"/>
      <c r="B8" s="646"/>
      <c r="C8" s="671"/>
      <c r="D8" s="671"/>
      <c r="E8" s="671"/>
      <c r="F8" s="671"/>
      <c r="G8" s="671"/>
      <c r="H8" s="671"/>
      <c r="I8" s="671"/>
      <c r="J8" s="671"/>
      <c r="K8" s="671"/>
    </row>
    <row r="9" spans="1:11" ht="15.75">
      <c r="A9" s="66"/>
      <c r="B9" s="66"/>
      <c r="C9" s="233"/>
      <c r="D9" s="233"/>
      <c r="E9" s="233"/>
      <c r="F9" s="233"/>
      <c r="G9" s="234"/>
      <c r="H9" s="67"/>
      <c r="I9" s="67"/>
      <c r="J9" s="66"/>
      <c r="K9" s="66"/>
    </row>
    <row r="10" spans="1:11" ht="21" customHeight="1">
      <c r="A10" s="66"/>
      <c r="B10" s="210"/>
      <c r="C10" s="235"/>
      <c r="D10" s="672" t="str">
        <f>CONCATENATE("Budget Tax Levy Amount for ",K1-2,"")</f>
        <v>Budget Tax Levy Amount for 2010</v>
      </c>
      <c r="E10" s="672" t="str">
        <f>CONCATENATE("Budget Tax Levy Rate for ",K1-1,"")</f>
        <v>Budget Tax Levy Rate for 2011</v>
      </c>
      <c r="F10" s="85"/>
      <c r="G10" s="652" t="str">
        <f>CONCATENATE("Allocation for Year ",K1,"")</f>
        <v>Allocation for Year 2012</v>
      </c>
      <c r="H10" s="674"/>
      <c r="I10" s="674"/>
      <c r="J10" s="674"/>
      <c r="K10" s="675"/>
    </row>
    <row r="11" spans="1:11" ht="15.75">
      <c r="A11" s="66"/>
      <c r="B11" s="236" t="str">
        <f>CONCATENATE("",K1-1," Budgeted Funds")</f>
        <v>2011 Budgeted Funds</v>
      </c>
      <c r="C11" s="237"/>
      <c r="D11" s="673"/>
      <c r="E11" s="673"/>
      <c r="F11" s="81"/>
      <c r="G11" s="81" t="s">
        <v>33</v>
      </c>
      <c r="H11" s="81"/>
      <c r="I11" s="81" t="s">
        <v>34</v>
      </c>
      <c r="J11" s="78" t="s">
        <v>76</v>
      </c>
      <c r="K11" s="78" t="s">
        <v>117</v>
      </c>
    </row>
    <row r="12" spans="1:11" ht="15.75">
      <c r="A12" s="66"/>
      <c r="B12" s="92" t="str">
        <f>inputPrYr!B20</f>
        <v>General</v>
      </c>
      <c r="C12" s="238"/>
      <c r="D12" s="92">
        <f>IF(inputPrYr!E20&gt;0,inputPrYr!E20,"  ")</f>
        <v>4771</v>
      </c>
      <c r="E12" s="239">
        <f>IF(inputOth!D37&gt;0,inputOth!D37,"  ")</f>
        <v>2.486</v>
      </c>
      <c r="F12" s="240"/>
      <c r="G12" s="92">
        <f>IF(inputPrYr!E20=0,0,G25-SUM(G13:G22))</f>
        <v>236</v>
      </c>
      <c r="H12" s="241"/>
      <c r="I12" s="92">
        <f>IF(inputPrYr!E20=0,0,I27-SUM(I13:I22))</f>
        <v>4</v>
      </c>
      <c r="J12" s="92">
        <f>IF(inputPrYr!E20=0,0,J29-SUM(J13:J22))</f>
        <v>59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40581</v>
      </c>
      <c r="E14" s="239">
        <f>IF(inputOth!D39&gt;0,inputOth!D39,"  ")</f>
        <v>25.059</v>
      </c>
      <c r="F14" s="240"/>
      <c r="G14" s="92">
        <f>IF(inputPrYr!E22=0,0,ROUND(D14*$G$33,0))</f>
        <v>2009</v>
      </c>
      <c r="H14" s="241"/>
      <c r="I14" s="92">
        <f>IF(inputPrYr!$E$22=0,0,ROUND($D$14*$I$35,0))</f>
        <v>31</v>
      </c>
      <c r="J14" s="92">
        <f>IF(inputPrYr!E22=0,0,ROUND($D14*$J$37,0))</f>
        <v>499</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Employee Benefit</v>
      </c>
      <c r="C18" s="238"/>
      <c r="D18" s="92">
        <f>IF(inputPrYr!E26&gt;0,inputPrYr!E26,"  ")</f>
        <v>2704</v>
      </c>
      <c r="E18" s="239">
        <f>IF(inputOth!D43&gt;0,inputOth!D43,"  ")</f>
        <v>1.409</v>
      </c>
      <c r="F18" s="240"/>
      <c r="G18" s="92">
        <f>IF(inputPrYr!E26=0,0,ROUND(D18*$G$33,0))</f>
        <v>134</v>
      </c>
      <c r="H18" s="241"/>
      <c r="I18" s="92">
        <f>IF(inputPrYr!$E$26=0,0,ROUND($D$18*$I$35,0))</f>
        <v>2</v>
      </c>
      <c r="J18" s="92">
        <f>IF(inputPrYr!E26=0,0,ROUND($D18*$J$37,0))</f>
        <v>33</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48056</v>
      </c>
      <c r="E23" s="244">
        <f>SUM(E12:E22)</f>
        <v>28.954</v>
      </c>
      <c r="F23" s="245"/>
      <c r="G23" s="243">
        <f t="shared" si="0"/>
        <v>2379</v>
      </c>
      <c r="H23" s="243"/>
      <c r="I23" s="243">
        <f t="shared" si="0"/>
        <v>37</v>
      </c>
      <c r="J23" s="243">
        <f t="shared" si="0"/>
        <v>591</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2379</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37</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591</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0.04950474446479108</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0.0007699350757449642</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0.012298152155818212</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Menlo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6" t="s">
        <v>123</v>
      </c>
      <c r="B5" s="646"/>
      <c r="C5" s="646"/>
      <c r="D5" s="646"/>
      <c r="E5" s="646"/>
      <c r="F5" s="646"/>
    </row>
    <row r="6" spans="1:6" ht="14.25" customHeight="1">
      <c r="A6" s="65"/>
      <c r="B6" s="254"/>
      <c r="C6" s="254"/>
      <c r="D6" s="254"/>
      <c r="E6" s="254"/>
      <c r="F6" s="254"/>
    </row>
    <row r="7" spans="1:6" ht="15" customHeight="1">
      <c r="A7" s="255" t="s">
        <v>263</v>
      </c>
      <c r="B7" s="255" t="s">
        <v>651</v>
      </c>
      <c r="C7" s="256" t="s">
        <v>306</v>
      </c>
      <c r="D7" s="256" t="s">
        <v>124</v>
      </c>
      <c r="E7" s="255" t="s">
        <v>125</v>
      </c>
      <c r="F7" s="255" t="s">
        <v>126</v>
      </c>
    </row>
    <row r="8" spans="1:6" ht="15" customHeight="1">
      <c r="A8" s="257" t="s">
        <v>652</v>
      </c>
      <c r="B8" s="257" t="s">
        <v>653</v>
      </c>
      <c r="C8" s="258" t="s">
        <v>127</v>
      </c>
      <c r="D8" s="258" t="s">
        <v>127</v>
      </c>
      <c r="E8" s="258" t="s">
        <v>127</v>
      </c>
      <c r="F8" s="258" t="s">
        <v>128</v>
      </c>
    </row>
    <row r="9" spans="1:6" s="261" customFormat="1" ht="15" customHeight="1" thickBot="1">
      <c r="A9" s="259" t="s">
        <v>129</v>
      </c>
      <c r="B9" s="260" t="s">
        <v>130</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7000</v>
      </c>
      <c r="D12" s="264">
        <f>gen!$D$41</f>
        <v>0</v>
      </c>
      <c r="E12" s="264">
        <f>gen!$E$41</f>
        <v>0</v>
      </c>
      <c r="F12" s="212" t="str">
        <f>IF(C12+D12+E12&gt;0,"80-122","")</f>
        <v>80-122</v>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7000</v>
      </c>
      <c r="D27" s="267">
        <f>SUM(D10:D26)</f>
        <v>0</v>
      </c>
      <c r="E27" s="267">
        <f>SUM(E10:E26)</f>
        <v>0</v>
      </c>
      <c r="F27" s="196"/>
    </row>
    <row r="28" spans="1:6" ht="15.75">
      <c r="A28" s="196"/>
      <c r="B28" s="90" t="s">
        <v>650</v>
      </c>
      <c r="C28" s="66"/>
      <c r="D28" s="184"/>
      <c r="E28" s="184"/>
      <c r="F28" s="196"/>
    </row>
    <row r="29" spans="1:6" ht="15.75">
      <c r="A29" s="196"/>
      <c r="B29" s="90" t="s">
        <v>131</v>
      </c>
      <c r="C29" s="186">
        <f>C27</f>
        <v>7000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2011-07-15T14:26:06Z</cp:lastPrinted>
  <dcterms:created xsi:type="dcterms:W3CDTF">1998-08-26T16:30:41Z</dcterms:created>
  <dcterms:modified xsi:type="dcterms:W3CDTF">2011-10-25T08:29:17Z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