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6">'gen'!$A$1:$G$51</definedName>
    <definedName name="_xlnm.Print_Area" localSheetId="0">'inputPrYr'!$A$1:$E$79</definedName>
  </definedNames>
  <calcPr fullCalcOnLoad="1"/>
</workbook>
</file>

<file path=xl/sharedStrings.xml><?xml version="1.0" encoding="utf-8"?>
<sst xmlns="http://schemas.openxmlformats.org/spreadsheetml/2006/main" count="253" uniqueCount="209">
  <si>
    <t>answering objections of taxpayers relating to the proposed use of all funds and the amount of ad valorem tax.</t>
  </si>
  <si>
    <t>the Neighborhood Revitalization Rebate table.</t>
  </si>
  <si>
    <t>a</t>
  </si>
  <si>
    <t>b</t>
  </si>
  <si>
    <t>c</t>
  </si>
  <si>
    <t>d</t>
  </si>
  <si>
    <t>e</t>
  </si>
  <si>
    <t>Smith County</t>
  </si>
  <si>
    <t>______________</t>
  </si>
  <si>
    <t>_________</t>
  </si>
  <si>
    <t>ADAMS, BROWN, BERAN</t>
  </si>
  <si>
    <t>&amp; BALL, CHTD.</t>
  </si>
  <si>
    <t>PO BOX 1186</t>
  </si>
  <si>
    <t>HAYS, KS 67601</t>
  </si>
  <si>
    <t>Special Road Election held ___________ for ___Mills for ___ years.</t>
  </si>
  <si>
    <t>First levy in ______.</t>
  </si>
  <si>
    <t>with the IRS.</t>
  </si>
  <si>
    <t>$</t>
  </si>
  <si>
    <t>Rate</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</si>
  <si>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</si>
  <si>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</si>
  <si>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</si>
  <si>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</si>
  <si>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</si>
  <si>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</si>
  <si>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</si>
  <si>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</si>
  <si>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</si>
  <si>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</si>
  <si>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</si>
  <si>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</si>
  <si>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</si>
  <si>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</si>
  <si>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</si>
  <si>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</si>
  <si>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Total Receipts</t>
  </si>
  <si>
    <t>Resources Available:</t>
  </si>
  <si>
    <t>Expenditures:</t>
  </si>
  <si>
    <t>Total Expenditures</t>
  </si>
  <si>
    <t>Tax Required</t>
  </si>
  <si>
    <t>Actual</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</si>
  <si>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</si>
  <si>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</si>
  <si>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</si>
  <si>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</si>
  <si>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</si>
  <si>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</si>
  <si>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</si>
  <si>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</si>
  <si>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</si>
  <si>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</si>
  <si>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</si>
  <si>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</si>
  <si>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</si>
  <si>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</si>
  <si>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</si>
  <si>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</si>
  <si>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</si>
  <si>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</si>
  <si>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</si>
  <si>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16/20 M Vehicle Tax</t>
  </si>
  <si>
    <t>CERTIFICATE</t>
  </si>
  <si>
    <t>FUND PAGE - GENERAL</t>
  </si>
  <si>
    <t>NOTICE OF BUDGET HEARING</t>
  </si>
  <si>
    <t>BUDGET SUMMARY</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</si>
  <si>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</si>
  <si>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</si>
  <si>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</si>
  <si>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</si>
  <si>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</si>
  <si>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</si>
  <si>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</si>
  <si>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</si>
  <si>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</si>
  <si>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</si>
  <si>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</si>
  <si>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</si>
  <si>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</si>
  <si>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</si>
  <si>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</si>
  <si>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</si>
  <si>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</si>
  <si>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</si>
  <si>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</si>
  <si>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</si>
  <si>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</si>
  <si>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</si>
  <si>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</si>
  <si>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</si>
  <si>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</si>
  <si>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</si>
  <si>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</si>
  <si>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</si>
  <si>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</si>
  <si>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</si>
  <si>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</si>
  <si>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</si>
  <si>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</si>
  <si>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</si>
  <si>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</si>
  <si>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</si>
  <si>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</si>
  <si>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</si>
  <si>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</si>
  <si>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</si>
  <si>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November 1st Valuation</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</si>
  <si>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</si>
  <si>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</si>
  <si>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</si>
  <si>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</si>
  <si>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</si>
  <si>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</si>
  <si>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</si>
  <si>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</si>
  <si>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</si>
  <si>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</si>
  <si>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</si>
  <si>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</si>
  <si>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</si>
  <si>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</si>
  <si>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</si>
  <si>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</si>
  <si>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</si>
  <si>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</si>
  <si>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</si>
  <si>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</si>
  <si>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</si>
  <si>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</si>
  <si>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</si>
  <si>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</si>
  <si>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</si>
  <si>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</si>
  <si>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</si>
  <si>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</si>
  <si>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</si>
  <si>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</si>
  <si>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</si>
  <si>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</si>
  <si>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</si>
  <si>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</si>
  <si>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</si>
  <si>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</si>
  <si>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</si>
  <si>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forms in the appropriate locations.  If any of the numbers are wrong, change them on this input sheet.</t>
  </si>
  <si>
    <t>Outstanding Indebtedness, January 1:</t>
  </si>
  <si>
    <t>County Treasurer's Slider Estimate</t>
  </si>
  <si>
    <t>Slider Factor</t>
  </si>
  <si>
    <t>Alloc of MVT, RVT, 16/20M Vehicles &amp; Slider</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</si>
  <si>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</si>
  <si>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</si>
  <si>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</si>
  <si>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</si>
  <si>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</si>
  <si>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</si>
  <si>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</si>
  <si>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</si>
  <si>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</si>
  <si>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Enter County Name followed by 'County"</t>
  </si>
  <si>
    <t>Enter Township Name followed by 'Township'</t>
  </si>
  <si>
    <t>Allocation of Motor, Recreational, and 16/20M Vehicle Tax and Slider</t>
  </si>
  <si>
    <t>Non-Appr Bal</t>
  </si>
  <si>
    <t>Tot Exp/Non-Appr Bal</t>
  </si>
  <si>
    <t>Del Comp Rate: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</si>
  <si>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</si>
  <si>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</si>
  <si>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</si>
  <si>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</si>
  <si>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</si>
  <si>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</si>
  <si>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</si>
  <si>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</si>
  <si>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</si>
  <si>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</si>
  <si>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</si>
  <si>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</si>
  <si>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</si>
  <si>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</si>
  <si>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</si>
  <si>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</si>
  <si>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</si>
  <si>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</si>
  <si>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</si>
  <si>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</si>
  <si>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</si>
  <si>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</si>
  <si>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</si>
  <si>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</si>
  <si>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</si>
  <si>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</si>
  <si>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</si>
  <si>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</si>
  <si>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</si>
  <si>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</si>
  <si>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</si>
  <si>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</si>
  <si>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</si>
  <si>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</si>
  <si>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</si>
  <si>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</si>
  <si>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</si>
  <si>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</si>
  <si>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</si>
  <si>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Administratin - Per Diem</t>
  </si>
  <si>
    <t>General Expense</t>
  </si>
  <si>
    <t>Fire Protection</t>
  </si>
  <si>
    <t>for Expenditures</t>
  </si>
  <si>
    <t>Valley Township</t>
  </si>
  <si>
    <t>Cemetary Operations</t>
  </si>
  <si>
    <t>Other Operating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</si>
</sst>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_(* #,##0.000_);_(* \(#,##0.000\);_(* &quot;-&quot;??_);_(@_)"/>
    <numFmt numFmtId="187" formatCode="_(* #,##0.0_);_(* \(#,##0.0\);_(* &quot;-&quot;??_);_(@_)"/>
  </numFmts>
  <fonts count="5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8"/>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1"/>
        <bgColor indexed="64"/>
      </patternFill>
    </fill>
    <fill>
      <patternFill patternType="solid">
        <fgColor indexed="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double"/>
    </border>
    <border>
      <left style="thin"/>
      <right>
        <color indexed="63"/>
      </right>
      <top>
        <color indexed="63"/>
      </top>
      <bottom>
        <color indexed="63"/>
      </bottom>
    </border>
  </borders>
  <cellStyleXfs count="2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5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3" borderId="16" xfId="0" applyNumberFormat="1" applyFont="1" applyFill="1" applyBorder="1" applyAlignment="1" applyProtection="1">
      <alignment horizontal="left" vertical="center"/>
      <protection locked="0"/>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37" fontId="6" fillId="34" borderId="16" xfId="0" applyNumberFormat="1" applyFont="1" applyFill="1" applyBorder="1" applyAlignment="1" applyProtection="1">
      <alignment vertical="center"/>
      <protection/>
    </xf>
    <xf numFmtId="37" fontId="6" fillId="34" borderId="0" xfId="0" applyNumberFormat="1" applyFont="1" applyFill="1" applyAlignment="1">
      <alignment vertical="center"/>
    </xf>
    <xf numFmtId="0" fontId="6" fillId="34" borderId="0" xfId="0" applyFont="1" applyFill="1" applyAlignment="1">
      <alignment vertical="center"/>
    </xf>
    <xf numFmtId="0" fontId="6" fillId="34" borderId="16" xfId="0" applyFont="1" applyFill="1" applyBorder="1" applyAlignment="1">
      <alignment horizontal="center" vertical="center"/>
    </xf>
    <xf numFmtId="0" fontId="6" fillId="34" borderId="0" xfId="0" applyFont="1" applyFill="1" applyAlignment="1">
      <alignment horizontal="right"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19"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6" fillId="34" borderId="11"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37" fontId="6" fillId="33" borderId="16" xfId="0" applyNumberFormat="1"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0"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18" xfId="0" applyNumberFormat="1" applyFont="1" applyFill="1" applyBorder="1" applyAlignment="1" applyProtection="1">
      <alignment vertical="center"/>
      <protection/>
    </xf>
    <xf numFmtId="3" fontId="6" fillId="34" borderId="18" xfId="0" applyNumberFormat="1" applyFont="1" applyFill="1" applyBorder="1" applyAlignment="1" applyProtection="1">
      <alignment vertical="center"/>
      <protection/>
    </xf>
    <xf numFmtId="0" fontId="6" fillId="34" borderId="20"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1"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7"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7" fillId="34" borderId="23"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18"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18"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18" xfId="0" applyNumberFormat="1" applyFont="1" applyFill="1" applyBorder="1" applyAlignment="1" applyProtection="1">
      <alignment vertical="center"/>
      <protection locked="0"/>
    </xf>
    <xf numFmtId="179" fontId="6" fillId="33" borderId="20"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3" fontId="6" fillId="38"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1"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18"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38"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0" fontId="7" fillId="37" borderId="24" xfId="0" applyNumberFormat="1" applyFont="1" applyFill="1" applyBorder="1" applyAlignment="1" applyProtection="1">
      <alignment horizontal="center" vertical="center"/>
      <protection/>
    </xf>
    <xf numFmtId="0" fontId="7" fillId="37"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7" borderId="23" xfId="0" applyFont="1" applyFill="1" applyBorder="1" applyAlignment="1">
      <alignment horizontal="center" vertical="center"/>
    </xf>
    <xf numFmtId="37" fontId="6" fillId="37"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18"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5"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left" vertical="center"/>
      <protection/>
    </xf>
    <xf numFmtId="0" fontId="6" fillId="38" borderId="10" xfId="0" applyFont="1" applyFill="1" applyBorder="1" applyAlignment="1" applyProtection="1">
      <alignment vertical="center"/>
      <protection/>
    </xf>
    <xf numFmtId="37" fontId="6" fillId="38" borderId="18" xfId="0" applyNumberFormat="1" applyFont="1" applyFill="1" applyBorder="1" applyAlignment="1" applyProtection="1">
      <alignment horizontal="left" vertical="center"/>
      <protection/>
    </xf>
    <xf numFmtId="0" fontId="6" fillId="38" borderId="18"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4"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4" fillId="0" borderId="0" xfId="280" applyFont="1" applyAlignment="1">
      <alignment horizontal="left" vertical="center"/>
      <protection/>
    </xf>
    <xf numFmtId="183" fontId="24"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6" fillId="34" borderId="0" xfId="0" applyFont="1" applyFill="1" applyAlignment="1">
      <alignment/>
    </xf>
    <xf numFmtId="0" fontId="5" fillId="33" borderId="10"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9" fontId="6" fillId="34" borderId="0" xfId="0" applyNumberFormat="1" applyFont="1" applyFill="1" applyAlignment="1" applyProtection="1">
      <alignment vertical="center"/>
      <protection/>
    </xf>
    <xf numFmtId="37" fontId="20" fillId="34" borderId="0" xfId="0" applyNumberFormat="1" applyFont="1" applyFill="1" applyAlignment="1" applyProtection="1">
      <alignment vertical="center"/>
      <protection/>
    </xf>
    <xf numFmtId="37" fontId="5" fillId="34" borderId="25" xfId="0" applyNumberFormat="1" applyFont="1" applyFill="1" applyBorder="1" applyAlignment="1" applyProtection="1">
      <alignment horizontal="center" vertical="center"/>
      <protection/>
    </xf>
    <xf numFmtId="173" fontId="5" fillId="34" borderId="25" xfId="0"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37" fontId="5" fillId="34" borderId="16" xfId="0" applyNumberFormat="1" applyFont="1" applyFill="1" applyBorder="1" applyAlignment="1" applyProtection="1">
      <alignment horizontal="left" vertical="center"/>
      <protection/>
    </xf>
    <xf numFmtId="37" fontId="5" fillId="34" borderId="25" xfId="0" applyNumberFormat="1" applyFont="1" applyFill="1" applyBorder="1" applyAlignment="1" applyProtection="1">
      <alignment vertical="center"/>
      <protection/>
    </xf>
    <xf numFmtId="37" fontId="5" fillId="41" borderId="25" xfId="0" applyNumberFormat="1" applyFont="1" applyFill="1" applyBorder="1" applyAlignment="1" applyProtection="1">
      <alignment vertical="center"/>
      <protection/>
    </xf>
    <xf numFmtId="181" fontId="5" fillId="41" borderId="25"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0" fontId="5" fillId="35" borderId="25" xfId="0" applyFont="1" applyFill="1" applyBorder="1" applyAlignment="1">
      <alignment horizontal="right" vertical="center"/>
    </xf>
    <xf numFmtId="0" fontId="5" fillId="0" borderId="0" xfId="0" applyFont="1" applyAlignment="1">
      <alignment vertical="center"/>
    </xf>
    <xf numFmtId="0" fontId="5" fillId="34" borderId="15" xfId="0" applyFont="1" applyFill="1" applyBorder="1" applyAlignment="1" applyProtection="1">
      <alignment vertical="center"/>
      <protection/>
    </xf>
    <xf numFmtId="3" fontId="5" fillId="34" borderId="16" xfId="0" applyNumberFormat="1" applyFont="1" applyFill="1" applyBorder="1" applyAlignment="1" applyProtection="1">
      <alignment horizontal="fill" vertical="center"/>
      <protection/>
    </xf>
    <xf numFmtId="37" fontId="5" fillId="34" borderId="0" xfId="0" applyNumberFormat="1" applyFont="1" applyFill="1" applyBorder="1" applyAlignment="1" applyProtection="1">
      <alignment vertical="center"/>
      <protection/>
    </xf>
    <xf numFmtId="37" fontId="5" fillId="36" borderId="16" xfId="0" applyNumberFormat="1" applyFont="1" applyFill="1" applyBorder="1" applyAlignment="1" applyProtection="1">
      <alignment vertical="center"/>
      <protection/>
    </xf>
    <xf numFmtId="0" fontId="5" fillId="34" borderId="16" xfId="0" applyFont="1" applyFill="1" applyBorder="1" applyAlignment="1" applyProtection="1">
      <alignment vertical="center"/>
      <protection/>
    </xf>
    <xf numFmtId="3" fontId="5" fillId="34" borderId="25" xfId="0" applyNumberFormat="1" applyFont="1" applyFill="1" applyBorder="1" applyAlignment="1" applyProtection="1">
      <alignment horizontal="center" vertical="center"/>
      <protection/>
    </xf>
    <xf numFmtId="181" fontId="5" fillId="34" borderId="25" xfId="0" applyNumberFormat="1" applyFont="1" applyFill="1" applyBorder="1" applyAlignment="1" applyProtection="1">
      <alignment horizontal="center" vertical="center"/>
      <protection/>
    </xf>
    <xf numFmtId="0" fontId="5" fillId="34" borderId="0" xfId="0" applyFont="1" applyFill="1" applyAlignment="1" applyProtection="1">
      <alignment vertical="center"/>
      <protection locked="0"/>
    </xf>
    <xf numFmtId="0" fontId="1" fillId="0" borderId="0" xfId="0" applyFont="1" applyAlignment="1">
      <alignment vertical="center"/>
    </xf>
    <xf numFmtId="37" fontId="6" fillId="34" borderId="16" xfId="0" applyNumberFormat="1" applyFont="1" applyFill="1" applyBorder="1" applyAlignment="1" applyProtection="1">
      <alignment horizontal="right" vertical="center"/>
      <protection/>
    </xf>
    <xf numFmtId="37" fontId="5" fillId="36" borderId="25"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186" fontId="6" fillId="34" borderId="16" xfId="42" applyNumberFormat="1" applyFont="1" applyFill="1" applyBorder="1" applyAlignment="1" applyProtection="1">
      <alignment horizontal="right" vertical="center"/>
      <protection/>
    </xf>
    <xf numFmtId="186" fontId="6" fillId="34" borderId="16" xfId="0" applyNumberFormat="1" applyFont="1" applyFill="1" applyBorder="1" applyAlignment="1" applyProtection="1">
      <alignment vertical="center"/>
      <protection/>
    </xf>
    <xf numFmtId="186" fontId="5" fillId="36" borderId="16" xfId="0" applyNumberFormat="1" applyFont="1" applyFill="1" applyBorder="1" applyAlignment="1" applyProtection="1">
      <alignment vertical="center"/>
      <protection/>
    </xf>
    <xf numFmtId="186" fontId="6" fillId="36" borderId="16" xfId="42" applyNumberFormat="1" applyFont="1" applyFill="1" applyBorder="1" applyAlignment="1" applyProtection="1">
      <alignment horizontal="right" vertical="center"/>
      <protection/>
    </xf>
    <xf numFmtId="186" fontId="6" fillId="36"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right" vertical="center"/>
      <protection/>
    </xf>
    <xf numFmtId="180" fontId="6" fillId="34" borderId="16" xfId="42" applyNumberFormat="1" applyFont="1" applyFill="1" applyBorder="1" applyAlignment="1" applyProtection="1">
      <alignment horizontal="right" vertical="center"/>
      <protection/>
    </xf>
    <xf numFmtId="180" fontId="6" fillId="34" borderId="16" xfId="0" applyNumberFormat="1" applyFont="1" applyFill="1" applyBorder="1" applyAlignment="1" applyProtection="1">
      <alignment vertical="center"/>
      <protection/>
    </xf>
    <xf numFmtId="0" fontId="6" fillId="34" borderId="19" xfId="0" applyFont="1" applyFill="1" applyBorder="1" applyAlignment="1" applyProtection="1">
      <alignment horizontal="center" vertical="center"/>
      <protection/>
    </xf>
    <xf numFmtId="37" fontId="6" fillId="38" borderId="11" xfId="0" applyNumberFormat="1" applyFont="1" applyFill="1" applyBorder="1" applyAlignment="1" applyProtection="1">
      <alignment horizontal="center" vertical="center" wrapText="1"/>
      <protection/>
    </xf>
    <xf numFmtId="0" fontId="0" fillId="38"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6"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26"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7"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8"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4" xfId="0" applyNumberFormat="1" applyFont="1" applyFill="1" applyBorder="1" applyAlignment="1" applyProtection="1">
      <alignment horizontal="center" vertical="center"/>
      <protection/>
    </xf>
    <xf numFmtId="3" fontId="18" fillId="35" borderId="15" xfId="0" applyNumberFormat="1" applyFont="1" applyFill="1" applyBorder="1" applyAlignment="1" applyProtection="1">
      <alignment horizontal="center" vertical="center"/>
      <protection/>
    </xf>
    <xf numFmtId="3" fontId="5" fillId="33" borderId="14" xfId="0" applyNumberFormat="1" applyFont="1" applyFill="1" applyBorder="1" applyAlignment="1" applyProtection="1">
      <alignment vertical="center"/>
      <protection locked="0"/>
    </xf>
    <xf numFmtId="3" fontId="5" fillId="33" borderId="15" xfId="0" applyNumberFormat="1" applyFont="1" applyFill="1" applyBorder="1" applyAlignment="1" applyProtection="1">
      <alignment vertical="center"/>
      <protection locked="0"/>
    </xf>
    <xf numFmtId="1" fontId="6" fillId="34" borderId="2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23"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0" fontId="5" fillId="34" borderId="0" xfId="58" applyNumberFormat="1" applyFont="1" applyFill="1" applyBorder="1" applyAlignment="1" applyProtection="1">
      <alignment horizontal="right" vertical="center"/>
      <protection/>
    </xf>
    <xf numFmtId="0" fontId="5" fillId="0" borderId="0" xfId="58" applyFont="1" applyAlignment="1" applyProtection="1">
      <alignment horizontal="right" vertical="center"/>
      <protection/>
    </xf>
    <xf numFmtId="0" fontId="5" fillId="0" borderId="22" xfId="58" applyFont="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37" fontId="6" fillId="34" borderId="22"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7" fontId="6" fillId="34" borderId="20" xfId="0" applyNumberFormat="1" applyFont="1" applyFill="1" applyBorder="1" applyAlignment="1" applyProtection="1">
      <alignment horizontal="right" vertical="center"/>
      <protection/>
    </xf>
    <xf numFmtId="0" fontId="4" fillId="0" borderId="20" xfId="0" applyFont="1" applyBorder="1" applyAlignment="1">
      <alignment vertical="center"/>
    </xf>
    <xf numFmtId="0" fontId="4" fillId="0" borderId="17" xfId="0" applyFont="1" applyBorder="1" applyAlignment="1">
      <alignment vertical="center"/>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cellXfs>
  <cellStyles count="2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te" xfId="293"/>
    <cellStyle name="Output" xfId="294"/>
    <cellStyle name="Percent" xfId="295"/>
    <cellStyle name="Title" xfId="296"/>
    <cellStyle name="Total" xfId="297"/>
    <cellStyle name="Warning Text" xfId="298"/>
  </cellStyles>
  <dxfs count="14">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219075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1448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180975</xdr:colOff>
      <xdr:row>70</xdr:row>
      <xdr:rowOff>0</xdr:rowOff>
    </xdr:to>
    <xdr:pic>
      <xdr:nvPicPr>
        <xdr:cNvPr id="1" name="Picture 1"/>
        <xdr:cNvPicPr preferRelativeResize="1">
          <a:picLocks noChangeAspect="1"/>
        </xdr:cNvPicPr>
      </xdr:nvPicPr>
      <xdr:blipFill>
        <a:blip r:embed="rId1"/>
        <a:stretch>
          <a:fillRect/>
        </a:stretch>
      </xdr:blipFill>
      <xdr:spPr>
        <a:xfrm>
          <a:off x="0" y="0"/>
          <a:ext cx="10239375" cy="14001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16">
      <selection activeCell="E50" sqref="E5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199" t="s">
        <v>163</v>
      </c>
      <c r="B1" s="14"/>
      <c r="C1" s="14"/>
      <c r="D1" s="14"/>
      <c r="E1" s="14"/>
    </row>
    <row r="2" spans="1:5" ht="15.75">
      <c r="A2" s="67" t="s">
        <v>158</v>
      </c>
      <c r="B2" s="14"/>
      <c r="C2" s="14"/>
      <c r="D2" s="171" t="s">
        <v>206</v>
      </c>
      <c r="E2" s="19"/>
    </row>
    <row r="3" spans="1:5" ht="15.75">
      <c r="A3" s="67" t="s">
        <v>157</v>
      </c>
      <c r="B3" s="14"/>
      <c r="C3" s="14"/>
      <c r="D3" s="200" t="s">
        <v>7</v>
      </c>
      <c r="E3" s="19"/>
    </row>
    <row r="4" spans="1:5" ht="15.75">
      <c r="A4" s="14"/>
      <c r="B4" s="14"/>
      <c r="C4" s="14"/>
      <c r="D4" s="14"/>
      <c r="E4" s="14"/>
    </row>
    <row r="5" spans="1:5" ht="15.75">
      <c r="A5" s="17" t="s">
        <v>121</v>
      </c>
      <c r="B5" s="14"/>
      <c r="C5" s="14"/>
      <c r="D5" s="201">
        <v>2012</v>
      </c>
      <c r="E5" s="14"/>
    </row>
    <row r="6" spans="1:5" ht="15.75">
      <c r="A6" s="14"/>
      <c r="B6" s="14"/>
      <c r="C6" s="14"/>
      <c r="D6" s="14"/>
      <c r="E6" s="14"/>
    </row>
    <row r="7" spans="1:5" ht="15.75">
      <c r="A7" s="97" t="s">
        <v>123</v>
      </c>
      <c r="B7" s="101"/>
      <c r="C7" s="101"/>
      <c r="D7" s="101"/>
      <c r="E7" s="101"/>
    </row>
    <row r="8" spans="1:5" ht="15.75">
      <c r="A8" s="97" t="s">
        <v>143</v>
      </c>
      <c r="B8" s="101"/>
      <c r="C8" s="101"/>
      <c r="D8" s="101"/>
      <c r="E8" s="101"/>
    </row>
    <row r="9" spans="1:5" ht="15.75">
      <c r="A9" s="14"/>
      <c r="B9" s="14"/>
      <c r="C9" s="14"/>
      <c r="D9" s="14"/>
      <c r="E9" s="14"/>
    </row>
    <row r="10" spans="1:5" ht="15.75">
      <c r="A10" s="279" t="s">
        <v>130</v>
      </c>
      <c r="B10" s="280"/>
      <c r="C10" s="280"/>
      <c r="D10" s="280"/>
      <c r="E10" s="280"/>
    </row>
    <row r="11" spans="1:5" ht="15.75">
      <c r="A11" s="67"/>
      <c r="B11" s="14"/>
      <c r="C11" s="14"/>
      <c r="D11" s="14"/>
      <c r="E11" s="14"/>
    </row>
    <row r="12" spans="1:5" ht="15.75">
      <c r="A12" s="202" t="s">
        <v>122</v>
      </c>
      <c r="B12" s="185"/>
      <c r="C12" s="14"/>
      <c r="D12" s="50"/>
      <c r="E12" s="203"/>
    </row>
    <row r="13" spans="1:5" ht="15.75">
      <c r="A13" s="204" t="str">
        <f>CONCATENATE("the ",D5-1," Budget, Certificate Page:")</f>
        <v>the 2011 Budget, Certificate Page:</v>
      </c>
      <c r="B13" s="205"/>
      <c r="C13" s="50"/>
      <c r="D13" s="14"/>
      <c r="E13" s="244">
        <v>0.98</v>
      </c>
    </row>
    <row r="14" spans="1:5" ht="15.75">
      <c r="A14" s="204" t="s">
        <v>185</v>
      </c>
      <c r="B14" s="205"/>
      <c r="C14" s="50"/>
      <c r="D14" s="206">
        <f>$D$5-1</f>
        <v>2011</v>
      </c>
      <c r="E14" s="207">
        <f>$D$5-2</f>
        <v>2010</v>
      </c>
    </row>
    <row r="15" spans="1:5" ht="15.75">
      <c r="A15" s="22" t="s">
        <v>165</v>
      </c>
      <c r="B15" s="14"/>
      <c r="C15" s="208" t="s">
        <v>164</v>
      </c>
      <c r="D15" s="209" t="s">
        <v>187</v>
      </c>
      <c r="E15" s="210" t="s">
        <v>29</v>
      </c>
    </row>
    <row r="16" spans="1:5" ht="15.75">
      <c r="A16" s="14"/>
      <c r="B16" s="70" t="s">
        <v>166</v>
      </c>
      <c r="C16" s="114" t="s">
        <v>167</v>
      </c>
      <c r="D16" s="119">
        <v>3819</v>
      </c>
      <c r="E16" s="119">
        <v>1873</v>
      </c>
    </row>
    <row r="17" spans="1:5" ht="15.75">
      <c r="A17" s="14"/>
      <c r="B17" s="119"/>
      <c r="C17" s="211"/>
      <c r="D17" s="119"/>
      <c r="E17" s="119"/>
    </row>
    <row r="18" spans="1:5" ht="15.75">
      <c r="A18" s="14"/>
      <c r="B18" s="119"/>
      <c r="C18" s="211"/>
      <c r="D18" s="119"/>
      <c r="E18" s="119"/>
    </row>
    <row r="19" spans="1:5" ht="15.75">
      <c r="A19" s="14"/>
      <c r="B19" s="71"/>
      <c r="C19" s="212"/>
      <c r="D19" s="119"/>
      <c r="E19" s="119"/>
    </row>
    <row r="20" spans="1:5" ht="15.75">
      <c r="A20" s="14"/>
      <c r="B20" s="71"/>
      <c r="C20" s="212"/>
      <c r="D20" s="119"/>
      <c r="E20" s="119"/>
    </row>
    <row r="21" spans="1:5" ht="15.75">
      <c r="A21" s="14"/>
      <c r="B21" s="71"/>
      <c r="C21" s="212"/>
      <c r="D21" s="119"/>
      <c r="E21" s="119"/>
    </row>
    <row r="22" spans="1:5" ht="15.75">
      <c r="A22" s="14"/>
      <c r="B22" s="71"/>
      <c r="C22" s="212"/>
      <c r="D22" s="119"/>
      <c r="E22" s="119"/>
    </row>
    <row r="23" spans="1:5" ht="15.75">
      <c r="A23" s="213" t="str">
        <f>CONCATENATE("Total Ad Valorem Tax for ",D5-1," Budgeted Year")</f>
        <v>Total Ad Valorem Tax for 2011 Budgeted Year</v>
      </c>
      <c r="B23" s="20"/>
      <c r="C23" s="157"/>
      <c r="D23" s="214"/>
      <c r="E23" s="215">
        <f>SUM(E16:E22)</f>
        <v>1873</v>
      </c>
    </row>
    <row r="24" spans="1:5" ht="15.75">
      <c r="A24" s="19"/>
      <c r="B24" s="19"/>
      <c r="C24" s="19"/>
      <c r="D24" s="24"/>
      <c r="E24" s="93"/>
    </row>
    <row r="25" spans="1:5" ht="15.75">
      <c r="A25" s="14" t="s">
        <v>119</v>
      </c>
      <c r="B25" s="14"/>
      <c r="C25" s="14"/>
      <c r="D25" s="14"/>
      <c r="E25" s="14"/>
    </row>
    <row r="26" spans="1:5" ht="15.75">
      <c r="A26" s="14"/>
      <c r="B26" s="120"/>
      <c r="C26" s="14"/>
      <c r="D26" s="36"/>
      <c r="E26" s="19"/>
    </row>
    <row r="27" spans="1:5" ht="15.75">
      <c r="A27" s="14"/>
      <c r="B27" s="120"/>
      <c r="C27" s="14"/>
      <c r="D27" s="36"/>
      <c r="E27" s="19"/>
    </row>
    <row r="28" spans="1:5" ht="15.75">
      <c r="A28" s="213" t="str">
        <f>CONCATENATE("Total Expenditures for ",D5-1,"")</f>
        <v>Total Expenditures for 2011</v>
      </c>
      <c r="B28" s="216"/>
      <c r="C28" s="152"/>
      <c r="D28" s="111">
        <f>SUM(D16:D22,D26:D27)</f>
        <v>3819</v>
      </c>
      <c r="E28" s="14"/>
    </row>
    <row r="29" spans="1:5" ht="15.75">
      <c r="A29" s="14"/>
      <c r="B29" s="14"/>
      <c r="C29" s="14"/>
      <c r="D29" s="14"/>
      <c r="E29" s="14"/>
    </row>
    <row r="30" spans="1:5" ht="15.75">
      <c r="A30" s="165" t="s">
        <v>186</v>
      </c>
      <c r="B30" s="19"/>
      <c r="C30" s="14"/>
      <c r="D30" s="14"/>
      <c r="E30" s="14"/>
    </row>
    <row r="31" spans="1:5" ht="15.75">
      <c r="A31" s="217">
        <v>1</v>
      </c>
      <c r="B31" s="120" t="s">
        <v>2</v>
      </c>
      <c r="C31" s="14"/>
      <c r="D31" s="14"/>
      <c r="E31" s="14"/>
    </row>
    <row r="32" spans="1:5" ht="15.75">
      <c r="A32" s="217">
        <v>2</v>
      </c>
      <c r="B32" s="120" t="s">
        <v>3</v>
      </c>
      <c r="C32" s="14"/>
      <c r="D32" s="14"/>
      <c r="E32" s="14"/>
    </row>
    <row r="33" spans="1:5" ht="15.75">
      <c r="A33" s="217">
        <v>3</v>
      </c>
      <c r="B33" s="120" t="s">
        <v>4</v>
      </c>
      <c r="C33" s="14"/>
      <c r="D33" s="14"/>
      <c r="E33" s="14"/>
    </row>
    <row r="34" spans="1:5" ht="15.75">
      <c r="A34" s="217">
        <v>4</v>
      </c>
      <c r="B34" s="120" t="s">
        <v>5</v>
      </c>
      <c r="C34" s="14"/>
      <c r="D34" s="14"/>
      <c r="E34" s="14"/>
    </row>
    <row r="35" spans="1:5" ht="15.75">
      <c r="A35" s="217">
        <v>5</v>
      </c>
      <c r="B35" s="120" t="s">
        <v>6</v>
      </c>
      <c r="C35" s="14"/>
      <c r="D35" s="14"/>
      <c r="E35" s="14"/>
    </row>
    <row r="36" spans="1:5" ht="15.75">
      <c r="A36" s="14"/>
      <c r="B36" s="14"/>
      <c r="C36" s="14"/>
      <c r="D36" s="14"/>
      <c r="E36" s="14"/>
    </row>
    <row r="37" spans="1:5" ht="15.75" customHeight="1">
      <c r="A37" s="202" t="s">
        <v>122</v>
      </c>
      <c r="B37" s="185"/>
      <c r="C37" s="14"/>
      <c r="D37" s="277" t="str">
        <f>CONCATENATE("",D5-3," Tax Rate                    (",D5-2," Column)")</f>
        <v>2009 Tax Rate                    (2010 Column)</v>
      </c>
      <c r="E37" s="14"/>
    </row>
    <row r="38" spans="1:5" ht="15.75">
      <c r="A38" s="204" t="str">
        <f>CONCATENATE("the ",D5-1," Budget, Budget Summary Page:")</f>
        <v>the 2011 Budget, Budget Summary Page:</v>
      </c>
      <c r="B38" s="173"/>
      <c r="C38" s="14"/>
      <c r="D38" s="278"/>
      <c r="E38" s="14"/>
    </row>
    <row r="39" spans="1:5" ht="15.75">
      <c r="A39" s="14"/>
      <c r="B39" s="75" t="str">
        <f>B16</f>
        <v>General</v>
      </c>
      <c r="C39" s="14"/>
      <c r="D39" s="218">
        <v>1.999</v>
      </c>
      <c r="E39" s="14"/>
    </row>
    <row r="40" spans="1:5" ht="15.75">
      <c r="A40" s="14"/>
      <c r="B40" s="70">
        <f aca="true" t="shared" si="0" ref="B40:B45">B17</f>
        <v>0</v>
      </c>
      <c r="C40" s="14"/>
      <c r="D40" s="219"/>
      <c r="E40" s="14"/>
    </row>
    <row r="41" spans="1:5" ht="15.75">
      <c r="A41" s="14"/>
      <c r="B41" s="70">
        <f t="shared" si="0"/>
        <v>0</v>
      </c>
      <c r="C41" s="14"/>
      <c r="D41" s="219"/>
      <c r="E41" s="14"/>
    </row>
    <row r="42" spans="1:5" ht="15.75">
      <c r="A42" s="14"/>
      <c r="B42" s="70">
        <f t="shared" si="0"/>
        <v>0</v>
      </c>
      <c r="C42" s="14"/>
      <c r="D42" s="219"/>
      <c r="E42" s="14"/>
    </row>
    <row r="43" spans="1:5" ht="15.75">
      <c r="A43" s="14"/>
      <c r="B43" s="70">
        <f t="shared" si="0"/>
        <v>0</v>
      </c>
      <c r="C43" s="14"/>
      <c r="D43" s="219"/>
      <c r="E43" s="14"/>
    </row>
    <row r="44" spans="1:5" ht="15.75">
      <c r="A44" s="14"/>
      <c r="B44" s="70">
        <f t="shared" si="0"/>
        <v>0</v>
      </c>
      <c r="C44" s="14"/>
      <c r="D44" s="219"/>
      <c r="E44" s="14"/>
    </row>
    <row r="45" spans="1:5" ht="15.75">
      <c r="A45" s="14"/>
      <c r="B45" s="70">
        <f t="shared" si="0"/>
        <v>0</v>
      </c>
      <c r="C45" s="14"/>
      <c r="D45" s="219"/>
      <c r="E45" s="14"/>
    </row>
    <row r="46" spans="1:5" ht="16.5" thickBot="1">
      <c r="A46" s="69" t="str">
        <f>CONCATENATE("Total ",D5-3," Tax Levy Rate")</f>
        <v>Total 2009 Tax Levy Rate</v>
      </c>
      <c r="B46" s="220"/>
      <c r="C46" s="152"/>
      <c r="D46" s="221">
        <f>SUM(D39:D45)</f>
        <v>1.999</v>
      </c>
      <c r="E46" s="14"/>
    </row>
    <row r="47" spans="1:5" ht="16.5" thickTop="1">
      <c r="A47" s="14"/>
      <c r="B47" s="14"/>
      <c r="C47" s="14"/>
      <c r="D47" s="14"/>
      <c r="E47" s="14"/>
    </row>
    <row r="48" spans="1:5" ht="15.75">
      <c r="A48" s="222" t="str">
        <f>CONCATENATE("Total Tax Levied (",D5-2," budget column)")</f>
        <v>Total Tax Levied (2010 budget column)</v>
      </c>
      <c r="B48" s="223"/>
      <c r="C48" s="20"/>
      <c r="D48" s="152"/>
      <c r="E48" s="119">
        <v>1851</v>
      </c>
    </row>
    <row r="49" spans="1:5" ht="15.75">
      <c r="A49" s="224" t="str">
        <f>CONCATENATE("Assessed Valuation (",D5-2," budget column)")</f>
        <v>Assessed Valuation (2010 budget column)</v>
      </c>
      <c r="B49" s="225"/>
      <c r="C49" s="157"/>
      <c r="D49" s="29"/>
      <c r="E49" s="119">
        <v>925981</v>
      </c>
    </row>
    <row r="50" spans="1:5" ht="15.75">
      <c r="A50" s="165"/>
      <c r="B50" s="19"/>
      <c r="C50" s="19"/>
      <c r="D50" s="19"/>
      <c r="E50" s="176"/>
    </row>
    <row r="51" spans="1:5" ht="15.75">
      <c r="A51" s="14"/>
      <c r="B51" s="14"/>
      <c r="C51" s="14"/>
      <c r="D51" s="14"/>
      <c r="E51" s="57"/>
    </row>
    <row r="52" spans="1:5" ht="15.75">
      <c r="A52" s="185" t="s">
        <v>144</v>
      </c>
      <c r="B52" s="185"/>
      <c r="C52" s="84"/>
      <c r="D52" s="226">
        <f>D5-3</f>
        <v>2009</v>
      </c>
      <c r="E52" s="226">
        <f>D5-2</f>
        <v>2010</v>
      </c>
    </row>
    <row r="53" spans="1:5" ht="15.75">
      <c r="A53" s="223" t="s">
        <v>139</v>
      </c>
      <c r="B53" s="223"/>
      <c r="C53" s="227"/>
      <c r="D53" s="36"/>
      <c r="E53" s="36"/>
    </row>
    <row r="54" spans="1:5" ht="15.75">
      <c r="A54" s="225" t="s">
        <v>140</v>
      </c>
      <c r="B54" s="225"/>
      <c r="C54" s="228"/>
      <c r="D54" s="36"/>
      <c r="E54" s="36"/>
    </row>
    <row r="55" spans="1:5" ht="15.75">
      <c r="A55" s="225" t="s">
        <v>141</v>
      </c>
      <c r="B55" s="225"/>
      <c r="C55" s="228"/>
      <c r="D55" s="36"/>
      <c r="E55" s="36"/>
    </row>
    <row r="56" spans="1:5" ht="15.75">
      <c r="A56" s="225"/>
      <c r="B56" s="225"/>
      <c r="C56" s="229"/>
      <c r="D56" s="36"/>
      <c r="E56" s="36"/>
    </row>
    <row r="57" spans="1:5" ht="15.75">
      <c r="A57" s="12"/>
      <c r="B57" s="12"/>
      <c r="C57" s="12"/>
      <c r="D57" s="12"/>
      <c r="E57" s="12"/>
    </row>
    <row r="58" spans="1:5" ht="15.75">
      <c r="A58" s="12"/>
      <c r="B58" s="12"/>
      <c r="C58" s="12"/>
      <c r="D58" s="12"/>
      <c r="E58" s="12"/>
    </row>
    <row r="59" spans="1:5" ht="15.75">
      <c r="A59" s="12"/>
      <c r="B59" s="12"/>
      <c r="C59" s="12"/>
      <c r="D59" s="12"/>
      <c r="E59" s="12"/>
    </row>
    <row r="60" spans="1:5" ht="15.75">
      <c r="A60" s="12"/>
      <c r="B60" s="12"/>
      <c r="C60" s="12"/>
      <c r="D60" s="12"/>
      <c r="E60" s="12"/>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s="230" customFormat="1"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7" s="73" customFormat="1" ht="15.75">
      <c r="A77" s="12"/>
      <c r="B77" s="12"/>
      <c r="C77" s="12"/>
      <c r="D77" s="12"/>
      <c r="E77" s="12"/>
      <c r="G77" s="16"/>
    </row>
    <row r="78" spans="1:7" s="73" customFormat="1" ht="15.75">
      <c r="A78" s="12"/>
      <c r="B78" s="12"/>
      <c r="C78" s="12"/>
      <c r="D78" s="12"/>
      <c r="E78" s="12"/>
      <c r="G78" s="16"/>
    </row>
    <row r="79" spans="1:5" ht="15.75">
      <c r="A79" s="12"/>
      <c r="B79" s="12"/>
      <c r="C79" s="12"/>
      <c r="D79" s="12"/>
      <c r="E79" s="12"/>
    </row>
  </sheetData>
  <sheetProtection/>
  <mergeCells count="2">
    <mergeCell ref="D37:D38"/>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0" sqref="D50"/>
    </sheetView>
  </sheetViews>
  <sheetFormatPr defaultColWidth="8.796875" defaultRowHeight="15.75"/>
  <sheetData>
    <row r="1" spans="1:7" ht="15.75">
      <c r="A1" s="356" t="s">
        <v>107</v>
      </c>
      <c r="B1" s="356"/>
      <c r="C1" s="356"/>
      <c r="D1" s="356"/>
      <c r="E1" s="356"/>
      <c r="F1" s="356"/>
      <c r="G1" s="356"/>
    </row>
    <row r="2" ht="15.75">
      <c r="A2" s="1"/>
    </row>
    <row r="3" spans="1:7" ht="15.75">
      <c r="A3" s="357" t="s">
        <v>108</v>
      </c>
      <c r="B3" s="357"/>
      <c r="C3" s="357"/>
      <c r="D3" s="357"/>
      <c r="E3" s="357"/>
      <c r="F3" s="357"/>
      <c r="G3" s="357"/>
    </row>
    <row r="4" ht="15.75">
      <c r="A4" s="2"/>
    </row>
    <row r="5" ht="15.75">
      <c r="A5" s="2"/>
    </row>
    <row r="6" spans="1:9" ht="15.75">
      <c r="A6" s="8" t="str">
        <f>CONCATENATE("A resolution expressing the property taxation policy of the Board of ",(inputPrYr!D2)," ")</f>
        <v>A resolution expressing the property taxation policy of the Board of Valley Township </v>
      </c>
      <c r="I6">
        <f>CONCATENATE(I7)</f>
      </c>
    </row>
    <row r="7" spans="1:7" ht="15.75">
      <c r="A7" s="358" t="str">
        <f>CONCATENATE("   with respect to financing the ",inputPrYr!D5," annual budget for ",(inputPrYr!D2)," , ",(inputPrYr!D3)," , Kansas.")</f>
        <v>   with respect to financing the 2012 annual budget for Valley Township , Smith County , Kansas.</v>
      </c>
      <c r="B7" s="351"/>
      <c r="C7" s="351"/>
      <c r="D7" s="351"/>
      <c r="E7" s="351"/>
      <c r="F7" s="351"/>
      <c r="G7" s="351"/>
    </row>
    <row r="8" spans="1:7" ht="15.75">
      <c r="A8" s="351"/>
      <c r="B8" s="351"/>
      <c r="C8" s="351"/>
      <c r="D8" s="351"/>
      <c r="E8" s="351"/>
      <c r="F8" s="351"/>
      <c r="G8" s="351"/>
    </row>
    <row r="9" ht="15.75">
      <c r="A9" s="1"/>
    </row>
    <row r="10" ht="15.75">
      <c r="A10" s="9" t="s">
        <v>109</v>
      </c>
    </row>
    <row r="11" ht="15.75">
      <c r="A11" s="7" t="str">
        <f>CONCATENATE("to finance the ",inputPrYr!D5," ",(inputPrYr!D2)," budget exceed the amount levied to finance the ",inputPrYr!D5-1,"")</f>
        <v>to finance the 2012 Valley Township budget exceed the amount levied to finance the 2011</v>
      </c>
    </row>
    <row r="12" spans="1:7" ht="15.75">
      <c r="A12" s="352" t="str">
        <f>CONCATENATE((inputPrYr!D2)," Township budget, except with regard to revenue produced and attributable to the taxation of 1) new improvements to real property; 2) increased personal property valuation, other than increased")</f>
        <v>Valley Township Township budget, except with regard to revenue produced and attributable to the taxation of 1) new improvements to real property; 2) increased personal property valuation, other than increased</v>
      </c>
      <c r="B12" s="351"/>
      <c r="C12" s="351"/>
      <c r="D12" s="351"/>
      <c r="E12" s="351"/>
      <c r="F12" s="351"/>
      <c r="G12" s="351"/>
    </row>
    <row r="13" spans="1:7" ht="15.75">
      <c r="A13" s="351"/>
      <c r="B13" s="351"/>
      <c r="C13" s="351"/>
      <c r="D13" s="351"/>
      <c r="E13" s="351"/>
      <c r="F13" s="351"/>
      <c r="G13" s="351"/>
    </row>
    <row r="14" spans="1:7" ht="15.75">
      <c r="A14" s="352" t="s">
        <v>114</v>
      </c>
      <c r="B14" s="351"/>
      <c r="C14" s="351"/>
      <c r="D14" s="351"/>
      <c r="E14" s="351"/>
      <c r="F14" s="351"/>
      <c r="G14" s="351"/>
    </row>
    <row r="15" spans="1:7" ht="15.75">
      <c r="A15" s="351"/>
      <c r="B15" s="351"/>
      <c r="C15" s="351"/>
      <c r="D15" s="351"/>
      <c r="E15" s="351"/>
      <c r="F15" s="351"/>
      <c r="G15" s="351"/>
    </row>
    <row r="16" spans="1:7" ht="15.75">
      <c r="A16" s="353"/>
      <c r="B16" s="353"/>
      <c r="C16" s="353"/>
      <c r="D16" s="353"/>
      <c r="E16" s="353"/>
      <c r="F16" s="353"/>
      <c r="G16" s="353"/>
    </row>
    <row r="17" ht="15.75">
      <c r="A17" s="2"/>
    </row>
    <row r="18" spans="1:7" ht="15.75">
      <c r="A18" s="354" t="s">
        <v>110</v>
      </c>
      <c r="B18" s="351"/>
      <c r="C18" s="351"/>
      <c r="D18" s="351"/>
      <c r="E18" s="351"/>
      <c r="F18" s="351"/>
      <c r="G18" s="351"/>
    </row>
    <row r="19" spans="1:7" ht="15.75">
      <c r="A19" s="351"/>
      <c r="B19" s="351"/>
      <c r="C19" s="351"/>
      <c r="D19" s="351"/>
      <c r="E19" s="351"/>
      <c r="F19" s="351"/>
      <c r="G19" s="351"/>
    </row>
    <row r="20" ht="15.75">
      <c r="A20" s="2"/>
    </row>
    <row r="21" spans="1:7" ht="15.75">
      <c r="A21" s="354" t="str">
        <f>CONCATENATE("Whereas, ",(inputPrYr!D2)," provides essential services to protect the safety and well being of the citizens of the township; and")</f>
        <v>Whereas, Valley Township provides essential services to protect the safety and well being of the citizens of the township; and</v>
      </c>
      <c r="B21" s="351"/>
      <c r="C21" s="351"/>
      <c r="D21" s="351"/>
      <c r="E21" s="351"/>
      <c r="F21" s="351"/>
      <c r="G21" s="351"/>
    </row>
    <row r="22" spans="1:7" ht="15.75">
      <c r="A22" s="351"/>
      <c r="B22" s="351"/>
      <c r="C22" s="351"/>
      <c r="D22" s="351"/>
      <c r="E22" s="351"/>
      <c r="F22" s="351"/>
      <c r="G22" s="351"/>
    </row>
    <row r="23" ht="15.75">
      <c r="A23" s="4"/>
    </row>
    <row r="24" ht="15.75">
      <c r="A24" s="3" t="s">
        <v>111</v>
      </c>
    </row>
    <row r="25" ht="15.75">
      <c r="A25" s="4"/>
    </row>
    <row r="26" spans="1:7" ht="15.75">
      <c r="A26" s="354" t="str">
        <f>CONCATENATE("NOW, THEREFORE, BE IT RESOLVED by the Board of ",(inputPrYr!D2)," of ",(inputPrYr!D3),", Kansas that is our desire to notify the public of increased property taxes to finance the ",inputPrYr!D5," ",(inputPrYr!D2),"  budget as defined above.")</f>
        <v>NOW, THEREFORE, BE IT RESOLVED by the Board of Valley Township of Smith County, Kansas that is our desire to notify the public of increased property taxes to finance the 2012 Valley Township  budget as defined above.</v>
      </c>
      <c r="B26" s="351"/>
      <c r="C26" s="351"/>
      <c r="D26" s="351"/>
      <c r="E26" s="351"/>
      <c r="F26" s="351"/>
      <c r="G26" s="351"/>
    </row>
    <row r="27" spans="1:7" ht="15.75">
      <c r="A27" s="351"/>
      <c r="B27" s="351"/>
      <c r="C27" s="351"/>
      <c r="D27" s="351"/>
      <c r="E27" s="351"/>
      <c r="F27" s="351"/>
      <c r="G27" s="351"/>
    </row>
    <row r="28" spans="1:7" ht="15.75">
      <c r="A28" s="351"/>
      <c r="B28" s="351"/>
      <c r="C28" s="351"/>
      <c r="D28" s="351"/>
      <c r="E28" s="351"/>
      <c r="F28" s="351"/>
      <c r="G28" s="351"/>
    </row>
    <row r="29" ht="15.75">
      <c r="A29" s="4"/>
    </row>
    <row r="30" spans="1:7" ht="15.75">
      <c r="A30" s="350" t="str">
        <f>CONCATENATE("Adopted this _________ day of ___________, ",inputPrYr!D5-1," by the ",(inputPrYr!D2)," Board, ",(inputPrYr!D3),", Kansas.")</f>
        <v>Adopted this _________ day of ___________, 2011 by the Valley Township Board, Smith County, Kansas.</v>
      </c>
      <c r="B30" s="351"/>
      <c r="C30" s="351"/>
      <c r="D30" s="351"/>
      <c r="E30" s="351"/>
      <c r="F30" s="351"/>
      <c r="G30" s="351"/>
    </row>
    <row r="31" spans="1:7" ht="15.75">
      <c r="A31" s="351"/>
      <c r="B31" s="351"/>
      <c r="C31" s="351"/>
      <c r="D31" s="351"/>
      <c r="E31" s="351"/>
      <c r="F31" s="351"/>
      <c r="G31" s="351"/>
    </row>
    <row r="32" ht="15.75">
      <c r="A32" s="4"/>
    </row>
    <row r="33" spans="4:7" ht="15.75">
      <c r="D33" s="355" t="str">
        <f>CONCATENATE((inputPrYr!D2)," Board")</f>
        <v>Valley Township Board</v>
      </c>
      <c r="E33" s="355"/>
      <c r="F33" s="355"/>
      <c r="G33" s="355"/>
    </row>
    <row r="35" spans="4:7" ht="15.75">
      <c r="D35" s="349" t="s">
        <v>112</v>
      </c>
      <c r="E35" s="349"/>
      <c r="F35" s="349"/>
      <c r="G35" s="349"/>
    </row>
    <row r="36" spans="1:7" ht="15.75">
      <c r="A36" s="5"/>
      <c r="D36" s="349" t="s">
        <v>116</v>
      </c>
      <c r="E36" s="349"/>
      <c r="F36" s="349"/>
      <c r="G36" s="349"/>
    </row>
    <row r="37" spans="4:7" ht="15.75">
      <c r="D37" s="349"/>
      <c r="E37" s="349"/>
      <c r="F37" s="349"/>
      <c r="G37" s="349"/>
    </row>
    <row r="38" spans="4:7" ht="15.75">
      <c r="D38" s="349" t="s">
        <v>112</v>
      </c>
      <c r="E38" s="349"/>
      <c r="F38" s="349"/>
      <c r="G38" s="349"/>
    </row>
    <row r="39" spans="1:7" ht="15.75">
      <c r="A39" s="4"/>
      <c r="D39" s="349" t="s">
        <v>117</v>
      </c>
      <c r="E39" s="349"/>
      <c r="F39" s="349"/>
      <c r="G39" s="349"/>
    </row>
    <row r="40" spans="4:7" ht="15.75">
      <c r="D40" s="349"/>
      <c r="E40" s="349"/>
      <c r="F40" s="349"/>
      <c r="G40" s="349"/>
    </row>
    <row r="41" spans="4:7" ht="15.75">
      <c r="D41" s="349" t="s">
        <v>115</v>
      </c>
      <c r="E41" s="349"/>
      <c r="F41" s="349"/>
      <c r="G41" s="349"/>
    </row>
    <row r="42" spans="1:7" ht="15.75">
      <c r="A42" s="4"/>
      <c r="D42" s="349" t="s">
        <v>118</v>
      </c>
      <c r="E42" s="349"/>
      <c r="F42" s="349"/>
      <c r="G42" s="349"/>
    </row>
    <row r="43" ht="15.75">
      <c r="A43" s="6"/>
    </row>
    <row r="44" ht="15.75">
      <c r="A44" s="6"/>
    </row>
    <row r="45" ht="15.75">
      <c r="A45" s="6" t="s">
        <v>113</v>
      </c>
    </row>
    <row r="50" spans="3:4" ht="15.75">
      <c r="C50" s="10" t="s">
        <v>23</v>
      </c>
      <c r="D50" s="11"/>
    </row>
  </sheetData>
  <sheetProtection/>
  <mergeCells count="18">
    <mergeCell ref="A1:G1"/>
    <mergeCell ref="A3:G3"/>
    <mergeCell ref="A7:G8"/>
    <mergeCell ref="A18:G19"/>
    <mergeCell ref="A30:G31"/>
    <mergeCell ref="A12:G13"/>
    <mergeCell ref="A14:G16"/>
    <mergeCell ref="D35:G35"/>
    <mergeCell ref="A21:G22"/>
    <mergeCell ref="A26:G28"/>
    <mergeCell ref="D33:G33"/>
    <mergeCell ref="D42:G42"/>
    <mergeCell ref="D37:G37"/>
    <mergeCell ref="D38:G38"/>
    <mergeCell ref="D40:G40"/>
    <mergeCell ref="D41:G41"/>
    <mergeCell ref="D36:G36"/>
    <mergeCell ref="D39:G3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11" sqref="E11"/>
    </sheetView>
  </sheetViews>
  <sheetFormatPr defaultColWidth="8.796875" defaultRowHeight="15.75"/>
  <cols>
    <col min="1" max="1" width="14.19921875" style="73" customWidth="1"/>
    <col min="2" max="2" width="18.69921875" style="73" customWidth="1"/>
    <col min="3" max="3" width="9.69921875" style="73" customWidth="1"/>
    <col min="4" max="4" width="14.09765625" style="73" customWidth="1"/>
    <col min="5" max="5" width="12.796875" style="73" customWidth="1"/>
    <col min="6" max="16384" width="8.796875" style="73" customWidth="1"/>
  </cols>
  <sheetData>
    <row r="1" spans="1:5" ht="15.75">
      <c r="A1" s="76" t="str">
        <f>inputPrYr!D2</f>
        <v>Valley Township</v>
      </c>
      <c r="B1" s="77"/>
      <c r="C1" s="77"/>
      <c r="D1" s="77"/>
      <c r="E1" s="77">
        <f>inputPrYr!D5</f>
        <v>2012</v>
      </c>
    </row>
    <row r="2" spans="1:5" ht="15.75">
      <c r="A2" s="76" t="str">
        <f>inputPrYr!D3</f>
        <v>Smith County</v>
      </c>
      <c r="B2" s="77"/>
      <c r="C2" s="77"/>
      <c r="D2" s="77"/>
      <c r="E2" s="77"/>
    </row>
    <row r="3" spans="1:5" ht="15.75">
      <c r="A3" s="77"/>
      <c r="B3" s="77"/>
      <c r="C3" s="77"/>
      <c r="D3" s="77"/>
      <c r="E3" s="77"/>
    </row>
    <row r="4" spans="1:5" ht="15.75">
      <c r="A4" s="279" t="s">
        <v>130</v>
      </c>
      <c r="B4" s="280"/>
      <c r="C4" s="280"/>
      <c r="D4" s="280"/>
      <c r="E4" s="280"/>
    </row>
    <row r="5" spans="1:5" ht="15.75">
      <c r="A5" s="77"/>
      <c r="B5" s="77"/>
      <c r="C5" s="77"/>
      <c r="D5" s="77"/>
      <c r="E5" s="77"/>
    </row>
    <row r="6" spans="1:5" ht="15.75">
      <c r="A6" s="172" t="str">
        <f>CONCATENATE("From the County Clerks Budget Information for ",E1,":")</f>
        <v>From the County Clerks Budget Information for 2012:</v>
      </c>
      <c r="B6" s="173"/>
      <c r="C6" s="173"/>
      <c r="D6" s="14"/>
      <c r="E6" s="57"/>
    </row>
    <row r="7" spans="1:5" ht="15.75">
      <c r="A7" s="22" t="str">
        <f>CONCATENATE("Total Assessed Valuation for ",E1-1,"")</f>
        <v>Total Assessed Valuation for 2011</v>
      </c>
      <c r="B7" s="19"/>
      <c r="C7" s="19"/>
      <c r="D7" s="19"/>
      <c r="E7" s="174">
        <v>903838</v>
      </c>
    </row>
    <row r="8" spans="1:5" ht="15.75">
      <c r="A8" s="22" t="str">
        <f>CONCATENATE("New Improvements for ",E1-1,"")</f>
        <v>New Improvements for 2011</v>
      </c>
      <c r="B8" s="19"/>
      <c r="C8" s="19"/>
      <c r="D8" s="19"/>
      <c r="E8" s="175">
        <v>3735</v>
      </c>
    </row>
    <row r="9" spans="1:5" ht="15.75">
      <c r="A9" s="22" t="str">
        <f>CONCATENATE("Personal Property excluding oil, gas, and mobile homes - ",E1-1,"")</f>
        <v>Personal Property excluding oil, gas, and mobile homes - 2011</v>
      </c>
      <c r="B9" s="19"/>
      <c r="C9" s="19"/>
      <c r="D9" s="19"/>
      <c r="E9" s="175">
        <v>39737</v>
      </c>
    </row>
    <row r="10" spans="1:5" ht="15.75">
      <c r="A10" s="22" t="str">
        <f>CONCATENATE("Property that has changed in use for ",E1-1,"")</f>
        <v>Property that has changed in use for 2011</v>
      </c>
      <c r="B10" s="19"/>
      <c r="C10" s="19"/>
      <c r="D10" s="19"/>
      <c r="E10" s="175">
        <v>14771</v>
      </c>
    </row>
    <row r="11" spans="1:5" ht="15.75">
      <c r="A11" s="22" t="str">
        <f>CONCATENATE("Personal Property excluding oil, gas, and mobile homes- ",E1-2,"")</f>
        <v>Personal Property excluding oil, gas, and mobile homes- 2010</v>
      </c>
      <c r="B11" s="19"/>
      <c r="C11" s="19"/>
      <c r="D11" s="19"/>
      <c r="E11" s="175">
        <v>38258</v>
      </c>
    </row>
    <row r="12" spans="1:5" ht="15.75">
      <c r="A12" s="22" t="str">
        <f>CONCATENATE("Gross earnings (intangible) tax estimate for ",E1,"")</f>
        <v>Gross earnings (intangible) tax estimate for 2012</v>
      </c>
      <c r="B12" s="19"/>
      <c r="C12" s="19"/>
      <c r="D12" s="19"/>
      <c r="E12" s="175">
        <v>1032</v>
      </c>
    </row>
    <row r="13" spans="1:5" ht="15.75">
      <c r="A13" s="22" t="str">
        <f>CONCATENATE("Neighborhood Revitalization - ",E1,"")</f>
        <v>Neighborhood Revitalization - 2012</v>
      </c>
      <c r="B13" s="19"/>
      <c r="C13" s="19"/>
      <c r="D13" s="19"/>
      <c r="E13" s="175">
        <v>0</v>
      </c>
    </row>
    <row r="14" spans="1:5" ht="15.75">
      <c r="A14" s="22"/>
      <c r="B14" s="19"/>
      <c r="C14" s="19"/>
      <c r="D14" s="19"/>
      <c r="E14" s="176"/>
    </row>
    <row r="15" spans="1:5" ht="15.75">
      <c r="A15" s="177" t="str">
        <f>CONCATENATE("Actual Tax Rates for the ",E1-1," Budget:")</f>
        <v>Actual Tax Rates for the 2011 Budget:</v>
      </c>
      <c r="B15" s="19"/>
      <c r="C15" s="19"/>
      <c r="D15" s="19"/>
      <c r="E15" s="178"/>
    </row>
    <row r="16" spans="1:5" ht="15.75">
      <c r="A16" s="281" t="s">
        <v>177</v>
      </c>
      <c r="B16" s="282"/>
      <c r="C16" s="77"/>
      <c r="D16" s="179" t="s">
        <v>18</v>
      </c>
      <c r="E16" s="178"/>
    </row>
    <row r="17" spans="1:5" ht="15.75">
      <c r="A17" s="69" t="str">
        <f>inputPrYr!B16</f>
        <v>General</v>
      </c>
      <c r="B17" s="20"/>
      <c r="C17" s="19"/>
      <c r="D17" s="180">
        <v>2.081</v>
      </c>
      <c r="E17" s="178"/>
    </row>
    <row r="18" spans="1:5" ht="15.75">
      <c r="A18" s="69">
        <f>inputPrYr!B17</f>
        <v>0</v>
      </c>
      <c r="B18" s="157"/>
      <c r="C18" s="19"/>
      <c r="D18" s="181"/>
      <c r="E18" s="178"/>
    </row>
    <row r="19" spans="1:5" ht="15.75">
      <c r="A19" s="69">
        <f>inputPrYr!B18</f>
        <v>0</v>
      </c>
      <c r="B19" s="157"/>
      <c r="C19" s="19"/>
      <c r="D19" s="181"/>
      <c r="E19" s="178"/>
    </row>
    <row r="20" spans="1:5" ht="15.75">
      <c r="A20" s="69">
        <f>inputPrYr!B19</f>
        <v>0</v>
      </c>
      <c r="B20" s="157"/>
      <c r="C20" s="19"/>
      <c r="D20" s="182"/>
      <c r="E20" s="178"/>
    </row>
    <row r="21" spans="1:5" ht="15.75">
      <c r="A21" s="69">
        <f>inputPrYr!B20</f>
        <v>0</v>
      </c>
      <c r="B21" s="157"/>
      <c r="C21" s="19"/>
      <c r="D21" s="182"/>
      <c r="E21" s="178"/>
    </row>
    <row r="22" spans="1:5" ht="15.75">
      <c r="A22" s="69">
        <f>inputPrYr!B21</f>
        <v>0</v>
      </c>
      <c r="B22" s="157"/>
      <c r="C22" s="19"/>
      <c r="D22" s="182"/>
      <c r="E22" s="178"/>
    </row>
    <row r="23" spans="1:5" ht="15.75">
      <c r="A23" s="69">
        <f>inputPrYr!B22</f>
        <v>0</v>
      </c>
      <c r="B23" s="157"/>
      <c r="C23" s="19"/>
      <c r="D23" s="182"/>
      <c r="E23" s="178"/>
    </row>
    <row r="24" spans="1:5" ht="15.75">
      <c r="A24" s="14"/>
      <c r="B24" s="20" t="s">
        <v>168</v>
      </c>
      <c r="C24" s="152"/>
      <c r="D24" s="183">
        <f>SUM(D17:D23)</f>
        <v>2.081</v>
      </c>
      <c r="E24" s="14"/>
    </row>
    <row r="25" spans="1:5" ht="15.75">
      <c r="A25" s="14"/>
      <c r="B25" s="14"/>
      <c r="C25" s="14"/>
      <c r="D25" s="14"/>
      <c r="E25" s="14"/>
    </row>
    <row r="26" spans="1:5" ht="15.75">
      <c r="A26" s="20" t="str">
        <f>CONCATENATE("Final Assessed Valuation from the November 1, ",E1-2," Abstract:")</f>
        <v>Final Assessed Valuation from the November 1, 2010 Abstract:</v>
      </c>
      <c r="B26" s="20"/>
      <c r="C26" s="20"/>
      <c r="D26" s="20"/>
      <c r="E26" s="36">
        <v>900131</v>
      </c>
    </row>
    <row r="27" spans="1:5" ht="15.75">
      <c r="A27" s="14"/>
      <c r="B27" s="14"/>
      <c r="C27" s="14"/>
      <c r="D27" s="14"/>
      <c r="E27" s="14"/>
    </row>
    <row r="28" spans="1:5" ht="15.75">
      <c r="A28" s="184" t="str">
        <f>CONCATENATE("From the County Treasurer's Budget Information - ",E1," Budget Year Estimates:")</f>
        <v>From the County Treasurer's Budget Information - 2012 Budget Year Estimates:</v>
      </c>
      <c r="B28" s="185"/>
      <c r="C28" s="185"/>
      <c r="D28" s="186"/>
      <c r="E28" s="57"/>
    </row>
    <row r="29" spans="1:5" ht="15.75">
      <c r="A29" s="69" t="s">
        <v>131</v>
      </c>
      <c r="B29" s="20"/>
      <c r="C29" s="20"/>
      <c r="D29" s="187"/>
      <c r="E29" s="34">
        <v>181</v>
      </c>
    </row>
    <row r="30" spans="1:5" ht="15.75">
      <c r="A30" s="188" t="s">
        <v>169</v>
      </c>
      <c r="B30" s="157"/>
      <c r="C30" s="157"/>
      <c r="D30" s="31"/>
      <c r="E30" s="34">
        <v>6</v>
      </c>
    </row>
    <row r="31" spans="1:5" ht="15.75">
      <c r="A31" s="188" t="s">
        <v>132</v>
      </c>
      <c r="B31" s="157"/>
      <c r="C31" s="157"/>
      <c r="D31" s="31"/>
      <c r="E31" s="34">
        <v>25</v>
      </c>
    </row>
    <row r="32" spans="1:5" ht="15.75">
      <c r="A32" s="188" t="s">
        <v>133</v>
      </c>
      <c r="B32" s="157"/>
      <c r="C32" s="157"/>
      <c r="D32" s="31"/>
      <c r="E32" s="34">
        <v>0</v>
      </c>
    </row>
    <row r="33" spans="1:5" ht="15.75">
      <c r="A33" s="188" t="s">
        <v>134</v>
      </c>
      <c r="B33" s="157"/>
      <c r="C33" s="157"/>
      <c r="D33" s="31"/>
      <c r="E33" s="34">
        <v>0</v>
      </c>
    </row>
    <row r="34" spans="1:5" ht="15.75">
      <c r="A34" s="188" t="s">
        <v>89</v>
      </c>
      <c r="B34" s="20"/>
      <c r="C34" s="20"/>
      <c r="D34" s="187"/>
      <c r="E34" s="34">
        <v>0</v>
      </c>
    </row>
    <row r="35" spans="1:5" ht="15.75">
      <c r="A35" s="14" t="s">
        <v>135</v>
      </c>
      <c r="B35" s="14"/>
      <c r="C35" s="14"/>
      <c r="D35" s="14"/>
      <c r="E35" s="14"/>
    </row>
    <row r="36" spans="1:5" ht="15.75">
      <c r="A36" s="67" t="s">
        <v>136</v>
      </c>
      <c r="B36" s="98"/>
      <c r="C36" s="98"/>
      <c r="D36" s="14"/>
      <c r="E36" s="14"/>
    </row>
    <row r="37" spans="1:5" ht="15.75">
      <c r="A37" s="165" t="str">
        <f>CONCATENATE("Actual Delinquency for ",E1-2," Tax (round to three decimal places)")</f>
        <v>Actual Delinquency for 2010 Tax (round to three decimal places)</v>
      </c>
      <c r="B37" s="19"/>
      <c r="C37" s="14"/>
      <c r="D37" s="14"/>
      <c r="E37" s="189"/>
    </row>
    <row r="38" spans="1:5" ht="15.75">
      <c r="A38" s="165" t="s">
        <v>137</v>
      </c>
      <c r="B38" s="165"/>
      <c r="C38" s="19"/>
      <c r="D38" s="19"/>
      <c r="E38" s="190"/>
    </row>
    <row r="39" spans="1:5" ht="15.75">
      <c r="A39" s="191" t="s">
        <v>138</v>
      </c>
      <c r="B39" s="191"/>
      <c r="C39" s="192"/>
      <c r="D39" s="192"/>
      <c r="E39" s="193"/>
    </row>
    <row r="40" spans="1:5" ht="15.75">
      <c r="A40" s="93"/>
      <c r="B40" s="93"/>
      <c r="C40" s="93"/>
      <c r="D40" s="93"/>
      <c r="E40" s="93"/>
    </row>
    <row r="41" spans="1:5" ht="16.5">
      <c r="A41" s="283" t="str">
        <f>CONCATENATE("From the ",E1-2," Budget Certificate Page")</f>
        <v>From the 2010 Budget Certificate Page</v>
      </c>
      <c r="B41" s="284"/>
      <c r="C41" s="93"/>
      <c r="D41" s="93"/>
      <c r="E41" s="93"/>
    </row>
    <row r="42" spans="1:5" ht="15.75">
      <c r="A42" s="194"/>
      <c r="B42" s="194" t="str">
        <f>CONCATENATE("",E1-2," Expenditure Amounts")</f>
        <v>2010 Expenditure Amounts</v>
      </c>
      <c r="C42" s="285" t="str">
        <f>CONCATENATE("Note: If the ",E1-2," budget was amended, then the")</f>
        <v>Note: If the 2010 budget was amended, then the</v>
      </c>
      <c r="D42" s="286"/>
      <c r="E42" s="286"/>
    </row>
    <row r="43" spans="1:5" ht="15.75">
      <c r="A43" s="195" t="s">
        <v>148</v>
      </c>
      <c r="B43" s="195" t="s">
        <v>149</v>
      </c>
      <c r="C43" s="196" t="s">
        <v>150</v>
      </c>
      <c r="D43" s="197"/>
      <c r="E43" s="197"/>
    </row>
    <row r="44" spans="1:5" ht="15.75">
      <c r="A44" s="198" t="str">
        <f>inputPrYr!B16</f>
        <v>General</v>
      </c>
      <c r="B44" s="36">
        <v>3852</v>
      </c>
      <c r="C44" s="196" t="s">
        <v>151</v>
      </c>
      <c r="D44" s="197"/>
      <c r="E44" s="197"/>
    </row>
    <row r="45" spans="1:5" ht="15.75">
      <c r="A45" s="198">
        <f>inputPrYr!B17</f>
        <v>0</v>
      </c>
      <c r="B45" s="36"/>
      <c r="C45" s="93"/>
      <c r="D45" s="93"/>
      <c r="E45" s="93"/>
    </row>
    <row r="46" spans="1:5" ht="15.75">
      <c r="A46" s="198">
        <f>inputPrYr!B18</f>
        <v>0</v>
      </c>
      <c r="B46" s="36"/>
      <c r="C46" s="93"/>
      <c r="D46" s="93"/>
      <c r="E46" s="93"/>
    </row>
    <row r="47" spans="1:5" ht="15.75">
      <c r="A47" s="198">
        <f>inputPrYr!B19</f>
        <v>0</v>
      </c>
      <c r="B47" s="36"/>
      <c r="C47" s="93"/>
      <c r="D47" s="93"/>
      <c r="E47" s="93"/>
    </row>
    <row r="48" spans="1:5" ht="15.75">
      <c r="A48" s="198">
        <f>inputPrYr!B20</f>
        <v>0</v>
      </c>
      <c r="B48" s="36"/>
      <c r="C48" s="93"/>
      <c r="D48" s="93"/>
      <c r="E48" s="93"/>
    </row>
    <row r="49" spans="1:5" ht="15.75">
      <c r="A49" s="198">
        <f>inputPrYr!B21</f>
        <v>0</v>
      </c>
      <c r="B49" s="36"/>
      <c r="C49" s="93"/>
      <c r="D49" s="93"/>
      <c r="E49" s="93"/>
    </row>
    <row r="50" spans="1:5" ht="15.75">
      <c r="A50" s="198">
        <f>inputPrYr!B22</f>
        <v>0</v>
      </c>
      <c r="B50" s="36"/>
      <c r="C50" s="93"/>
      <c r="D50" s="93"/>
      <c r="E50" s="93"/>
    </row>
    <row r="51" spans="1:5" ht="15.75">
      <c r="A51" s="198">
        <f>inputPrYr!B26</f>
        <v>0</v>
      </c>
      <c r="B51" s="36"/>
      <c r="C51" s="93"/>
      <c r="D51" s="93"/>
      <c r="E51" s="93"/>
    </row>
    <row r="52" spans="1:5" ht="15.75">
      <c r="A52" s="198">
        <f>inputPrYr!B27</f>
        <v>0</v>
      </c>
      <c r="B52" s="36"/>
      <c r="C52" s="93"/>
      <c r="D52" s="93"/>
      <c r="E52" s="93"/>
    </row>
  </sheetData>
  <sheetProtection/>
  <mergeCells count="4">
    <mergeCell ref="A4:E4"/>
    <mergeCell ref="A16:B16"/>
    <mergeCell ref="A41:B41"/>
    <mergeCell ref="C42:E42"/>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E20" sqref="E20"/>
    </sheetView>
  </sheetViews>
  <sheetFormatPr defaultColWidth="8.796875" defaultRowHeight="15.75"/>
  <cols>
    <col min="1" max="1" width="13.69921875" style="0" customWidth="1"/>
    <col min="2" max="2" width="16" style="0" customWidth="1"/>
  </cols>
  <sheetData>
    <row r="2" spans="1:6" ht="54" customHeight="1">
      <c r="A2" s="287" t="s">
        <v>191</v>
      </c>
      <c r="B2" s="288"/>
      <c r="C2" s="288"/>
      <c r="D2" s="288"/>
      <c r="E2" s="288"/>
      <c r="F2" s="288"/>
    </row>
    <row r="4" spans="1:6" ht="15.75">
      <c r="A4" s="231"/>
      <c r="B4" s="231"/>
      <c r="C4" s="231"/>
      <c r="D4" s="233"/>
      <c r="E4" s="231"/>
      <c r="F4" s="231"/>
    </row>
    <row r="5" spans="1:6" ht="15.75">
      <c r="A5" s="232" t="s">
        <v>192</v>
      </c>
      <c r="B5" s="234" t="s">
        <v>8</v>
      </c>
      <c r="C5" s="235"/>
      <c r="D5" s="232" t="s">
        <v>193</v>
      </c>
      <c r="E5" s="231"/>
      <c r="F5" s="231"/>
    </row>
    <row r="6" spans="1:6" ht="15.75">
      <c r="A6" s="232"/>
      <c r="B6" s="236"/>
      <c r="C6" s="237"/>
      <c r="D6" s="232"/>
      <c r="E6" s="231"/>
      <c r="F6" s="231"/>
    </row>
    <row r="7" spans="1:6" ht="15.75">
      <c r="A7" s="232" t="s">
        <v>194</v>
      </c>
      <c r="B7" s="234" t="s">
        <v>9</v>
      </c>
      <c r="C7" s="238"/>
      <c r="D7" s="232"/>
      <c r="E7" s="231"/>
      <c r="F7" s="231"/>
    </row>
    <row r="8" spans="1:6" ht="15.75">
      <c r="A8" s="232"/>
      <c r="B8" s="232"/>
      <c r="C8" s="232"/>
      <c r="D8" s="232"/>
      <c r="E8" s="231"/>
      <c r="F8" s="231"/>
    </row>
    <row r="9" spans="1:6" ht="15.75">
      <c r="A9" s="232" t="s">
        <v>195</v>
      </c>
      <c r="B9" s="239" t="s">
        <v>8</v>
      </c>
      <c r="C9" s="239"/>
      <c r="D9" s="239"/>
      <c r="E9" s="240"/>
      <c r="F9" s="231"/>
    </row>
    <row r="10" spans="1:6" ht="15.75">
      <c r="A10" s="232"/>
      <c r="B10" s="232"/>
      <c r="C10" s="232"/>
      <c r="D10" s="232"/>
      <c r="E10" s="231"/>
      <c r="F10" s="231"/>
    </row>
    <row r="11" spans="1:6" ht="15.75">
      <c r="A11" s="232"/>
      <c r="B11" s="232"/>
      <c r="C11" s="232"/>
      <c r="D11" s="232"/>
      <c r="E11" s="231"/>
      <c r="F11" s="231"/>
    </row>
    <row r="12" spans="1:6" ht="15.75">
      <c r="A12" s="232" t="s">
        <v>196</v>
      </c>
      <c r="B12" s="239"/>
      <c r="C12" s="239"/>
      <c r="D12" s="239"/>
      <c r="E12" s="240"/>
      <c r="F12" s="231"/>
    </row>
    <row r="15" spans="1:6" ht="15.75">
      <c r="A15" s="289" t="s">
        <v>197</v>
      </c>
      <c r="B15" s="289"/>
      <c r="C15" s="232"/>
      <c r="D15" s="232"/>
      <c r="E15" s="232"/>
      <c r="F15" s="231"/>
    </row>
    <row r="16" spans="1:6" ht="15.75">
      <c r="A16" s="232"/>
      <c r="B16" s="232"/>
      <c r="C16" s="232"/>
      <c r="D16" s="232"/>
      <c r="E16" s="232"/>
      <c r="F16" s="231"/>
    </row>
    <row r="17" spans="1:5" ht="15.75">
      <c r="A17" s="232" t="s">
        <v>192</v>
      </c>
      <c r="B17" s="236" t="s">
        <v>198</v>
      </c>
      <c r="C17" s="232"/>
      <c r="D17" s="232"/>
      <c r="E17" s="232"/>
    </row>
    <row r="18" spans="1:5" ht="15.75">
      <c r="A18" s="232"/>
      <c r="B18" s="232"/>
      <c r="C18" s="232"/>
      <c r="D18" s="232"/>
      <c r="E18" s="232"/>
    </row>
    <row r="19" spans="1:5" ht="15.75">
      <c r="A19" s="232" t="s">
        <v>194</v>
      </c>
      <c r="B19" s="232" t="s">
        <v>199</v>
      </c>
      <c r="C19" s="232"/>
      <c r="D19" s="232"/>
      <c r="E19" s="232"/>
    </row>
    <row r="20" spans="1:5" ht="15.75">
      <c r="A20" s="232"/>
      <c r="B20" s="232"/>
      <c r="C20" s="232"/>
      <c r="D20" s="232"/>
      <c r="E20" s="232"/>
    </row>
    <row r="21" spans="1:5" ht="15.75">
      <c r="A21" s="232" t="s">
        <v>195</v>
      </c>
      <c r="B21" s="232" t="s">
        <v>201</v>
      </c>
      <c r="C21" s="232"/>
      <c r="D21" s="232"/>
      <c r="E21" s="232"/>
    </row>
    <row r="22" spans="1:5" ht="15.75">
      <c r="A22" s="232"/>
      <c r="B22" s="232"/>
      <c r="C22" s="232"/>
      <c r="D22" s="232"/>
      <c r="E22" s="232"/>
    </row>
    <row r="23" spans="1:5" ht="15.75">
      <c r="A23" s="232" t="s">
        <v>196</v>
      </c>
      <c r="B23" s="232" t="s">
        <v>200</v>
      </c>
      <c r="C23" s="232"/>
      <c r="D23" s="232"/>
      <c r="E23" s="232"/>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52"/>
  <sheetViews>
    <sheetView zoomScale="90" zoomScaleNormal="90" zoomScalePageLayoutView="0" workbookViewId="0" topLeftCell="A1">
      <selection activeCell="D17" sqref="D17"/>
    </sheetView>
  </sheetViews>
  <sheetFormatPr defaultColWidth="8.796875" defaultRowHeight="15.75"/>
  <cols>
    <col min="1" max="1" width="20.69921875" style="73" customWidth="1"/>
    <col min="2" max="2" width="9.69921875" style="73" customWidth="1"/>
    <col min="3" max="3" width="5.69921875" style="73" customWidth="1"/>
    <col min="4" max="4" width="15.69921875" style="73" customWidth="1"/>
    <col min="5" max="5" width="12.69921875" style="73" customWidth="1"/>
    <col min="6" max="6" width="10.69921875" style="73" customWidth="1"/>
    <col min="7" max="16384" width="8.796875" style="73" customWidth="1"/>
  </cols>
  <sheetData>
    <row r="1" spans="1:7" s="14" customFormat="1" ht="15.75">
      <c r="A1" s="292" t="s">
        <v>61</v>
      </c>
      <c r="B1" s="292"/>
      <c r="C1" s="292"/>
      <c r="D1" s="292"/>
      <c r="E1" s="292"/>
      <c r="F1" s="292"/>
      <c r="G1" s="14">
        <f>inputPrYr!D5</f>
        <v>2012</v>
      </c>
    </row>
    <row r="2" spans="2:6" s="14" customFormat="1" ht="15.75">
      <c r="B2" s="98"/>
      <c r="C2" s="98"/>
      <c r="D2" s="98"/>
      <c r="E2" s="98"/>
      <c r="F2" s="64"/>
    </row>
    <row r="3" spans="1:7" s="14" customFormat="1" ht="15.75">
      <c r="A3" s="301" t="str">
        <f>CONCATENATE("To the Clerk of ",inputPrYr!D3,", State of Kansas")</f>
        <v>To the Clerk of Smith County, State of Kansas</v>
      </c>
      <c r="B3" s="300"/>
      <c r="C3" s="300"/>
      <c r="D3" s="300"/>
      <c r="E3" s="300"/>
      <c r="F3" s="300"/>
      <c r="G3" s="300"/>
    </row>
    <row r="4" spans="1:6" s="14" customFormat="1" ht="15.75">
      <c r="A4" s="100" t="s">
        <v>127</v>
      </c>
      <c r="B4" s="98"/>
      <c r="C4" s="98"/>
      <c r="D4" s="98"/>
      <c r="E4" s="98"/>
      <c r="F4" s="98"/>
    </row>
    <row r="5" s="14" customFormat="1" ht="15.75">
      <c r="C5" s="245" t="str">
        <f>inputPrYr!D2</f>
        <v>Valley Township</v>
      </c>
    </row>
    <row r="6" spans="1:6" s="14" customFormat="1" ht="15.75">
      <c r="A6" s="299" t="s">
        <v>125</v>
      </c>
      <c r="B6" s="300"/>
      <c r="C6" s="300"/>
      <c r="D6" s="300"/>
      <c r="E6" s="300"/>
      <c r="F6" s="300"/>
    </row>
    <row r="7" spans="1:6" s="14" customFormat="1" ht="15.75" customHeight="1">
      <c r="A7" s="301" t="s">
        <v>126</v>
      </c>
      <c r="B7" s="302"/>
      <c r="C7" s="302"/>
      <c r="D7" s="302"/>
      <c r="E7" s="302"/>
      <c r="F7" s="302"/>
    </row>
    <row r="8" spans="1:6" s="14" customFormat="1" ht="15.75" customHeight="1">
      <c r="A8" s="100" t="str">
        <f>CONCATENATE("maximum expenditures for the various funds for the year ",G1,"; and (3) the")</f>
        <v>maximum expenditures for the various funds for the year 2012; and (3) the</v>
      </c>
      <c r="B8" s="98"/>
      <c r="C8" s="98"/>
      <c r="D8" s="98"/>
      <c r="E8" s="98"/>
      <c r="F8" s="98"/>
    </row>
    <row r="9" spans="1:6" s="14" customFormat="1" ht="15.75" customHeight="1">
      <c r="A9" s="100" t="str">
        <f>CONCATENATE("Amount(s) of ",G1-1," Ad Valorem Tax are within statutory limitations for the ",G1," Budget.")</f>
        <v>Amount(s) of 2011 Ad Valorem Tax are within statutory limitations for the 2012 Budget.</v>
      </c>
      <c r="B9" s="98"/>
      <c r="C9" s="98"/>
      <c r="D9" s="98"/>
      <c r="E9" s="98"/>
      <c r="F9" s="98"/>
    </row>
    <row r="10" spans="4:6" s="14" customFormat="1" ht="15.75" customHeight="1">
      <c r="D10" s="66"/>
      <c r="E10" s="66"/>
      <c r="F10" s="66"/>
    </row>
    <row r="11" spans="3:6" s="14" customFormat="1" ht="15.75">
      <c r="C11" s="19"/>
      <c r="D11" s="296" t="str">
        <f>CONCATENATE("",G1," Adopted Budget")</f>
        <v>2012 Adopted Budget</v>
      </c>
      <c r="E11" s="297"/>
      <c r="F11" s="298"/>
    </row>
    <row r="12" spans="1:6" s="14" customFormat="1" ht="15.75">
      <c r="A12" s="22"/>
      <c r="C12" s="66"/>
      <c r="D12" s="148" t="s">
        <v>170</v>
      </c>
      <c r="E12" s="293" t="str">
        <f>CONCATENATE("Amount of ",G1-1," Ad Valorem Tax")</f>
        <v>Amount of 2011 Ad Valorem Tax</v>
      </c>
      <c r="F12" s="23" t="s">
        <v>171</v>
      </c>
    </row>
    <row r="13" spans="3:6" s="14" customFormat="1" ht="15.75">
      <c r="C13" s="23" t="s">
        <v>172</v>
      </c>
      <c r="D13" s="276" t="s">
        <v>149</v>
      </c>
      <c r="E13" s="294"/>
      <c r="F13" s="109" t="s">
        <v>173</v>
      </c>
    </row>
    <row r="14" spans="1:6" s="14" customFormat="1" ht="15.75">
      <c r="A14" s="69" t="s">
        <v>174</v>
      </c>
      <c r="B14" s="20"/>
      <c r="C14" s="27" t="s">
        <v>175</v>
      </c>
      <c r="D14" s="27" t="s">
        <v>205</v>
      </c>
      <c r="E14" s="295"/>
      <c r="F14" s="27" t="s">
        <v>176</v>
      </c>
    </row>
    <row r="15" spans="1:6" s="14" customFormat="1" ht="15.75">
      <c r="A15" s="28" t="str">
        <f>CONCATENATE("Computation to Determine Limit for ",G1,"")</f>
        <v>Computation to Determine Limit for 2012</v>
      </c>
      <c r="B15" s="29"/>
      <c r="C15" s="23">
        <v>2</v>
      </c>
      <c r="D15" s="19"/>
      <c r="E15" s="19"/>
      <c r="F15" s="149"/>
    </row>
    <row r="16" spans="1:6" s="14" customFormat="1" ht="15.75">
      <c r="A16" s="28" t="s">
        <v>147</v>
      </c>
      <c r="B16" s="29"/>
      <c r="C16" s="114">
        <v>3</v>
      </c>
      <c r="D16" s="19"/>
      <c r="E16" s="19"/>
      <c r="F16" s="150"/>
    </row>
    <row r="17" spans="1:6" s="14" customFormat="1" ht="15.75">
      <c r="A17" s="151" t="s">
        <v>177</v>
      </c>
      <c r="B17" s="99" t="s">
        <v>178</v>
      </c>
      <c r="C17" s="118"/>
      <c r="F17" s="152"/>
    </row>
    <row r="18" spans="1:6" s="14" customFormat="1" ht="15.75">
      <c r="A18" s="75" t="str">
        <f>inputPrYr!B16</f>
        <v>General</v>
      </c>
      <c r="B18" s="153" t="str">
        <f>inputPrYr!C16</f>
        <v>79-1962</v>
      </c>
      <c r="C18" s="154">
        <f>IF(gen!$B$51&gt;0,gen!$B$51,"  ")</f>
        <v>4</v>
      </c>
      <c r="D18" s="114">
        <f>IF(gen!$G$41&lt;&gt;0,gen!$G$41,"  ")</f>
        <v>3740</v>
      </c>
      <c r="E18" s="114">
        <f>IF(gen!$G$47&lt;&gt;0,gen!$G$47,0)</f>
        <v>1915</v>
      </c>
      <c r="F18" s="110" t="str">
        <f>IF(AND(gen!G47=0,$B$28&gt;=0)," ",IF(AND(E18&gt;0,$B$28=0)," ",IF(AND(E18&gt;0,$B$28&gt;0),ROUND(E18/$B$28*1000,3))))</f>
        <v> </v>
      </c>
    </row>
    <row r="19" spans="1:6" s="14" customFormat="1" ht="15.75">
      <c r="A19" s="75" t="str">
        <f>IF(inputPrYr!$B17&gt;"  ",inputPrYr!$B17,"  ")</f>
        <v>  </v>
      </c>
      <c r="B19" s="153" t="str">
        <f>IF(inputPrYr!C17&gt;0,inputPrYr!C17,"  ")</f>
        <v>  </v>
      </c>
      <c r="C19" s="154"/>
      <c r="D19" s="114"/>
      <c r="E19" s="114"/>
      <c r="F19" s="110"/>
    </row>
    <row r="20" spans="1:6" s="14" customFormat="1" ht="15.75">
      <c r="A20" s="75" t="str">
        <f>IF(inputPrYr!$B18&gt;"  ",inputPrYr!$B18,"  ")</f>
        <v>  </v>
      </c>
      <c r="B20" s="153" t="str">
        <f>IF(inputPrYr!C18&gt;0,inputPrYr!C18,"  ")</f>
        <v>  </v>
      </c>
      <c r="C20" s="154"/>
      <c r="D20" s="114"/>
      <c r="E20" s="114"/>
      <c r="F20" s="110"/>
    </row>
    <row r="21" spans="1:6" s="14" customFormat="1" ht="15.75">
      <c r="A21" s="75" t="str">
        <f>IF(inputPrYr!$B19&gt;"  ",inputPrYr!$B19,"  ")</f>
        <v>  </v>
      </c>
      <c r="B21" s="153" t="str">
        <f>IF(inputPrYr!C19&gt;0,inputPrYr!C19,"  ")</f>
        <v>  </v>
      </c>
      <c r="C21" s="154"/>
      <c r="D21" s="114"/>
      <c r="E21" s="114"/>
      <c r="F21" s="110"/>
    </row>
    <row r="22" spans="1:6" s="14" customFormat="1" ht="15.75">
      <c r="A22" s="75" t="str">
        <f>IF(inputPrYr!$B20&gt;"  ",inputPrYr!$B20,"  ")</f>
        <v>  </v>
      </c>
      <c r="B22" s="153" t="str">
        <f>IF(inputPrYr!C20&gt;0,inputPrYr!C20,"  ")</f>
        <v>  </v>
      </c>
      <c r="C22" s="154"/>
      <c r="D22" s="114"/>
      <c r="E22" s="114"/>
      <c r="F22" s="110"/>
    </row>
    <row r="23" spans="1:6" s="14" customFormat="1" ht="16.5" thickBot="1">
      <c r="A23" s="156" t="s">
        <v>179</v>
      </c>
      <c r="B23" s="157"/>
      <c r="C23" s="112" t="s">
        <v>180</v>
      </c>
      <c r="D23" s="246">
        <f>SUM(D18:D22)</f>
        <v>3740</v>
      </c>
      <c r="E23" s="246">
        <f>SUM(E18:E22)</f>
        <v>1915</v>
      </c>
      <c r="F23" s="247">
        <f>IF(SUM(F18:F22)&gt;0,SUM(F18:F22),"")</f>
      </c>
    </row>
    <row r="24" spans="1:3" s="14" customFormat="1" ht="16.5" thickTop="1">
      <c r="A24" s="28" t="s">
        <v>142</v>
      </c>
      <c r="B24" s="152"/>
      <c r="C24" s="155">
        <f>summ!C40</f>
        <v>5</v>
      </c>
    </row>
    <row r="25" spans="1:5" s="14" customFormat="1" ht="15.75">
      <c r="A25" s="28" t="s">
        <v>156</v>
      </c>
      <c r="B25" s="29"/>
      <c r="C25" s="155">
        <f>IF(nhood!C35&gt;0,nhood!C35,"")</f>
        <v>6</v>
      </c>
      <c r="D25" s="158" t="s">
        <v>129</v>
      </c>
      <c r="E25" s="159" t="str">
        <f>IF(E23&gt;computation!J34,"Yes","No")</f>
        <v>No</v>
      </c>
    </row>
    <row r="26" spans="1:5" s="14" customFormat="1" ht="15.75">
      <c r="A26" s="28" t="s">
        <v>128</v>
      </c>
      <c r="B26" s="29"/>
      <c r="C26" s="155">
        <f>IF(Resolution!D50&gt;0,Resolution!D50,"")</f>
      </c>
      <c r="D26" s="160"/>
      <c r="E26" s="161"/>
    </row>
    <row r="27" spans="1:6" s="14" customFormat="1" ht="15.75">
      <c r="A27" s="162" t="s">
        <v>87</v>
      </c>
      <c r="B27" s="303" t="s">
        <v>106</v>
      </c>
      <c r="C27" s="304"/>
      <c r="D27" s="163"/>
      <c r="F27" s="22" t="s">
        <v>181</v>
      </c>
    </row>
    <row r="28" spans="1:6" s="14" customFormat="1" ht="15.75">
      <c r="A28" s="70" t="s">
        <v>88</v>
      </c>
      <c r="B28" s="305"/>
      <c r="C28" s="306"/>
      <c r="D28" s="164"/>
      <c r="F28" s="22"/>
    </row>
    <row r="29" spans="1:6" s="14" customFormat="1" ht="15.75">
      <c r="A29" s="165"/>
      <c r="B29" s="307" t="s">
        <v>105</v>
      </c>
      <c r="C29" s="291"/>
      <c r="D29" s="163"/>
      <c r="F29" s="22"/>
    </row>
    <row r="30" spans="1:6" s="14" customFormat="1" ht="15.75">
      <c r="A30" s="165" t="s">
        <v>182</v>
      </c>
      <c r="D30" s="19"/>
      <c r="F30" s="22"/>
    </row>
    <row r="31" spans="1:6" s="14" customFormat="1" ht="15.75">
      <c r="A31" s="242" t="s">
        <v>10</v>
      </c>
      <c r="B31" s="166"/>
      <c r="D31" s="163"/>
      <c r="E31" s="19"/>
      <c r="F31" s="19"/>
    </row>
    <row r="32" spans="1:2" s="14" customFormat="1" ht="15.75">
      <c r="A32" s="243" t="s">
        <v>11</v>
      </c>
      <c r="B32" s="167"/>
    </row>
    <row r="33" spans="1:6" s="14" customFormat="1" ht="15.75">
      <c r="A33" s="165" t="s">
        <v>120</v>
      </c>
      <c r="D33" s="20"/>
      <c r="E33" s="20"/>
      <c r="F33" s="20"/>
    </row>
    <row r="34" spans="1:3" s="14" customFormat="1" ht="15.75">
      <c r="A34" s="242" t="s">
        <v>12</v>
      </c>
      <c r="B34" s="166"/>
      <c r="C34" s="22"/>
    </row>
    <row r="35" spans="1:6" s="14" customFormat="1" ht="15.75">
      <c r="A35" s="243" t="s">
        <v>13</v>
      </c>
      <c r="B35" s="167"/>
      <c r="C35" s="22"/>
      <c r="D35" s="69"/>
      <c r="E35" s="115"/>
      <c r="F35" s="115"/>
    </row>
    <row r="36" spans="1:7" ht="15.75">
      <c r="A36" s="167"/>
      <c r="B36" s="167"/>
      <c r="C36" s="22"/>
      <c r="D36" s="22"/>
      <c r="E36" s="14"/>
      <c r="F36" s="14"/>
      <c r="G36" s="77"/>
    </row>
    <row r="37" spans="1:7" ht="15.75">
      <c r="A37" s="66"/>
      <c r="B37" s="66"/>
      <c r="C37" s="22"/>
      <c r="D37" s="69"/>
      <c r="E37" s="115"/>
      <c r="F37" s="115"/>
      <c r="G37" s="77"/>
    </row>
    <row r="38" spans="1:7" ht="15.75">
      <c r="A38" s="66"/>
      <c r="B38" s="14"/>
      <c r="C38" s="22"/>
      <c r="D38" s="22"/>
      <c r="E38" s="14"/>
      <c r="F38" s="14"/>
      <c r="G38" s="77"/>
    </row>
    <row r="39" spans="1:7" ht="15.75">
      <c r="A39" s="22" t="s">
        <v>124</v>
      </c>
      <c r="B39" s="170">
        <f>G1-1</f>
        <v>2011</v>
      </c>
      <c r="C39" s="22"/>
      <c r="D39" s="69"/>
      <c r="E39" s="115"/>
      <c r="F39" s="115"/>
      <c r="G39" s="77"/>
    </row>
    <row r="40" spans="1:7" ht="15.75">
      <c r="A40" s="14"/>
      <c r="B40" s="14"/>
      <c r="C40" s="14"/>
      <c r="D40" s="14"/>
      <c r="E40" s="22"/>
      <c r="F40" s="14"/>
      <c r="G40" s="77"/>
    </row>
    <row r="41" spans="1:7" ht="15.75">
      <c r="A41" s="115"/>
      <c r="B41" s="14"/>
      <c r="C41" s="14"/>
      <c r="D41" s="20"/>
      <c r="E41" s="20"/>
      <c r="F41" s="20"/>
      <c r="G41" s="77"/>
    </row>
    <row r="42" spans="1:6" ht="15.75">
      <c r="A42" s="50" t="s">
        <v>184</v>
      </c>
      <c r="B42" s="14"/>
      <c r="C42" s="14"/>
      <c r="D42" s="290" t="s">
        <v>183</v>
      </c>
      <c r="E42" s="291"/>
      <c r="F42" s="291"/>
    </row>
    <row r="43" spans="1:6" ht="15.75">
      <c r="A43" s="14"/>
      <c r="B43" s="14"/>
      <c r="C43" s="14"/>
      <c r="D43" s="14"/>
      <c r="E43" s="14"/>
      <c r="F43" s="14"/>
    </row>
    <row r="44" spans="1:6" ht="15.75">
      <c r="A44" s="14"/>
      <c r="B44" s="14"/>
      <c r="C44" s="14"/>
      <c r="D44" s="14"/>
      <c r="E44" s="14"/>
      <c r="F44" s="14"/>
    </row>
    <row r="45" spans="1:6" ht="15.75">
      <c r="A45" s="14"/>
      <c r="B45" s="14"/>
      <c r="C45" s="14"/>
      <c r="D45" s="14"/>
      <c r="E45" s="14"/>
      <c r="F45" s="14"/>
    </row>
    <row r="46" spans="1:6" ht="15.75">
      <c r="A46" s="169" t="s">
        <v>14</v>
      </c>
      <c r="B46" s="168"/>
      <c r="C46" s="168"/>
      <c r="D46" s="168"/>
      <c r="E46" s="168"/>
      <c r="F46" s="14"/>
    </row>
    <row r="47" spans="1:6" ht="15.75">
      <c r="A47" s="169" t="s">
        <v>15</v>
      </c>
      <c r="B47" s="168"/>
      <c r="C47" s="168"/>
      <c r="D47" s="168"/>
      <c r="E47" s="168"/>
      <c r="F47" s="14"/>
    </row>
    <row r="48" spans="1:6" ht="15.75">
      <c r="A48" s="169"/>
      <c r="B48" s="168"/>
      <c r="C48" s="168"/>
      <c r="D48" s="168"/>
      <c r="E48" s="168"/>
      <c r="F48" s="14"/>
    </row>
    <row r="49" spans="1:6" ht="15.75">
      <c r="A49" s="14"/>
      <c r="B49" s="14"/>
      <c r="C49" s="14"/>
      <c r="D49" s="14"/>
      <c r="E49" s="14"/>
      <c r="F49" s="14"/>
    </row>
    <row r="50" spans="1:6" ht="15.75">
      <c r="A50" s="22" t="str">
        <f>CONCATENATE("Salaries and Wages:  Please report here the total amount of salaries and wages paid in ",G1-2," by the township")</f>
        <v>Salaries and Wages:  Please report here the total amount of salaries and wages paid in 2010 by the township</v>
      </c>
      <c r="B50" s="14"/>
      <c r="C50" s="14"/>
      <c r="D50" s="14"/>
      <c r="E50" s="14"/>
      <c r="F50" s="14"/>
    </row>
    <row r="51" spans="1:6" ht="15.75">
      <c r="A51" s="22" t="str">
        <f>CONCATENATE("to all employees, full and part-time.  This figure may be taken from the ",G1-2," W-3 form that your township filed")</f>
        <v>to all employees, full and part-time.  This figure may be taken from the 2010 W-3 form that your township filed</v>
      </c>
      <c r="B51" s="14"/>
      <c r="C51" s="14"/>
      <c r="D51" s="14"/>
      <c r="E51" s="14"/>
      <c r="F51" s="14"/>
    </row>
    <row r="52" spans="1:6" ht="15.75">
      <c r="A52" s="22" t="s">
        <v>16</v>
      </c>
      <c r="B52" s="14"/>
      <c r="C52" s="14"/>
      <c r="D52" s="48" t="s">
        <v>17</v>
      </c>
      <c r="E52" s="171"/>
      <c r="F52" s="14"/>
    </row>
  </sheetData>
  <sheetProtection/>
  <mergeCells count="10">
    <mergeCell ref="D42:F42"/>
    <mergeCell ref="A1:F1"/>
    <mergeCell ref="E12:E14"/>
    <mergeCell ref="D11:F11"/>
    <mergeCell ref="A6:F6"/>
    <mergeCell ref="A7:F7"/>
    <mergeCell ref="A3:G3"/>
    <mergeCell ref="B27:C27"/>
    <mergeCell ref="B28:C28"/>
    <mergeCell ref="B29:C29"/>
  </mergeCells>
  <conditionalFormatting sqref="E18">
    <cfRule type="cellIs" priority="1" dxfId="12" operator="equal" stopIfTrue="1">
      <formula>0</formula>
    </cfRule>
  </conditionalFormatting>
  <printOptions/>
  <pageMargins left="0.4" right="0.4" top="0.83" bottom="0.85" header="0.3" footer="0.6"/>
  <pageSetup blackAndWhite="1" fitToHeight="1" fitToWidth="1" horizontalDpi="300" verticalDpi="300" orientation="portrait" scale="91" r:id="rId1"/>
  <headerFooter alignWithMargins="0">
    <oddHeader>&amp;RState of Kansas
Township
</oddHeader>
    <oddFooter>&amp;Lrevised 8/25/09&amp;CPage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17" sqref="D17"/>
    </sheetView>
  </sheetViews>
  <sheetFormatPr defaultColWidth="8.796875" defaultRowHeight="15.75"/>
  <cols>
    <col min="1" max="2" width="3" style="73" customWidth="1"/>
    <col min="3" max="3" width="28.19921875" style="73" customWidth="1"/>
    <col min="4" max="4" width="2.09765625" style="73" customWidth="1"/>
    <col min="5" max="5" width="15.69921875" style="73" customWidth="1"/>
    <col min="6" max="6" width="1.796875" style="73" customWidth="1"/>
    <col min="7" max="7" width="15.69921875" style="73" customWidth="1"/>
    <col min="8" max="8" width="1.69921875" style="73" customWidth="1"/>
    <col min="9" max="9" width="1.59765625" style="73" customWidth="1"/>
    <col min="10" max="10" width="15.69921875" style="73" customWidth="1"/>
    <col min="11" max="16384" width="8.796875" style="73" customWidth="1"/>
  </cols>
  <sheetData>
    <row r="1" spans="1:10" ht="15.75">
      <c r="A1" s="14"/>
      <c r="B1" s="14"/>
      <c r="C1" s="248" t="str">
        <f>inputPrYr!D2</f>
        <v>Valley Township</v>
      </c>
      <c r="D1" s="14"/>
      <c r="E1" s="14"/>
      <c r="F1" s="14"/>
      <c r="G1" s="14"/>
      <c r="H1" s="14"/>
      <c r="I1" s="14"/>
      <c r="J1" s="14">
        <f>inputPrYr!D5</f>
        <v>2012</v>
      </c>
    </row>
    <row r="2" spans="1:10" ht="15.75">
      <c r="A2" s="14"/>
      <c r="B2" s="14"/>
      <c r="C2" s="14"/>
      <c r="D2" s="14"/>
      <c r="E2" s="14"/>
      <c r="F2" s="14"/>
      <c r="G2" s="14"/>
      <c r="H2" s="14"/>
      <c r="I2" s="14"/>
      <c r="J2" s="14"/>
    </row>
    <row r="3" spans="1:10" ht="15.75">
      <c r="A3" s="309" t="str">
        <f>CONCATENATE("Computation to Determine Limit for ",J1,"")</f>
        <v>Computation to Determine Limit for 2012</v>
      </c>
      <c r="B3" s="292"/>
      <c r="C3" s="292"/>
      <c r="D3" s="292"/>
      <c r="E3" s="292"/>
      <c r="F3" s="292"/>
      <c r="G3" s="292"/>
      <c r="H3" s="292"/>
      <c r="I3" s="292"/>
      <c r="J3" s="292"/>
    </row>
    <row r="4" spans="1:10" ht="15.75">
      <c r="A4" s="14"/>
      <c r="B4" s="14"/>
      <c r="C4" s="14"/>
      <c r="D4" s="14"/>
      <c r="E4" s="292"/>
      <c r="F4" s="292"/>
      <c r="G4" s="292"/>
      <c r="H4" s="80"/>
      <c r="I4" s="14"/>
      <c r="J4" s="137" t="s">
        <v>69</v>
      </c>
    </row>
    <row r="5" spans="1:10" ht="15.75">
      <c r="A5" s="138" t="s">
        <v>70</v>
      </c>
      <c r="B5" s="14" t="str">
        <f>CONCATENATE("Total Tax Levy Amount in ",J1-1,"")</f>
        <v>Total Tax Levy Amount in 2011</v>
      </c>
      <c r="C5" s="14"/>
      <c r="D5" s="14"/>
      <c r="E5" s="57"/>
      <c r="F5" s="57"/>
      <c r="G5" s="57"/>
      <c r="H5" s="139" t="s">
        <v>28</v>
      </c>
      <c r="I5" s="57" t="s">
        <v>17</v>
      </c>
      <c r="J5" s="140">
        <f>inputPrYr!E23</f>
        <v>1873</v>
      </c>
    </row>
    <row r="6" spans="1:10" ht="15.75">
      <c r="A6" s="138" t="s">
        <v>71</v>
      </c>
      <c r="B6" s="14" t="str">
        <f>CONCATENATE("Debt Service Levy in ",J1-1,"")</f>
        <v>Debt Service Levy in 2011</v>
      </c>
      <c r="C6" s="14"/>
      <c r="D6" s="14"/>
      <c r="E6" s="57"/>
      <c r="F6" s="57"/>
      <c r="G6" s="57"/>
      <c r="H6" s="139" t="s">
        <v>72</v>
      </c>
      <c r="I6" s="57" t="s">
        <v>17</v>
      </c>
      <c r="J6" s="141">
        <v>0</v>
      </c>
    </row>
    <row r="7" spans="1:10" ht="15.75">
      <c r="A7" s="138" t="s">
        <v>73</v>
      </c>
      <c r="B7" s="17" t="s">
        <v>90</v>
      </c>
      <c r="C7" s="14"/>
      <c r="D7" s="14"/>
      <c r="E7" s="57"/>
      <c r="F7" s="57"/>
      <c r="G7" s="57"/>
      <c r="H7" s="57"/>
      <c r="I7" s="57" t="s">
        <v>17</v>
      </c>
      <c r="J7" s="142">
        <f>J5-J6</f>
        <v>1873</v>
      </c>
    </row>
    <row r="8" spans="1:10" ht="15.75">
      <c r="A8" s="14"/>
      <c r="B8" s="14"/>
      <c r="C8" s="14"/>
      <c r="D8" s="14"/>
      <c r="E8" s="57"/>
      <c r="F8" s="57"/>
      <c r="G8" s="57"/>
      <c r="H8" s="57"/>
      <c r="I8" s="57"/>
      <c r="J8" s="57"/>
    </row>
    <row r="9" spans="1:10" ht="15.75">
      <c r="A9" s="14"/>
      <c r="B9" s="17" t="str">
        <f>CONCATENATE("",J1-1," Valuation Information for Valuation Adjustments:")</f>
        <v>2011 Valuation Information for Valuation Adjustments:</v>
      </c>
      <c r="C9" s="14"/>
      <c r="D9" s="14"/>
      <c r="E9" s="57"/>
      <c r="F9" s="57"/>
      <c r="G9" s="57"/>
      <c r="H9" s="57"/>
      <c r="I9" s="57"/>
      <c r="J9" s="57"/>
    </row>
    <row r="10" spans="1:10" ht="15.75">
      <c r="A10" s="14"/>
      <c r="B10" s="14"/>
      <c r="C10" s="17"/>
      <c r="D10" s="14"/>
      <c r="E10" s="57"/>
      <c r="F10" s="57"/>
      <c r="G10" s="57"/>
      <c r="H10" s="57"/>
      <c r="I10" s="57"/>
      <c r="J10" s="57"/>
    </row>
    <row r="11" spans="1:10" ht="15.75">
      <c r="A11" s="138" t="s">
        <v>74</v>
      </c>
      <c r="B11" s="17" t="str">
        <f>CONCATENATE("New Improvements for ",J1-1,":")</f>
        <v>New Improvements for 2011:</v>
      </c>
      <c r="C11" s="14"/>
      <c r="D11" s="14"/>
      <c r="E11" s="139"/>
      <c r="F11" s="139" t="s">
        <v>28</v>
      </c>
      <c r="G11" s="140">
        <f>inputOth!E8</f>
        <v>3735</v>
      </c>
      <c r="H11" s="55"/>
      <c r="I11" s="57"/>
      <c r="J11" s="57"/>
    </row>
    <row r="12" spans="1:10" ht="15.75">
      <c r="A12" s="138"/>
      <c r="B12" s="138"/>
      <c r="C12" s="14"/>
      <c r="D12" s="14"/>
      <c r="E12" s="139"/>
      <c r="F12" s="139"/>
      <c r="G12" s="55"/>
      <c r="H12" s="55"/>
      <c r="I12" s="57"/>
      <c r="J12" s="57"/>
    </row>
    <row r="13" spans="1:10" ht="15.75">
      <c r="A13" s="138" t="s">
        <v>75</v>
      </c>
      <c r="B13" s="17" t="str">
        <f>CONCATENATE("Increase in Personal Property for ",J1-1,":")</f>
        <v>Increase in Personal Property for 2011:</v>
      </c>
      <c r="C13" s="14"/>
      <c r="D13" s="14"/>
      <c r="E13" s="139"/>
      <c r="F13" s="139"/>
      <c r="G13" s="55"/>
      <c r="H13" s="55"/>
      <c r="I13" s="57"/>
      <c r="J13" s="57"/>
    </row>
    <row r="14" spans="1:10" ht="15.75">
      <c r="A14" s="14"/>
      <c r="B14" s="14" t="s">
        <v>76</v>
      </c>
      <c r="C14" s="14" t="str">
        <f>CONCATENATE("Personal Property ",J1-1,"")</f>
        <v>Personal Property 2011</v>
      </c>
      <c r="D14" s="138" t="s">
        <v>28</v>
      </c>
      <c r="E14" s="140">
        <f>inputOth!E9</f>
        <v>39737</v>
      </c>
      <c r="F14" s="139"/>
      <c r="G14" s="57"/>
      <c r="H14" s="57"/>
      <c r="I14" s="55"/>
      <c r="J14" s="57"/>
    </row>
    <row r="15" spans="1:10" ht="15.75">
      <c r="A15" s="138"/>
      <c r="B15" s="14" t="s">
        <v>77</v>
      </c>
      <c r="C15" s="14" t="str">
        <f>CONCATENATE("Personal Property ",J1-2,"")</f>
        <v>Personal Property 2010</v>
      </c>
      <c r="D15" s="138" t="s">
        <v>72</v>
      </c>
      <c r="E15" s="142">
        <f>inputOth!E11</f>
        <v>38258</v>
      </c>
      <c r="F15" s="139"/>
      <c r="G15" s="55"/>
      <c r="H15" s="55"/>
      <c r="I15" s="57"/>
      <c r="J15" s="57"/>
    </row>
    <row r="16" spans="1:10" ht="15.75">
      <c r="A16" s="138"/>
      <c r="B16" s="14" t="s">
        <v>78</v>
      </c>
      <c r="C16" s="14" t="s">
        <v>91</v>
      </c>
      <c r="D16" s="14"/>
      <c r="E16" s="57"/>
      <c r="F16" s="57" t="s">
        <v>28</v>
      </c>
      <c r="G16" s="140">
        <f>IF(E14&gt;E15,E14-E15,0)</f>
        <v>1479</v>
      </c>
      <c r="H16" s="55"/>
      <c r="I16" s="57"/>
      <c r="J16" s="57"/>
    </row>
    <row r="17" spans="1:10" ht="15.75">
      <c r="A17" s="138"/>
      <c r="B17" s="138"/>
      <c r="C17" s="14"/>
      <c r="D17" s="14"/>
      <c r="E17" s="57"/>
      <c r="F17" s="57"/>
      <c r="G17" s="55" t="s">
        <v>86</v>
      </c>
      <c r="H17" s="55"/>
      <c r="I17" s="57"/>
      <c r="J17" s="57"/>
    </row>
    <row r="18" spans="1:10" ht="15.75">
      <c r="A18" s="138" t="s">
        <v>79</v>
      </c>
      <c r="B18" s="17" t="str">
        <f>CONCATENATE("Valuation of Property that Changed in Use during ",J1-1,":")</f>
        <v>Valuation of Property that Changed in Use during 2011:</v>
      </c>
      <c r="C18" s="14"/>
      <c r="D18" s="14"/>
      <c r="E18" s="57"/>
      <c r="F18" s="139" t="s">
        <v>28</v>
      </c>
      <c r="G18" s="140">
        <f>inputOth!E10</f>
        <v>14771</v>
      </c>
      <c r="H18" s="57"/>
      <c r="I18" s="57"/>
      <c r="J18" s="57"/>
    </row>
    <row r="19" spans="1:10" ht="15.75">
      <c r="A19" s="14" t="s">
        <v>170</v>
      </c>
      <c r="B19" s="14"/>
      <c r="C19" s="14"/>
      <c r="D19" s="138"/>
      <c r="E19" s="55"/>
      <c r="F19" s="55"/>
      <c r="G19" s="55"/>
      <c r="H19" s="57"/>
      <c r="I19" s="57"/>
      <c r="J19" s="57"/>
    </row>
    <row r="20" spans="1:10" ht="15.75">
      <c r="A20" s="138" t="s">
        <v>80</v>
      </c>
      <c r="B20" s="17" t="s">
        <v>92</v>
      </c>
      <c r="C20" s="14"/>
      <c r="D20" s="14"/>
      <c r="E20" s="57"/>
      <c r="F20" s="57"/>
      <c r="G20" s="140">
        <f>G11+G16+G18</f>
        <v>19985</v>
      </c>
      <c r="H20" s="55"/>
      <c r="I20" s="57"/>
      <c r="J20" s="57"/>
    </row>
    <row r="21" spans="1:10" ht="15.75">
      <c r="A21" s="138"/>
      <c r="B21" s="138"/>
      <c r="C21" s="17"/>
      <c r="D21" s="14"/>
      <c r="E21" s="57"/>
      <c r="F21" s="57"/>
      <c r="G21" s="55"/>
      <c r="H21" s="55"/>
      <c r="I21" s="57"/>
      <c r="J21" s="57"/>
    </row>
    <row r="22" spans="1:10" ht="15.75">
      <c r="A22" s="138" t="s">
        <v>81</v>
      </c>
      <c r="B22" s="14" t="str">
        <f>CONCATENATE("Total Estimated Valuation July 1,",J1-1,"")</f>
        <v>Total Estimated Valuation July 1,2011</v>
      </c>
      <c r="C22" s="14"/>
      <c r="D22" s="14"/>
      <c r="E22" s="140">
        <f>inputOth!E7</f>
        <v>903838</v>
      </c>
      <c r="F22" s="57"/>
      <c r="G22" s="57"/>
      <c r="H22" s="57"/>
      <c r="I22" s="139"/>
      <c r="J22" s="57"/>
    </row>
    <row r="23" spans="1:10" ht="15.75">
      <c r="A23" s="138"/>
      <c r="B23" s="138"/>
      <c r="C23" s="14"/>
      <c r="D23" s="14"/>
      <c r="E23" s="55"/>
      <c r="F23" s="57"/>
      <c r="G23" s="57"/>
      <c r="H23" s="57"/>
      <c r="I23" s="139"/>
      <c r="J23" s="57"/>
    </row>
    <row r="24" spans="1:10" ht="15.75">
      <c r="A24" s="138" t="s">
        <v>82</v>
      </c>
      <c r="B24" s="17" t="s">
        <v>93</v>
      </c>
      <c r="C24" s="14"/>
      <c r="D24" s="14"/>
      <c r="E24" s="57"/>
      <c r="F24" s="57"/>
      <c r="G24" s="140">
        <f>E22-G20</f>
        <v>883853</v>
      </c>
      <c r="H24" s="55"/>
      <c r="I24" s="139"/>
      <c r="J24" s="57"/>
    </row>
    <row r="25" spans="1:10" ht="15.75">
      <c r="A25" s="138"/>
      <c r="B25" s="138"/>
      <c r="C25" s="17"/>
      <c r="D25" s="14"/>
      <c r="E25" s="14"/>
      <c r="F25" s="14"/>
      <c r="G25" s="143"/>
      <c r="H25" s="19"/>
      <c r="I25" s="138"/>
      <c r="J25" s="14"/>
    </row>
    <row r="26" spans="1:10" ht="15.75">
      <c r="A26" s="138" t="s">
        <v>83</v>
      </c>
      <c r="B26" s="14" t="s">
        <v>94</v>
      </c>
      <c r="C26" s="14"/>
      <c r="D26" s="14"/>
      <c r="E26" s="14"/>
      <c r="F26" s="14"/>
      <c r="G26" s="144">
        <f>IF(G20&gt;0,G20/G24,0)</f>
        <v>0.022611226074924225</v>
      </c>
      <c r="H26" s="19"/>
      <c r="I26" s="14"/>
      <c r="J26" s="14"/>
    </row>
    <row r="27" spans="1:10" ht="15.75">
      <c r="A27" s="138"/>
      <c r="B27" s="138"/>
      <c r="C27" s="14"/>
      <c r="D27" s="14"/>
      <c r="E27" s="14"/>
      <c r="F27" s="14"/>
      <c r="G27" s="19"/>
      <c r="H27" s="19"/>
      <c r="I27" s="14"/>
      <c r="J27" s="14"/>
    </row>
    <row r="28" spans="1:10" ht="15.75">
      <c r="A28" s="138" t="s">
        <v>84</v>
      </c>
      <c r="B28" s="14" t="s">
        <v>95</v>
      </c>
      <c r="C28" s="14"/>
      <c r="D28" s="14"/>
      <c r="E28" s="14"/>
      <c r="F28" s="14"/>
      <c r="G28" s="19"/>
      <c r="H28" s="145" t="s">
        <v>28</v>
      </c>
      <c r="I28" s="14" t="s">
        <v>17</v>
      </c>
      <c r="J28" s="140">
        <f>ROUND(G26*J7,0)</f>
        <v>42</v>
      </c>
    </row>
    <row r="29" spans="1:10" ht="15.75">
      <c r="A29" s="138"/>
      <c r="B29" s="138"/>
      <c r="C29" s="14"/>
      <c r="D29" s="14"/>
      <c r="E29" s="14"/>
      <c r="F29" s="14"/>
      <c r="G29" s="19"/>
      <c r="H29" s="145"/>
      <c r="I29" s="14"/>
      <c r="J29" s="55"/>
    </row>
    <row r="30" spans="1:10" ht="16.5" thickBot="1">
      <c r="A30" s="138" t="s">
        <v>85</v>
      </c>
      <c r="B30" s="17" t="s">
        <v>99</v>
      </c>
      <c r="C30" s="14"/>
      <c r="D30" s="14"/>
      <c r="E30" s="14"/>
      <c r="F30" s="14"/>
      <c r="G30" s="14"/>
      <c r="H30" s="14"/>
      <c r="I30" s="14" t="s">
        <v>17</v>
      </c>
      <c r="J30" s="146">
        <f>J7+J28</f>
        <v>1915</v>
      </c>
    </row>
    <row r="31" spans="1:10" ht="16.5" thickTop="1">
      <c r="A31" s="14"/>
      <c r="B31" s="14"/>
      <c r="C31" s="14"/>
      <c r="D31" s="14"/>
      <c r="E31" s="14"/>
      <c r="F31" s="14"/>
      <c r="G31" s="14"/>
      <c r="H31" s="14"/>
      <c r="I31" s="14"/>
      <c r="J31" s="14"/>
    </row>
    <row r="32" spans="1:10" ht="15.75">
      <c r="A32" s="138" t="s">
        <v>97</v>
      </c>
      <c r="B32" s="17" t="str">
        <f>CONCATENATE("Debt Service Levy in this ",J1,"")</f>
        <v>Debt Service Levy in this 2012</v>
      </c>
      <c r="C32" s="14"/>
      <c r="D32" s="14"/>
      <c r="E32" s="14"/>
      <c r="F32" s="14"/>
      <c r="G32" s="14"/>
      <c r="H32" s="14"/>
      <c r="I32" s="14"/>
      <c r="J32" s="140">
        <v>0</v>
      </c>
    </row>
    <row r="33" spans="1:10" ht="15.75">
      <c r="A33" s="138"/>
      <c r="B33" s="17"/>
      <c r="C33" s="14"/>
      <c r="D33" s="14"/>
      <c r="E33" s="14"/>
      <c r="F33" s="14"/>
      <c r="G33" s="14"/>
      <c r="H33" s="14"/>
      <c r="I33" s="14"/>
      <c r="J33" s="19"/>
    </row>
    <row r="34" spans="1:10" ht="16.5" thickBot="1">
      <c r="A34" s="138" t="s">
        <v>98</v>
      </c>
      <c r="B34" s="17" t="s">
        <v>100</v>
      </c>
      <c r="C34" s="14"/>
      <c r="D34" s="14"/>
      <c r="E34" s="14"/>
      <c r="F34" s="14"/>
      <c r="G34" s="14"/>
      <c r="H34" s="14"/>
      <c r="I34" s="14"/>
      <c r="J34" s="146">
        <f>J30+J32</f>
        <v>1915</v>
      </c>
    </row>
    <row r="35" spans="1:10" ht="16.5" thickTop="1">
      <c r="A35" s="14"/>
      <c r="B35" s="14"/>
      <c r="C35" s="14"/>
      <c r="D35" s="14"/>
      <c r="E35" s="14"/>
      <c r="F35" s="14"/>
      <c r="G35" s="14"/>
      <c r="H35" s="14"/>
      <c r="I35" s="14"/>
      <c r="J35" s="14"/>
    </row>
    <row r="36" spans="1:10" s="147" customFormat="1" ht="18.75">
      <c r="A36" s="308" t="str">
        <f>CONCATENATE("If the ",J1," budget includes tax levies exceeding the total on line 14, you must")</f>
        <v>If the 2012 budget includes tax levies exceeding the total on line 14, you must</v>
      </c>
      <c r="B36" s="308"/>
      <c r="C36" s="308"/>
      <c r="D36" s="308"/>
      <c r="E36" s="308"/>
      <c r="F36" s="308"/>
      <c r="G36" s="308"/>
      <c r="H36" s="308"/>
      <c r="I36" s="308"/>
      <c r="J36" s="308"/>
    </row>
    <row r="37" spans="1:10" s="147" customFormat="1" ht="18.75">
      <c r="A37" s="308" t="s">
        <v>96</v>
      </c>
      <c r="B37" s="308"/>
      <c r="C37" s="308"/>
      <c r="D37" s="308"/>
      <c r="E37" s="308"/>
      <c r="F37" s="308"/>
      <c r="G37" s="308"/>
      <c r="H37" s="308"/>
      <c r="I37" s="308"/>
      <c r="J37" s="308"/>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39"/>
  <sheetViews>
    <sheetView zoomScale="85" zoomScaleNormal="85" zoomScalePageLayoutView="0" workbookViewId="0" topLeftCell="A1">
      <selection activeCell="D17" sqref="D17"/>
    </sheetView>
  </sheetViews>
  <sheetFormatPr defaultColWidth="8.796875" defaultRowHeight="15.75"/>
  <cols>
    <col min="1" max="1" width="17.796875" style="73" customWidth="1"/>
    <col min="2" max="2" width="8.69921875" style="73" hidden="1" customWidth="1"/>
    <col min="3" max="3" width="13.69921875" style="73" customWidth="1"/>
    <col min="4" max="4" width="0.203125" style="73" customWidth="1"/>
    <col min="5" max="5" width="0.1015625" style="73" hidden="1" customWidth="1"/>
    <col min="6" max="6" width="13.69921875" style="73" customWidth="1"/>
    <col min="7" max="7" width="12.3984375" style="73" hidden="1" customWidth="1"/>
    <col min="8" max="10" width="13.69921875" style="73" customWidth="1"/>
    <col min="11" max="11" width="0.203125" style="73" customWidth="1"/>
    <col min="12" max="16384" width="8.796875" style="73" customWidth="1"/>
  </cols>
  <sheetData>
    <row r="1" spans="1:11" ht="15.75">
      <c r="A1" s="248" t="str">
        <f>inputPrYr!D2</f>
        <v>Valley Township</v>
      </c>
      <c r="B1" s="14"/>
      <c r="C1" s="14"/>
      <c r="D1" s="14"/>
      <c r="E1" s="14"/>
      <c r="F1" s="14"/>
      <c r="G1" s="14"/>
      <c r="H1" s="14"/>
      <c r="J1" s="15">
        <f>inputPrYr!D5</f>
        <v>2012</v>
      </c>
      <c r="K1" s="77"/>
    </row>
    <row r="2" spans="1:11" ht="15.75">
      <c r="A2" s="13"/>
      <c r="B2" s="14"/>
      <c r="C2" s="14"/>
      <c r="D2" s="14"/>
      <c r="E2" s="14"/>
      <c r="F2" s="14"/>
      <c r="G2" s="14"/>
      <c r="H2" s="14"/>
      <c r="I2" s="53"/>
      <c r="J2" s="53"/>
      <c r="K2" s="77"/>
    </row>
    <row r="3" spans="1:11" ht="15.75">
      <c r="A3" s="13"/>
      <c r="B3" s="14"/>
      <c r="C3" s="14"/>
      <c r="D3" s="14"/>
      <c r="E3" s="14"/>
      <c r="F3" s="14"/>
      <c r="G3" s="14"/>
      <c r="H3" s="14"/>
      <c r="I3" s="53"/>
      <c r="J3" s="53"/>
      <c r="K3" s="77"/>
    </row>
    <row r="4" spans="1:11" ht="15.75">
      <c r="A4" s="13"/>
      <c r="B4" s="14"/>
      <c r="C4" s="14"/>
      <c r="D4" s="14"/>
      <c r="E4" s="14"/>
      <c r="F4" s="14"/>
      <c r="G4" s="14"/>
      <c r="H4" s="14"/>
      <c r="I4" s="53"/>
      <c r="J4" s="53"/>
      <c r="K4" s="77"/>
    </row>
    <row r="5" spans="1:11" ht="15.75">
      <c r="A5" s="14"/>
      <c r="B5" s="14"/>
      <c r="C5" s="14"/>
      <c r="D5" s="14"/>
      <c r="E5" s="14"/>
      <c r="F5" s="14"/>
      <c r="G5" s="14"/>
      <c r="H5" s="14"/>
      <c r="I5" s="14"/>
      <c r="J5" s="14"/>
      <c r="K5" s="77"/>
    </row>
    <row r="6" spans="1:11" ht="15.75">
      <c r="A6" s="314" t="s">
        <v>159</v>
      </c>
      <c r="B6" s="291"/>
      <c r="C6" s="291"/>
      <c r="D6" s="291"/>
      <c r="E6" s="291"/>
      <c r="F6" s="291"/>
      <c r="G6" s="291"/>
      <c r="H6" s="291"/>
      <c r="I6" s="291"/>
      <c r="J6" s="291"/>
      <c r="K6" s="291"/>
    </row>
    <row r="7" spans="1:11" ht="15.75">
      <c r="A7" s="121"/>
      <c r="B7" s="12"/>
      <c r="C7" s="93"/>
      <c r="D7" s="93"/>
      <c r="E7" s="93"/>
      <c r="F7" s="93"/>
      <c r="G7" s="93"/>
      <c r="H7" s="93"/>
      <c r="I7" s="93"/>
      <c r="J7" s="93"/>
      <c r="K7" s="93"/>
    </row>
    <row r="8" spans="1:11" ht="15.75">
      <c r="A8" s="14"/>
      <c r="B8" s="122"/>
      <c r="C8" s="122"/>
      <c r="D8" s="122"/>
      <c r="E8" s="122"/>
      <c r="F8" s="123"/>
      <c r="G8" s="98"/>
      <c r="H8" s="98"/>
      <c r="I8" s="14"/>
      <c r="J8" s="14"/>
      <c r="K8" s="77"/>
    </row>
    <row r="9" spans="1:11" ht="21" customHeight="1">
      <c r="A9" s="108"/>
      <c r="B9" s="116"/>
      <c r="C9" s="310" t="str">
        <f>CONCATENATE("Budget Tax Levy Amount for ",J1-2,"")</f>
        <v>Budget Tax Levy Amount for 2010</v>
      </c>
      <c r="D9" s="310" t="str">
        <f>CONCATENATE("Budget Tax Levy Rate for ",J1-1,"")</f>
        <v>Budget Tax Levy Rate for 2011</v>
      </c>
      <c r="E9" s="124"/>
      <c r="F9" s="296" t="str">
        <f>CONCATENATE("Allocation for Year ",J1,"")</f>
        <v>Allocation for Year 2012</v>
      </c>
      <c r="G9" s="312"/>
      <c r="H9" s="312"/>
      <c r="I9" s="312"/>
      <c r="J9" s="312"/>
      <c r="K9" s="313"/>
    </row>
    <row r="10" spans="1:11" ht="15.75">
      <c r="A10" s="125" t="str">
        <f>CONCATENATE("",J1-1," Budgeted Funds")</f>
        <v>2011 Budgeted Funds</v>
      </c>
      <c r="B10" s="117"/>
      <c r="C10" s="311"/>
      <c r="D10" s="311"/>
      <c r="E10" s="26"/>
      <c r="F10" s="27" t="s">
        <v>67</v>
      </c>
      <c r="G10" s="27"/>
      <c r="H10" s="27" t="s">
        <v>68</v>
      </c>
      <c r="I10" s="109" t="s">
        <v>104</v>
      </c>
      <c r="J10" s="109" t="s">
        <v>134</v>
      </c>
      <c r="K10" s="78"/>
    </row>
    <row r="11" spans="1:11" ht="15.75">
      <c r="A11" s="75" t="str">
        <f>inputPrYr!B16</f>
        <v>General</v>
      </c>
      <c r="B11" s="126"/>
      <c r="C11" s="75">
        <f>IF(inputPrYr!E16&gt;0,inputPrYr!E16,"  ")</f>
        <v>1873</v>
      </c>
      <c r="D11" s="127">
        <f>IF(inputOth!D17&gt;0,inputOth!D17,"  ")</f>
        <v>2.081</v>
      </c>
      <c r="E11" s="128"/>
      <c r="F11" s="75">
        <f>IF(inputPrYr!E16=0,0,F20-SUM(F12:F17))</f>
        <v>181</v>
      </c>
      <c r="G11" s="129"/>
      <c r="H11" s="75">
        <f>IF(inputPrYr!E16=0,0,H22-SUM(H12:H17))</f>
        <v>6</v>
      </c>
      <c r="I11" s="75">
        <f>IF(inputPrYr!E16=0,0,I24-SUM(I12:I17))</f>
        <v>25</v>
      </c>
      <c r="J11" s="75">
        <f>IF(inputPrYr!E16=0,0,J26-SUM(J12:J17))</f>
        <v>0</v>
      </c>
      <c r="K11" s="130" t="e">
        <f>IF(inputOth!D17&gt;0,ROUND(D11*#REF!*-1,0),"")</f>
        <v>#REF!</v>
      </c>
    </row>
    <row r="12" spans="1:11" ht="15.75">
      <c r="A12" s="75" t="str">
        <f>IF(inputPrYr!$B17&gt;"  ",inputPrYr!$B17,"  ")</f>
        <v>  </v>
      </c>
      <c r="B12" s="126"/>
      <c r="C12" s="75"/>
      <c r="D12" s="127"/>
      <c r="E12" s="128"/>
      <c r="F12" s="75"/>
      <c r="G12" s="129"/>
      <c r="H12" s="75"/>
      <c r="I12" s="75"/>
      <c r="J12" s="75"/>
      <c r="K12" s="130">
        <f>IF(inputOth!D18&gt;0,ROUND(D12*#REF!*-1,0),"")</f>
      </c>
    </row>
    <row r="13" spans="1:11" ht="15.75">
      <c r="A13" s="75" t="str">
        <f>IF(inputPrYr!$B18&gt;"  ",inputPrYr!$B18,"  ")</f>
        <v>  </v>
      </c>
      <c r="B13" s="126"/>
      <c r="C13" s="75"/>
      <c r="D13" s="127"/>
      <c r="E13" s="128"/>
      <c r="F13" s="75"/>
      <c r="G13" s="129"/>
      <c r="H13" s="75"/>
      <c r="I13" s="75"/>
      <c r="J13" s="75"/>
      <c r="K13" s="130">
        <f>IF(inputOth!D19&gt;0,ROUND(D13*#REF!*-1,0),"")</f>
      </c>
    </row>
    <row r="14" spans="1:11" ht="15.75">
      <c r="A14" s="75" t="str">
        <f>IF(inputPrYr!$B19&gt;"  ",inputPrYr!$B19,"  ")</f>
        <v>  </v>
      </c>
      <c r="B14" s="126"/>
      <c r="C14" s="75"/>
      <c r="D14" s="127"/>
      <c r="E14" s="128"/>
      <c r="F14" s="75"/>
      <c r="G14" s="129"/>
      <c r="H14" s="75"/>
      <c r="I14" s="75"/>
      <c r="J14" s="75"/>
      <c r="K14" s="130">
        <f>IF(inputOth!D20&gt;0,ROUND(D14*#REF!*-1,0),"")</f>
      </c>
    </row>
    <row r="15" spans="1:11" ht="15.75">
      <c r="A15" s="75" t="str">
        <f>IF(inputPrYr!$B20&gt;"  ",inputPrYr!$B20,"  ")</f>
        <v>  </v>
      </c>
      <c r="B15" s="126"/>
      <c r="C15" s="75"/>
      <c r="D15" s="127"/>
      <c r="E15" s="128"/>
      <c r="F15" s="75"/>
      <c r="G15" s="129"/>
      <c r="H15" s="75"/>
      <c r="I15" s="75"/>
      <c r="J15" s="75"/>
      <c r="K15" s="130">
        <f>IF(inputOth!D21&gt;0,ROUND(D15*#REF!*-1,0),"")</f>
      </c>
    </row>
    <row r="16" spans="1:11" ht="15.75">
      <c r="A16" s="75" t="str">
        <f>IF(inputPrYr!$B21&gt;"  ",inputPrYr!$B21,"  ")</f>
        <v>  </v>
      </c>
      <c r="B16" s="126"/>
      <c r="C16" s="75"/>
      <c r="D16" s="127"/>
      <c r="E16" s="128"/>
      <c r="F16" s="75"/>
      <c r="G16" s="129"/>
      <c r="H16" s="75"/>
      <c r="I16" s="75"/>
      <c r="J16" s="75"/>
      <c r="K16" s="130">
        <f>IF(inputOth!D22&gt;0,ROUND(D16*#REF!*-1,0),"")</f>
      </c>
    </row>
    <row r="17" spans="1:11" ht="15.75">
      <c r="A17" s="75" t="str">
        <f>IF(inputPrYr!$B22&gt;"  ",inputPrYr!$B22,"  ")</f>
        <v>  </v>
      </c>
      <c r="B17" s="126"/>
      <c r="C17" s="75"/>
      <c r="D17" s="127"/>
      <c r="E17" s="128"/>
      <c r="F17" s="75"/>
      <c r="G17" s="129"/>
      <c r="H17" s="75"/>
      <c r="I17" s="75"/>
      <c r="J17" s="75"/>
      <c r="K17" s="130">
        <f>IF(inputOth!D23&gt;0,ROUND(D17*#REF!*-1,0),"")</f>
      </c>
    </row>
    <row r="18" spans="1:11" s="255" customFormat="1" ht="16.5" thickBot="1">
      <c r="A18" s="249" t="s">
        <v>168</v>
      </c>
      <c r="B18" s="250"/>
      <c r="C18" s="251">
        <f>SUM(C11:C17)</f>
        <v>1873</v>
      </c>
      <c r="D18" s="252">
        <f>SUM(D11:D17)</f>
        <v>2.081</v>
      </c>
      <c r="E18" s="253"/>
      <c r="F18" s="251">
        <f>SUM(F11:F17)</f>
        <v>181</v>
      </c>
      <c r="G18" s="251"/>
      <c r="H18" s="251">
        <f>SUM(H11:H17)</f>
        <v>6</v>
      </c>
      <c r="I18" s="251">
        <f>SUM(I11:I17)</f>
        <v>25</v>
      </c>
      <c r="J18" s="251">
        <f>SUM(J11:J17)</f>
        <v>0</v>
      </c>
      <c r="K18" s="254" t="e">
        <f>SUM(K11:K17)</f>
        <v>#REF!</v>
      </c>
    </row>
    <row r="19" spans="1:11" ht="16.5" thickTop="1">
      <c r="A19" s="14"/>
      <c r="B19" s="14"/>
      <c r="C19" s="14"/>
      <c r="D19" s="14"/>
      <c r="E19" s="14"/>
      <c r="F19" s="14"/>
      <c r="G19" s="14"/>
      <c r="H19" s="14"/>
      <c r="I19" s="14"/>
      <c r="J19" s="14"/>
      <c r="K19" s="77"/>
    </row>
    <row r="20" spans="1:11" ht="15.75">
      <c r="A20" s="22" t="s">
        <v>19</v>
      </c>
      <c r="B20" s="63"/>
      <c r="C20" s="14"/>
      <c r="D20" s="14"/>
      <c r="E20" s="14"/>
      <c r="F20" s="72">
        <f>inputOth!E29</f>
        <v>181</v>
      </c>
      <c r="G20" s="14"/>
      <c r="H20" s="14"/>
      <c r="I20" s="14"/>
      <c r="J20" s="14"/>
      <c r="K20" s="77"/>
    </row>
    <row r="21" spans="1:11" ht="15.75">
      <c r="A21" s="14"/>
      <c r="B21" s="14"/>
      <c r="C21" s="14"/>
      <c r="D21" s="14"/>
      <c r="E21" s="14"/>
      <c r="F21" s="14"/>
      <c r="G21" s="14"/>
      <c r="H21" s="14"/>
      <c r="I21" s="14"/>
      <c r="J21" s="14"/>
      <c r="K21" s="77"/>
    </row>
    <row r="22" spans="1:11" ht="15.75">
      <c r="A22" s="22" t="s">
        <v>20</v>
      </c>
      <c r="B22" s="14"/>
      <c r="C22" s="14"/>
      <c r="D22" s="14"/>
      <c r="E22" s="14"/>
      <c r="F22" s="14"/>
      <c r="G22" s="72">
        <f>inputPrYr!E69</f>
        <v>0</v>
      </c>
      <c r="H22" s="72">
        <f>inputOth!E30</f>
        <v>6</v>
      </c>
      <c r="I22" s="14"/>
      <c r="J22" s="14"/>
      <c r="K22" s="77"/>
    </row>
    <row r="23" spans="1:11" ht="15.75">
      <c r="A23" s="14"/>
      <c r="B23" s="14"/>
      <c r="C23" s="14"/>
      <c r="D23" s="14"/>
      <c r="E23" s="14"/>
      <c r="F23" s="14"/>
      <c r="G23" s="14"/>
      <c r="H23" s="14"/>
      <c r="I23" s="14"/>
      <c r="J23" s="14"/>
      <c r="K23" s="77"/>
    </row>
    <row r="24" spans="1:11" ht="15.75">
      <c r="A24" s="22" t="s">
        <v>65</v>
      </c>
      <c r="B24" s="14"/>
      <c r="C24" s="14"/>
      <c r="D24" s="14"/>
      <c r="E24" s="14"/>
      <c r="F24" s="14"/>
      <c r="G24" s="14"/>
      <c r="H24" s="14"/>
      <c r="I24" s="72">
        <f>inputOth!E31</f>
        <v>25</v>
      </c>
      <c r="J24" s="24"/>
      <c r="K24" s="77"/>
    </row>
    <row r="25" spans="1:11" ht="15.75">
      <c r="A25" s="14"/>
      <c r="B25" s="14"/>
      <c r="C25" s="14"/>
      <c r="D25" s="14"/>
      <c r="E25" s="14"/>
      <c r="F25" s="14"/>
      <c r="G25" s="14"/>
      <c r="H25" s="14"/>
      <c r="I25" s="14"/>
      <c r="J25" s="14"/>
      <c r="K25" s="77"/>
    </row>
    <row r="26" spans="1:11" ht="15.75">
      <c r="A26" s="14" t="s">
        <v>145</v>
      </c>
      <c r="B26" s="14"/>
      <c r="C26" s="14"/>
      <c r="D26" s="14"/>
      <c r="E26" s="14"/>
      <c r="F26" s="14"/>
      <c r="G26" s="14"/>
      <c r="H26" s="14"/>
      <c r="I26" s="14"/>
      <c r="J26" s="72">
        <f>inputOth!E33</f>
        <v>0</v>
      </c>
      <c r="K26" s="77"/>
    </row>
    <row r="27" spans="1:11" ht="15.75">
      <c r="A27" s="14"/>
      <c r="B27" s="14"/>
      <c r="C27" s="14"/>
      <c r="D27" s="14"/>
      <c r="E27" s="14"/>
      <c r="F27" s="14"/>
      <c r="G27" s="14"/>
      <c r="H27" s="14"/>
      <c r="I27" s="14"/>
      <c r="J27" s="24"/>
      <c r="K27" s="77"/>
    </row>
    <row r="28" spans="1:11" ht="15.75">
      <c r="A28" s="22" t="s">
        <v>21</v>
      </c>
      <c r="B28" s="14"/>
      <c r="C28" s="14"/>
      <c r="D28" s="14"/>
      <c r="E28" s="14"/>
      <c r="F28" s="131">
        <f>IF(C18=0,0,F20/C18)</f>
        <v>0.09663641217298452</v>
      </c>
      <c r="G28" s="14"/>
      <c r="H28" s="14"/>
      <c r="I28" s="14"/>
      <c r="J28" s="14"/>
      <c r="K28" s="77"/>
    </row>
    <row r="29" spans="1:11" ht="15.75">
      <c r="A29" s="14"/>
      <c r="B29" s="132"/>
      <c r="C29" s="14"/>
      <c r="D29" s="14"/>
      <c r="E29" s="14"/>
      <c r="F29" s="14"/>
      <c r="G29" s="14"/>
      <c r="H29" s="14"/>
      <c r="I29" s="14"/>
      <c r="J29" s="14"/>
      <c r="K29" s="77"/>
    </row>
    <row r="30" spans="1:11" ht="15.75">
      <c r="A30" s="22" t="s">
        <v>22</v>
      </c>
      <c r="B30" s="14"/>
      <c r="C30" s="14"/>
      <c r="D30" s="14"/>
      <c r="E30" s="14"/>
      <c r="F30" s="14"/>
      <c r="G30" s="133">
        <f>IF(C18=0,0,G22/C18)</f>
        <v>0</v>
      </c>
      <c r="H30" s="134">
        <f>IF(C18=0,0,H22/C18)</f>
        <v>0.003203416978109984</v>
      </c>
      <c r="I30" s="14"/>
      <c r="J30" s="14"/>
      <c r="K30" s="77"/>
    </row>
    <row r="31" spans="1:11" ht="15.75">
      <c r="A31" s="14"/>
      <c r="B31" s="14"/>
      <c r="C31" s="14"/>
      <c r="D31" s="14"/>
      <c r="E31" s="14"/>
      <c r="F31" s="14"/>
      <c r="G31" s="14"/>
      <c r="H31" s="14"/>
      <c r="I31" s="14"/>
      <c r="J31" s="14"/>
      <c r="K31" s="77"/>
    </row>
    <row r="32" spans="1:11" ht="15.75">
      <c r="A32" s="22" t="s">
        <v>66</v>
      </c>
      <c r="B32" s="14"/>
      <c r="C32" s="14"/>
      <c r="D32" s="14"/>
      <c r="E32" s="14"/>
      <c r="F32" s="14"/>
      <c r="G32" s="14"/>
      <c r="H32" s="14"/>
      <c r="I32" s="131">
        <f>IF(C18=0,0,I24/C18)</f>
        <v>0.013347570742124934</v>
      </c>
      <c r="J32" s="135"/>
      <c r="K32" s="77"/>
    </row>
    <row r="33" spans="1:11" ht="15.75">
      <c r="A33" s="77"/>
      <c r="B33" s="77"/>
      <c r="C33" s="77"/>
      <c r="D33" s="77"/>
      <c r="E33" s="77"/>
      <c r="F33" s="77"/>
      <c r="G33" s="77"/>
      <c r="H33" s="77"/>
      <c r="I33" s="77"/>
      <c r="J33" s="77"/>
      <c r="K33" s="77"/>
    </row>
    <row r="34" spans="1:11" ht="15.75">
      <c r="A34" s="77" t="s">
        <v>146</v>
      </c>
      <c r="B34" s="77"/>
      <c r="C34" s="77"/>
      <c r="D34" s="77"/>
      <c r="E34" s="77"/>
      <c r="F34" s="77"/>
      <c r="G34" s="77"/>
      <c r="H34" s="77"/>
      <c r="I34" s="77"/>
      <c r="J34" s="131">
        <f>IF(C18=0,0,J26/C18)</f>
        <v>0</v>
      </c>
      <c r="K34" s="77"/>
    </row>
    <row r="35" spans="1:11" ht="15.75">
      <c r="A35" s="77"/>
      <c r="B35" s="77"/>
      <c r="C35" s="77"/>
      <c r="D35" s="77"/>
      <c r="E35" s="77"/>
      <c r="F35" s="77"/>
      <c r="G35" s="77"/>
      <c r="H35" s="77"/>
      <c r="I35" s="77"/>
      <c r="J35" s="77"/>
      <c r="K35" s="77"/>
    </row>
    <row r="39" spans="1:8" ht="15.75">
      <c r="A39" s="136"/>
      <c r="B39" s="136"/>
      <c r="C39" s="136"/>
      <c r="D39" s="136"/>
      <c r="E39" s="136"/>
      <c r="F39" s="136"/>
      <c r="G39" s="136"/>
      <c r="H39" s="16"/>
    </row>
  </sheetData>
  <sheetProtection/>
  <mergeCells count="4">
    <mergeCell ref="C9:C10"/>
    <mergeCell ref="F9:K9"/>
    <mergeCell ref="D9:D10"/>
    <mergeCell ref="A6:K6"/>
  </mergeCells>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5/14/09&amp;CPage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5">
      <selection activeCell="G29" sqref="G29"/>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75">
      <c r="A1" s="248" t="str">
        <f>inputPrYr!D2</f>
        <v>Valley Township</v>
      </c>
      <c r="B1" s="14"/>
      <c r="C1" s="14"/>
      <c r="D1" s="14"/>
      <c r="E1" s="14"/>
      <c r="F1" s="14"/>
      <c r="G1" s="15">
        <f>inputPrYr!D5</f>
        <v>2012</v>
      </c>
    </row>
    <row r="2" spans="1:7" ht="15.75">
      <c r="A2" s="17" t="s">
        <v>62</v>
      </c>
      <c r="B2" s="14"/>
      <c r="C2" s="14"/>
      <c r="D2" s="14"/>
      <c r="E2" s="14"/>
      <c r="F2" s="14"/>
      <c r="G2" s="18"/>
    </row>
    <row r="3" spans="1:7" ht="15.75">
      <c r="A3" s="14"/>
      <c r="B3" s="19"/>
      <c r="C3" s="20"/>
      <c r="D3" s="20"/>
      <c r="E3" s="20"/>
      <c r="F3" s="20"/>
      <c r="G3" s="21"/>
    </row>
    <row r="4" spans="1:7" ht="15.75">
      <c r="A4" s="22" t="s">
        <v>24</v>
      </c>
      <c r="B4" s="19"/>
      <c r="C4" s="325" t="s">
        <v>25</v>
      </c>
      <c r="D4" s="326"/>
      <c r="E4" s="329" t="s">
        <v>26</v>
      </c>
      <c r="F4" s="330"/>
      <c r="G4" s="23" t="s">
        <v>27</v>
      </c>
    </row>
    <row r="5" spans="1:7" ht="15.75">
      <c r="A5" s="258" t="str">
        <f>inputPrYr!B16</f>
        <v>General</v>
      </c>
      <c r="B5" s="25"/>
      <c r="C5" s="327" t="str">
        <f>CONCATENATE("Actual ",$G$1-2,"")</f>
        <v>Actual 2010</v>
      </c>
      <c r="D5" s="328"/>
      <c r="E5" s="327" t="str">
        <f>CONCATENATE("Estimate ",$G$1-1,"")</f>
        <v>Estimate 2011</v>
      </c>
      <c r="F5" s="328"/>
      <c r="G5" s="27" t="str">
        <f>CONCATENATE("Year ",$G$1,"")</f>
        <v>Year 2012</v>
      </c>
    </row>
    <row r="6" spans="1:7" s="230" customFormat="1" ht="15.75">
      <c r="A6" s="45" t="s">
        <v>101</v>
      </c>
      <c r="B6" s="256"/>
      <c r="C6" s="323">
        <v>659</v>
      </c>
      <c r="D6" s="324"/>
      <c r="E6" s="317">
        <f>C42</f>
        <v>1038</v>
      </c>
      <c r="F6" s="318"/>
      <c r="G6" s="47">
        <f>E42</f>
        <v>581</v>
      </c>
    </row>
    <row r="7" spans="1:7" s="230" customFormat="1" ht="15.75">
      <c r="A7" s="45" t="s">
        <v>103</v>
      </c>
      <c r="B7" s="256"/>
      <c r="C7" s="317"/>
      <c r="D7" s="318"/>
      <c r="E7" s="317"/>
      <c r="F7" s="318"/>
      <c r="G7" s="257"/>
    </row>
    <row r="8" spans="1:7" ht="15.75">
      <c r="A8" s="28" t="s">
        <v>29</v>
      </c>
      <c r="B8" s="29"/>
      <c r="C8" s="319">
        <v>1849</v>
      </c>
      <c r="D8" s="320"/>
      <c r="E8" s="334">
        <f>ROUND(inputPrYr!E16*inputPrYr!E13,0)</f>
        <v>1836</v>
      </c>
      <c r="F8" s="335"/>
      <c r="G8" s="33" t="s">
        <v>180</v>
      </c>
    </row>
    <row r="9" spans="1:7" ht="15.75">
      <c r="A9" s="28" t="s">
        <v>30</v>
      </c>
      <c r="B9" s="29"/>
      <c r="C9" s="319">
        <v>0</v>
      </c>
      <c r="D9" s="320"/>
      <c r="E9" s="319">
        <v>0</v>
      </c>
      <c r="F9" s="320"/>
      <c r="G9" s="34">
        <v>0</v>
      </c>
    </row>
    <row r="10" spans="1:7" ht="15.75">
      <c r="A10" s="28" t="s">
        <v>31</v>
      </c>
      <c r="B10" s="29"/>
      <c r="C10" s="319">
        <v>158</v>
      </c>
      <c r="D10" s="320"/>
      <c r="E10" s="319">
        <v>192</v>
      </c>
      <c r="F10" s="320"/>
      <c r="G10" s="32">
        <f>mvalloc!F11</f>
        <v>181</v>
      </c>
    </row>
    <row r="11" spans="1:7" ht="15.75">
      <c r="A11" s="28" t="s">
        <v>32</v>
      </c>
      <c r="B11" s="29"/>
      <c r="C11" s="319">
        <v>4</v>
      </c>
      <c r="D11" s="320"/>
      <c r="E11" s="319">
        <v>7</v>
      </c>
      <c r="F11" s="320"/>
      <c r="G11" s="32">
        <f>mvalloc!H11</f>
        <v>6</v>
      </c>
    </row>
    <row r="12" spans="1:7" ht="15.75">
      <c r="A12" s="35" t="s">
        <v>60</v>
      </c>
      <c r="B12" s="29"/>
      <c r="C12" s="319">
        <v>22</v>
      </c>
      <c r="D12" s="320"/>
      <c r="E12" s="319">
        <v>23</v>
      </c>
      <c r="F12" s="320"/>
      <c r="G12" s="32">
        <f>mvalloc!I11</f>
        <v>25</v>
      </c>
    </row>
    <row r="13" spans="1:7" ht="15.75">
      <c r="A13" s="35" t="s">
        <v>134</v>
      </c>
      <c r="B13" s="29"/>
      <c r="C13" s="319">
        <v>0</v>
      </c>
      <c r="D13" s="320"/>
      <c r="E13" s="319">
        <v>0</v>
      </c>
      <c r="F13" s="320"/>
      <c r="G13" s="32">
        <f>mvalloc!J11</f>
        <v>0</v>
      </c>
    </row>
    <row r="14" spans="1:7" ht="15.75">
      <c r="A14" s="28" t="s">
        <v>33</v>
      </c>
      <c r="B14" s="29"/>
      <c r="C14" s="319">
        <v>1668</v>
      </c>
      <c r="D14" s="320"/>
      <c r="E14" s="319">
        <v>935</v>
      </c>
      <c r="F14" s="320"/>
      <c r="G14" s="32">
        <f>inputOth!E12</f>
        <v>1032</v>
      </c>
    </row>
    <row r="15" spans="1:7" ht="15.75">
      <c r="A15" s="37"/>
      <c r="B15" s="38"/>
      <c r="C15" s="319"/>
      <c r="D15" s="320"/>
      <c r="E15" s="319"/>
      <c r="F15" s="320"/>
      <c r="G15" s="34"/>
    </row>
    <row r="16" spans="1:7" ht="15.75">
      <c r="A16" s="37"/>
      <c r="B16" s="38"/>
      <c r="C16" s="319"/>
      <c r="D16" s="320"/>
      <c r="E16" s="319"/>
      <c r="F16" s="320"/>
      <c r="G16" s="34"/>
    </row>
    <row r="17" spans="1:7" ht="15.75">
      <c r="A17" s="39"/>
      <c r="B17" s="38"/>
      <c r="C17" s="319"/>
      <c r="D17" s="320"/>
      <c r="E17" s="319"/>
      <c r="F17" s="320"/>
      <c r="G17" s="34"/>
    </row>
    <row r="18" spans="1:7" ht="15.75">
      <c r="A18" s="39"/>
      <c r="B18" s="38"/>
      <c r="C18" s="319"/>
      <c r="D18" s="320"/>
      <c r="E18" s="319"/>
      <c r="F18" s="320"/>
      <c r="G18" s="34"/>
    </row>
    <row r="19" spans="1:7" ht="15.75">
      <c r="A19" s="40" t="s">
        <v>153</v>
      </c>
      <c r="B19" s="41"/>
      <c r="C19" s="319">
        <v>0</v>
      </c>
      <c r="D19" s="320"/>
      <c r="E19" s="319">
        <v>0</v>
      </c>
      <c r="F19" s="320"/>
      <c r="G19" s="30">
        <v>0</v>
      </c>
    </row>
    <row r="20" spans="1:7" ht="15.75">
      <c r="A20" s="40" t="s">
        <v>154</v>
      </c>
      <c r="B20" s="41"/>
      <c r="C20" s="321">
        <f>IF(C21*0.1&lt;C19,"Exceed 10% Rule","")</f>
      </c>
      <c r="D20" s="322"/>
      <c r="E20" s="321">
        <f>IF(E21*0.1&lt;E19,"Exceed 10% Rule","")</f>
      </c>
      <c r="F20" s="322"/>
      <c r="G20" s="42">
        <f>IF(G21*0.1+G47&lt;G19,"Exceed 10% Rule","")</f>
      </c>
    </row>
    <row r="21" spans="1:7" ht="15.75">
      <c r="A21" s="43" t="s">
        <v>35</v>
      </c>
      <c r="B21" s="29"/>
      <c r="C21" s="315">
        <f>SUM(C8:C19)</f>
        <v>3701</v>
      </c>
      <c r="D21" s="316"/>
      <c r="E21" s="315">
        <f>SUM(E8:E19)</f>
        <v>2993</v>
      </c>
      <c r="F21" s="316"/>
      <c r="G21" s="44">
        <f>SUM(G8:G19)</f>
        <v>1244</v>
      </c>
    </row>
    <row r="22" spans="1:7" ht="15.75">
      <c r="A22" s="45" t="s">
        <v>36</v>
      </c>
      <c r="B22" s="29"/>
      <c r="C22" s="315">
        <f>C21+C6</f>
        <v>4360</v>
      </c>
      <c r="D22" s="316"/>
      <c r="E22" s="315">
        <f>E21+E6</f>
        <v>4031</v>
      </c>
      <c r="F22" s="316"/>
      <c r="G22" s="44">
        <f>G21+G6</f>
        <v>1825</v>
      </c>
    </row>
    <row r="23" spans="1:7" s="230" customFormat="1" ht="15.75">
      <c r="A23" s="45" t="s">
        <v>37</v>
      </c>
      <c r="B23" s="256"/>
      <c r="C23" s="317"/>
      <c r="D23" s="318"/>
      <c r="E23" s="317"/>
      <c r="F23" s="318"/>
      <c r="G23" s="47"/>
    </row>
    <row r="24" spans="1:7" ht="15.75">
      <c r="A24" s="37" t="s">
        <v>202</v>
      </c>
      <c r="B24" s="38"/>
      <c r="C24" s="319">
        <v>100</v>
      </c>
      <c r="D24" s="320"/>
      <c r="E24" s="319">
        <v>250</v>
      </c>
      <c r="F24" s="320"/>
      <c r="G24" s="34">
        <v>250</v>
      </c>
    </row>
    <row r="25" spans="1:7" ht="15.75">
      <c r="A25" s="39" t="s">
        <v>203</v>
      </c>
      <c r="B25" s="38"/>
      <c r="C25" s="319">
        <v>222</v>
      </c>
      <c r="D25" s="320"/>
      <c r="E25" s="319">
        <v>500</v>
      </c>
      <c r="F25" s="320"/>
      <c r="G25" s="34">
        <v>500</v>
      </c>
    </row>
    <row r="26" spans="1:7" ht="15.75">
      <c r="A26" s="39" t="s">
        <v>204</v>
      </c>
      <c r="B26" s="38"/>
      <c r="C26" s="319">
        <v>1500</v>
      </c>
      <c r="D26" s="320"/>
      <c r="E26" s="319">
        <v>1500</v>
      </c>
      <c r="F26" s="320"/>
      <c r="G26" s="34">
        <v>1500</v>
      </c>
    </row>
    <row r="27" spans="1:7" ht="15.75">
      <c r="A27" s="39" t="s">
        <v>207</v>
      </c>
      <c r="B27" s="38"/>
      <c r="C27" s="319">
        <v>1000</v>
      </c>
      <c r="D27" s="320"/>
      <c r="E27" s="319">
        <v>1200</v>
      </c>
      <c r="F27" s="320"/>
      <c r="G27" s="34">
        <v>1490</v>
      </c>
    </row>
    <row r="28" spans="1:7" ht="15.75">
      <c r="A28" s="39" t="s">
        <v>208</v>
      </c>
      <c r="B28" s="38"/>
      <c r="C28" s="319">
        <v>500</v>
      </c>
      <c r="D28" s="320"/>
      <c r="E28" s="319">
        <v>0</v>
      </c>
      <c r="F28" s="320"/>
      <c r="G28" s="34">
        <v>0</v>
      </c>
    </row>
    <row r="29" spans="1:7" ht="15.75">
      <c r="A29" s="37"/>
      <c r="B29" s="38"/>
      <c r="C29" s="319"/>
      <c r="D29" s="320"/>
      <c r="E29" s="319"/>
      <c r="F29" s="320"/>
      <c r="G29" s="34"/>
    </row>
    <row r="30" spans="1:7" ht="15.75">
      <c r="A30" s="37"/>
      <c r="B30" s="38"/>
      <c r="C30" s="319"/>
      <c r="D30" s="320"/>
      <c r="E30" s="319"/>
      <c r="F30" s="320"/>
      <c r="G30" s="34"/>
    </row>
    <row r="31" spans="1:7" ht="15.75">
      <c r="A31" s="39"/>
      <c r="B31" s="38"/>
      <c r="C31" s="319"/>
      <c r="D31" s="320"/>
      <c r="E31" s="319"/>
      <c r="F31" s="320"/>
      <c r="G31" s="34"/>
    </row>
    <row r="32" spans="1:7" ht="15.75">
      <c r="A32" s="39"/>
      <c r="B32" s="38"/>
      <c r="C32" s="319"/>
      <c r="D32" s="320"/>
      <c r="E32" s="319"/>
      <c r="F32" s="320"/>
      <c r="G32" s="34"/>
    </row>
    <row r="33" spans="1:7" ht="15.75">
      <c r="A33" s="37"/>
      <c r="B33" s="38"/>
      <c r="C33" s="319"/>
      <c r="D33" s="320"/>
      <c r="E33" s="319"/>
      <c r="F33" s="320"/>
      <c r="G33" s="34"/>
    </row>
    <row r="34" spans="1:7" ht="15.75">
      <c r="A34" s="39"/>
      <c r="B34" s="38"/>
      <c r="C34" s="319"/>
      <c r="D34" s="320"/>
      <c r="E34" s="319"/>
      <c r="F34" s="320"/>
      <c r="G34" s="34"/>
    </row>
    <row r="35" spans="1:7" ht="15.75">
      <c r="A35" s="39"/>
      <c r="B35" s="38"/>
      <c r="C35" s="319"/>
      <c r="D35" s="320"/>
      <c r="E35" s="319"/>
      <c r="F35" s="320"/>
      <c r="G35" s="34"/>
    </row>
    <row r="36" spans="1:7" ht="15.75">
      <c r="A36" s="37"/>
      <c r="B36" s="38"/>
      <c r="C36" s="319"/>
      <c r="D36" s="320"/>
      <c r="E36" s="319"/>
      <c r="F36" s="320"/>
      <c r="G36" s="34"/>
    </row>
    <row r="37" spans="1:7" ht="15.75">
      <c r="A37" s="39"/>
      <c r="B37" s="38"/>
      <c r="C37" s="319"/>
      <c r="D37" s="320"/>
      <c r="E37" s="319"/>
      <c r="F37" s="320"/>
      <c r="G37" s="34"/>
    </row>
    <row r="38" spans="1:7" ht="15.75">
      <c r="A38" s="35" t="s">
        <v>156</v>
      </c>
      <c r="B38" s="41"/>
      <c r="C38" s="319">
        <v>0</v>
      </c>
      <c r="D38" s="320"/>
      <c r="E38" s="319">
        <v>0</v>
      </c>
      <c r="F38" s="320"/>
      <c r="G38" s="273">
        <f>nhood!E6</f>
        <v>0</v>
      </c>
    </row>
    <row r="39" spans="1:7" ht="15.75">
      <c r="A39" s="35" t="s">
        <v>153</v>
      </c>
      <c r="B39" s="41"/>
      <c r="C39" s="319">
        <v>0</v>
      </c>
      <c r="D39" s="320"/>
      <c r="E39" s="319">
        <v>0</v>
      </c>
      <c r="F39" s="320"/>
      <c r="G39" s="30">
        <v>0</v>
      </c>
    </row>
    <row r="40" spans="1:7" ht="15.75">
      <c r="A40" s="35" t="s">
        <v>155</v>
      </c>
      <c r="B40" s="41"/>
      <c r="C40" s="321">
        <f>IF(C41*0.1&lt;C39,"Exceed 10% Rule","")</f>
      </c>
      <c r="D40" s="322"/>
      <c r="E40" s="321">
        <f>IF(E41*0.1&lt;E39,"Exceed 10% Rule","")</f>
      </c>
      <c r="F40" s="322"/>
      <c r="G40" s="42">
        <f>IF(G41*0.1&lt;G39,"Exceed 10% Rule","")</f>
      </c>
    </row>
    <row r="41" spans="1:7" ht="15.75">
      <c r="A41" s="45" t="s">
        <v>38</v>
      </c>
      <c r="B41" s="29"/>
      <c r="C41" s="317">
        <f>SUM(C24:C39)</f>
        <v>3322</v>
      </c>
      <c r="D41" s="318"/>
      <c r="E41" s="317">
        <f>SUM(E24:E39)</f>
        <v>3450</v>
      </c>
      <c r="F41" s="318"/>
      <c r="G41" s="47">
        <f>SUM(G24:G37,G38:G39)</f>
        <v>3740</v>
      </c>
    </row>
    <row r="42" spans="1:7" s="230" customFormat="1" ht="15.75">
      <c r="A42" s="45" t="s">
        <v>102</v>
      </c>
      <c r="B42" s="256"/>
      <c r="C42" s="315">
        <f>C22-C41</f>
        <v>1038</v>
      </c>
      <c r="D42" s="316"/>
      <c r="E42" s="315">
        <f>SUM(E22-E41)</f>
        <v>581</v>
      </c>
      <c r="F42" s="316"/>
      <c r="G42" s="257" t="s">
        <v>180</v>
      </c>
    </row>
    <row r="43" spans="1:8" ht="15.75">
      <c r="A43" s="48" t="str">
        <f>CONCATENATE("",G1-2,"/",G1-1," Budget Authority Amount:")</f>
        <v>2010/2011 Budget Authority Amount:</v>
      </c>
      <c r="B43" s="49">
        <f>inputOth!B44</f>
        <v>3852</v>
      </c>
      <c r="C43" s="50">
        <f>inputPrYr!D16</f>
        <v>3819</v>
      </c>
      <c r="D43" s="340" t="s">
        <v>160</v>
      </c>
      <c r="E43" s="341"/>
      <c r="F43" s="342"/>
      <c r="G43" s="34"/>
      <c r="H43" s="51">
        <f>IF(G41/0.95-G41&lt;G43,"Exceeds 5%","")</f>
      </c>
    </row>
    <row r="44" spans="1:7" ht="15.75">
      <c r="A44" s="48"/>
      <c r="B44" s="52">
        <f>IF(C41&gt;B43,"See Tab A","")</f>
      </c>
      <c r="C44" s="52">
        <f>IF(E41&gt;C43,"See Tab C","")</f>
      </c>
      <c r="D44" s="14"/>
      <c r="E44" s="336" t="s">
        <v>161</v>
      </c>
      <c r="F44" s="337"/>
      <c r="G44" s="32">
        <f>G41+G43</f>
        <v>3740</v>
      </c>
    </row>
    <row r="45" spans="1:7" ht="15.75">
      <c r="A45" s="48"/>
      <c r="B45" s="52">
        <f>IF(C42&lt;0,"See Tab B","")</f>
      </c>
      <c r="C45" s="62">
        <f>IF(E42&lt;0,"See Tab D","")</f>
      </c>
      <c r="D45" s="14"/>
      <c r="E45" s="336" t="s">
        <v>39</v>
      </c>
      <c r="F45" s="337"/>
      <c r="G45" s="46">
        <f>IF(G44-G22&gt;0,G44-G22,0)</f>
        <v>1915</v>
      </c>
    </row>
    <row r="46" spans="1:7" ht="15.75">
      <c r="A46" s="53"/>
      <c r="B46" s="53"/>
      <c r="C46" s="53"/>
      <c r="D46" s="338" t="s">
        <v>162</v>
      </c>
      <c r="E46" s="339"/>
      <c r="F46" s="54">
        <f>inputOth!$E$38</f>
        <v>0</v>
      </c>
      <c r="G46" s="32">
        <f>ROUND(IF(F46&gt;0,(G45*F46),0),0)</f>
        <v>0</v>
      </c>
    </row>
    <row r="47" spans="1:7" ht="15.75">
      <c r="A47" s="14"/>
      <c r="B47" s="14"/>
      <c r="C47" s="331" t="str">
        <f>CONCATENATE("Amount of  ",$G$1-1," Ad Valorem Tax")</f>
        <v>Amount of  2011 Ad Valorem Tax</v>
      </c>
      <c r="D47" s="332"/>
      <c r="E47" s="332"/>
      <c r="F47" s="333"/>
      <c r="G47" s="44">
        <f>G45+G46</f>
        <v>1915</v>
      </c>
    </row>
    <row r="48" spans="1:7" ht="15.75">
      <c r="A48" s="14"/>
      <c r="B48" s="14"/>
      <c r="C48" s="14"/>
      <c r="D48" s="14"/>
      <c r="E48" s="14"/>
      <c r="F48" s="14"/>
      <c r="G48" s="14"/>
    </row>
    <row r="49" spans="1:7" s="56" customFormat="1" ht="15.75">
      <c r="A49" s="19"/>
      <c r="B49" s="19"/>
      <c r="C49" s="19"/>
      <c r="D49" s="19"/>
      <c r="E49" s="55"/>
      <c r="F49" s="55"/>
      <c r="G49" s="19"/>
    </row>
    <row r="50" spans="1:7" s="58" customFormat="1" ht="15.75">
      <c r="A50" s="14"/>
      <c r="B50" s="14"/>
      <c r="C50" s="14"/>
      <c r="D50" s="14"/>
      <c r="E50" s="57"/>
      <c r="F50" s="57"/>
      <c r="G50" s="14"/>
    </row>
    <row r="51" spans="1:7" ht="15.75">
      <c r="A51" s="53" t="s">
        <v>23</v>
      </c>
      <c r="B51" s="59">
        <v>4</v>
      </c>
      <c r="C51" s="14"/>
      <c r="D51" s="14"/>
      <c r="E51" s="14"/>
      <c r="F51" s="14"/>
      <c r="G51" s="57"/>
    </row>
    <row r="53" ht="15.75">
      <c r="A53" s="12"/>
    </row>
    <row r="56" ht="15.75">
      <c r="G56" s="60"/>
    </row>
    <row r="58" ht="15.75">
      <c r="G58" s="60"/>
    </row>
    <row r="60" ht="15.75">
      <c r="C60" s="61"/>
    </row>
    <row r="61" spans="3:7" ht="15.75">
      <c r="C61" s="60"/>
      <c r="G61" s="60"/>
    </row>
  </sheetData>
  <sheetProtection/>
  <mergeCells count="83">
    <mergeCell ref="E45:F45"/>
    <mergeCell ref="D46:E46"/>
    <mergeCell ref="C38:D38"/>
    <mergeCell ref="C39:D39"/>
    <mergeCell ref="C40:D40"/>
    <mergeCell ref="E39:F39"/>
    <mergeCell ref="E40:F40"/>
    <mergeCell ref="D43:F43"/>
    <mergeCell ref="E44:F44"/>
    <mergeCell ref="C41:D41"/>
    <mergeCell ref="C47:F47"/>
    <mergeCell ref="C7:D7"/>
    <mergeCell ref="E21:F21"/>
    <mergeCell ref="E22:F22"/>
    <mergeCell ref="E23:F23"/>
    <mergeCell ref="E8:F8"/>
    <mergeCell ref="C20:D20"/>
    <mergeCell ref="C21:D21"/>
    <mergeCell ref="C22:D22"/>
    <mergeCell ref="C23:D23"/>
    <mergeCell ref="C4:D4"/>
    <mergeCell ref="C5:D5"/>
    <mergeCell ref="E7:F7"/>
    <mergeCell ref="E6:F6"/>
    <mergeCell ref="E4:F4"/>
    <mergeCell ref="E5:F5"/>
    <mergeCell ref="E19:F19"/>
    <mergeCell ref="E20:F20"/>
    <mergeCell ref="C6:D6"/>
    <mergeCell ref="C19:D19"/>
    <mergeCell ref="E9:F9"/>
    <mergeCell ref="E10:F10"/>
    <mergeCell ref="E11:F11"/>
    <mergeCell ref="E12:F12"/>
    <mergeCell ref="E16:F16"/>
    <mergeCell ref="E17:F17"/>
    <mergeCell ref="C18:D18"/>
    <mergeCell ref="C14:D14"/>
    <mergeCell ref="C15:D15"/>
    <mergeCell ref="C16:D16"/>
    <mergeCell ref="E18:F18"/>
    <mergeCell ref="E13:F13"/>
    <mergeCell ref="E14:F14"/>
    <mergeCell ref="E15:F15"/>
    <mergeCell ref="C12:D12"/>
    <mergeCell ref="C13:D13"/>
    <mergeCell ref="C17:D17"/>
    <mergeCell ref="C8:D8"/>
    <mergeCell ref="C9:D9"/>
    <mergeCell ref="C10:D10"/>
    <mergeCell ref="C11:D11"/>
    <mergeCell ref="E28:F28"/>
    <mergeCell ref="E29:F29"/>
    <mergeCell ref="E38:F38"/>
    <mergeCell ref="E24:F24"/>
    <mergeCell ref="E25:F25"/>
    <mergeCell ref="E26:F26"/>
    <mergeCell ref="E27:F27"/>
    <mergeCell ref="E30:F30"/>
    <mergeCell ref="E31:F31"/>
    <mergeCell ref="E32:F32"/>
    <mergeCell ref="C37:D37"/>
    <mergeCell ref="C36:D36"/>
    <mergeCell ref="E33:F33"/>
    <mergeCell ref="E34:F34"/>
    <mergeCell ref="E35:F35"/>
    <mergeCell ref="E36:F36"/>
    <mergeCell ref="C24:D24"/>
    <mergeCell ref="C25:D25"/>
    <mergeCell ref="C26:D26"/>
    <mergeCell ref="C27:D27"/>
    <mergeCell ref="C34:D34"/>
    <mergeCell ref="C35:D35"/>
    <mergeCell ref="C42:D42"/>
    <mergeCell ref="E41:F41"/>
    <mergeCell ref="E42:F42"/>
    <mergeCell ref="C28:D28"/>
    <mergeCell ref="C29:D29"/>
    <mergeCell ref="C30:D30"/>
    <mergeCell ref="C31:D31"/>
    <mergeCell ref="E37:F37"/>
    <mergeCell ref="C32:D32"/>
    <mergeCell ref="C33:D33"/>
  </mergeCells>
  <conditionalFormatting sqref="G43">
    <cfRule type="cellIs" priority="4" dxfId="13" operator="greaterThan" stopIfTrue="1">
      <formula>$G$41/0.95-$G$41</formula>
    </cfRule>
  </conditionalFormatting>
  <conditionalFormatting sqref="C39:D39">
    <cfRule type="cellIs" priority="5" dxfId="13" operator="greaterThan" stopIfTrue="1">
      <formula>$C$41*0.1</formula>
    </cfRule>
  </conditionalFormatting>
  <conditionalFormatting sqref="E39:F39">
    <cfRule type="cellIs" priority="6" dxfId="13" operator="greaterThan" stopIfTrue="1">
      <formula>$E$41*0.1</formula>
    </cfRule>
  </conditionalFormatting>
  <conditionalFormatting sqref="G39">
    <cfRule type="cellIs" priority="7" dxfId="13" operator="greaterThan" stopIfTrue="1">
      <formula>$G$41*0.1</formula>
    </cfRule>
  </conditionalFormatting>
  <conditionalFormatting sqref="C42:F42">
    <cfRule type="cellIs" priority="9" dxfId="0" operator="lessThan" stopIfTrue="1">
      <formula>0</formula>
    </cfRule>
  </conditionalFormatting>
  <conditionalFormatting sqref="E41:F41">
    <cfRule type="cellIs" priority="10" dxfId="0" operator="greaterThan" stopIfTrue="1">
      <formula>$C$43</formula>
    </cfRule>
  </conditionalFormatting>
  <conditionalFormatting sqref="C41:D41">
    <cfRule type="cellIs" priority="2" dxfId="0" operator="greaterThan" stopIfTrue="1">
      <formula>$B$43</formula>
    </cfRule>
  </conditionalFormatting>
  <conditionalFormatting sqref="C19:D19">
    <cfRule type="cellIs" priority="12" dxfId="13" operator="greaterThan" stopIfTrue="1">
      <formula>$C$21*0.1</formula>
    </cfRule>
  </conditionalFormatting>
  <conditionalFormatting sqref="E19:F19">
    <cfRule type="cellIs" priority="13" dxfId="13" operator="greaterThan" stopIfTrue="1">
      <formula>$E$21*0.1</formula>
    </cfRule>
  </conditionalFormatting>
  <conditionalFormatting sqref="G19">
    <cfRule type="cellIs" priority="14" dxfId="13" operator="greaterThan" stopIfTrue="1">
      <formula>$G$21*0.1+$G$47</formula>
    </cfRule>
  </conditionalFormatting>
  <conditionalFormatting sqref="C37:D37">
    <cfRule type="expression" priority="15" dxfId="0" stopIfTrue="1">
      <formula>"Mike"</formula>
    </cfRule>
  </conditionalFormatting>
  <printOptions/>
  <pageMargins left="0.49" right="0.54" top="0.96" bottom="0.5" header="0.41" footer="0.3"/>
  <pageSetup blackAndWhite="1" fitToHeight="1" fitToWidth="1" horizontalDpi="300" verticalDpi="300" orientation="portrait" scale="90" r:id="rId1"/>
  <headerFooter alignWithMargins="0">
    <oddHeader>&amp;RState of Kansas
Township
</oddHeader>
    <oddFooter>&amp;Lrevised 8/25/09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99"/>
  <sheetViews>
    <sheetView zoomScale="75" zoomScaleNormal="75" zoomScalePageLayoutView="0" workbookViewId="0" topLeftCell="A1">
      <selection activeCell="D17" sqref="D17"/>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75">
      <c r="A1" s="97" t="s">
        <v>63</v>
      </c>
      <c r="B1" s="98"/>
      <c r="C1" s="98"/>
      <c r="D1" s="98"/>
      <c r="E1" s="98"/>
      <c r="F1" s="98"/>
      <c r="G1" s="98"/>
      <c r="H1" s="98">
        <f>inputPrYr!D5</f>
        <v>2012</v>
      </c>
    </row>
    <row r="2" spans="1:8" ht="15.75">
      <c r="A2" s="14"/>
      <c r="B2" s="14"/>
      <c r="C2" s="14"/>
      <c r="D2" s="14"/>
      <c r="E2" s="14"/>
      <c r="F2" s="22" t="s">
        <v>41</v>
      </c>
      <c r="G2" s="22" t="s">
        <v>42</v>
      </c>
      <c r="H2" s="14"/>
    </row>
    <row r="3" spans="1:8" ht="15.75">
      <c r="A3" s="301" t="s">
        <v>43</v>
      </c>
      <c r="B3" s="301"/>
      <c r="C3" s="301"/>
      <c r="D3" s="301"/>
      <c r="E3" s="301"/>
      <c r="F3" s="301"/>
      <c r="G3" s="301"/>
      <c r="H3" s="301"/>
    </row>
    <row r="4" spans="1:8" ht="15.75">
      <c r="A4" s="345" t="str">
        <f>inputPrYr!D2</f>
        <v>Valley Township</v>
      </c>
      <c r="B4" s="345"/>
      <c r="C4" s="345"/>
      <c r="D4" s="345"/>
      <c r="E4" s="345"/>
      <c r="F4" s="345"/>
      <c r="G4" s="345"/>
      <c r="H4" s="345"/>
    </row>
    <row r="5" spans="1:8" ht="15.75">
      <c r="A5" s="345" t="str">
        <f>inputPrYr!D3</f>
        <v>Smith County</v>
      </c>
      <c r="B5" s="345"/>
      <c r="C5" s="345"/>
      <c r="D5" s="345"/>
      <c r="E5" s="345"/>
      <c r="F5" s="345"/>
      <c r="G5" s="345"/>
      <c r="H5" s="345"/>
    </row>
    <row r="6" spans="1:8" ht="15.75">
      <c r="A6" s="301" t="str">
        <f>CONCATENATE("will meet on ",inputBudSum!B5," at ",inputBudSum!B7," at ",inputBudSum!B9," for the purpose of hearing and")</f>
        <v>will meet on ______________ at _________ at ______________ for the purpose of hearing and</v>
      </c>
      <c r="B6" s="301"/>
      <c r="C6" s="301"/>
      <c r="D6" s="301"/>
      <c r="E6" s="301"/>
      <c r="F6" s="301"/>
      <c r="G6" s="301"/>
      <c r="H6" s="301"/>
    </row>
    <row r="7" spans="1:8" ht="15.75">
      <c r="A7" s="100" t="s">
        <v>0</v>
      </c>
      <c r="B7" s="98"/>
      <c r="C7" s="98"/>
      <c r="D7" s="98"/>
      <c r="E7" s="98"/>
      <c r="F7" s="98"/>
      <c r="G7" s="98"/>
      <c r="H7" s="98"/>
    </row>
    <row r="8" spans="1:8" ht="15.75">
      <c r="A8" s="100" t="str">
        <f>CONCATENATE("Detailed budget information is available at ",inputBudSum!B12," and will be available at this hearing.")</f>
        <v>Detailed budget information is available at  and will be available at this hearing.</v>
      </c>
      <c r="B8" s="98"/>
      <c r="C8" s="98"/>
      <c r="D8" s="98"/>
      <c r="E8" s="98"/>
      <c r="F8" s="98"/>
      <c r="G8" s="98"/>
      <c r="H8" s="98"/>
    </row>
    <row r="9" spans="1:8" ht="15.75">
      <c r="A9" s="97" t="s">
        <v>64</v>
      </c>
      <c r="B9" s="101"/>
      <c r="C9" s="101"/>
      <c r="D9" s="101"/>
      <c r="E9" s="101"/>
      <c r="F9" s="101"/>
      <c r="G9" s="101"/>
      <c r="H9" s="101"/>
    </row>
    <row r="10" spans="1:8" ht="15.75">
      <c r="A10" s="100" t="str">
        <f>CONCATENATE("Proposed Budget ",H1," Expenditures and Amount of ",H1-1," Ad Valorem Tax establish the maximum limits")</f>
        <v>Proposed Budget 2012 Expenditures and Amount of 2011 Ad Valorem Tax establish the maximum limits</v>
      </c>
      <c r="B10" s="98"/>
      <c r="C10" s="98"/>
      <c r="D10" s="98"/>
      <c r="E10" s="98"/>
      <c r="F10" s="98"/>
      <c r="G10" s="98"/>
      <c r="H10" s="98"/>
    </row>
    <row r="11" spans="1:8" ht="15.75">
      <c r="A11" s="100" t="str">
        <f>CONCATENATE("of the ",H1," budget.  Estimated Tax Rate is subject to change depending on the final assessed valuation.")</f>
        <v>of the 2012 budget.  Estimated Tax Rate is subject to change depending on the final assessed valuation.</v>
      </c>
      <c r="B11" s="98"/>
      <c r="C11" s="98"/>
      <c r="D11" s="98"/>
      <c r="E11" s="98"/>
      <c r="F11" s="98"/>
      <c r="G11" s="98"/>
      <c r="H11" s="98"/>
    </row>
    <row r="12" spans="1:9" ht="15.75">
      <c r="A12" s="22"/>
      <c r="B12" s="19"/>
      <c r="C12" s="19"/>
      <c r="D12" s="19"/>
      <c r="E12" s="19"/>
      <c r="F12" s="19"/>
      <c r="G12" s="19"/>
      <c r="H12" s="19"/>
      <c r="I12" s="102"/>
    </row>
    <row r="13" spans="1:9" ht="15.75">
      <c r="A13" s="14"/>
      <c r="B13" s="103" t="str">
        <f>CONCATENATE("Prior Year Actual ",H1-2,"")</f>
        <v>Prior Year Actual 2010</v>
      </c>
      <c r="C13" s="104"/>
      <c r="D13" s="103" t="str">
        <f>CONCATENATE("Current Year Estimate ",H1-1,"")</f>
        <v>Current Year Estimate 2011</v>
      </c>
      <c r="E13" s="105"/>
      <c r="F13" s="106" t="str">
        <f>CONCATENATE("Proposed Budget ",H1,"")</f>
        <v>Proposed Budget 2012</v>
      </c>
      <c r="G13" s="107"/>
      <c r="H13" s="105"/>
      <c r="I13" s="102"/>
    </row>
    <row r="14" spans="1:9" ht="22.5" customHeight="1">
      <c r="A14" s="14"/>
      <c r="B14" s="68"/>
      <c r="C14" s="23" t="s">
        <v>40</v>
      </c>
      <c r="D14" s="23"/>
      <c r="E14" s="23" t="s">
        <v>40</v>
      </c>
      <c r="F14" s="108"/>
      <c r="G14" s="293" t="str">
        <f>CONCATENATE("Amount of ",H1-1," Ad Valorem Tax")</f>
        <v>Amount of 2011 Ad Valorem Tax</v>
      </c>
      <c r="H14" s="23" t="s">
        <v>44</v>
      </c>
      <c r="I14" s="102"/>
    </row>
    <row r="15" spans="1:9" ht="15.75">
      <c r="A15" s="14"/>
      <c r="B15" s="109"/>
      <c r="C15" s="109" t="s">
        <v>45</v>
      </c>
      <c r="D15" s="109"/>
      <c r="E15" s="109" t="s">
        <v>45</v>
      </c>
      <c r="F15" s="109" t="s">
        <v>149</v>
      </c>
      <c r="G15" s="343"/>
      <c r="H15" s="109" t="s">
        <v>45</v>
      </c>
      <c r="I15" s="102"/>
    </row>
    <row r="16" spans="1:9" ht="15.75">
      <c r="A16" s="26" t="s">
        <v>177</v>
      </c>
      <c r="B16" s="27" t="s">
        <v>46</v>
      </c>
      <c r="C16" s="27" t="s">
        <v>47</v>
      </c>
      <c r="D16" s="27" t="s">
        <v>46</v>
      </c>
      <c r="E16" s="27" t="s">
        <v>47</v>
      </c>
      <c r="F16" s="27" t="s">
        <v>205</v>
      </c>
      <c r="G16" s="344"/>
      <c r="H16" s="27" t="s">
        <v>47</v>
      </c>
      <c r="I16" s="102"/>
    </row>
    <row r="17" spans="1:9" ht="15.75">
      <c r="A17" s="75" t="str">
        <f>inputPrYr!B16</f>
        <v>General</v>
      </c>
      <c r="B17" s="75">
        <f>IF(gen!$C$41&lt;&gt;0,gen!$C$41,"  ")</f>
        <v>3322</v>
      </c>
      <c r="C17" s="268">
        <f>IF(inputPrYr!D39&gt;0,inputPrYr!D39,"0.000")</f>
        <v>1.999</v>
      </c>
      <c r="D17" s="75">
        <f>IF(gen!$E$41&lt;&gt;0,gen!$E$41,"  ")</f>
        <v>3450</v>
      </c>
      <c r="E17" s="268">
        <f>IF(inputOth!D17&gt;0,inputOth!D17,"0.000")</f>
        <v>2.081</v>
      </c>
      <c r="F17" s="75">
        <f>IF(gen!$G$41&lt;&gt;0,gen!$G$41,"  ")</f>
        <v>3740</v>
      </c>
      <c r="G17" s="274">
        <f>IF(gen!$G$47&lt;&gt;0,gen!$G$47,"0")</f>
        <v>1915</v>
      </c>
      <c r="H17" s="271">
        <f>IF(gen!G47&gt;0,ROUND(G17/$F$28*1000,3),"0.000")</f>
        <v>2.119</v>
      </c>
      <c r="I17" s="102"/>
    </row>
    <row r="18" spans="1:9" ht="15.75">
      <c r="A18" s="75"/>
      <c r="B18" s="75"/>
      <c r="C18" s="269"/>
      <c r="D18" s="75"/>
      <c r="E18" s="269"/>
      <c r="F18" s="75"/>
      <c r="G18" s="275"/>
      <c r="H18" s="272"/>
      <c r="I18" s="102"/>
    </row>
    <row r="19" spans="1:8" ht="15.75">
      <c r="A19" s="75"/>
      <c r="B19" s="75"/>
      <c r="C19" s="269"/>
      <c r="D19" s="75"/>
      <c r="E19" s="269"/>
      <c r="F19" s="75"/>
      <c r="G19" s="275"/>
      <c r="H19" s="272"/>
    </row>
    <row r="20" spans="1:8" ht="15.75">
      <c r="A20" s="75"/>
      <c r="B20" s="75"/>
      <c r="C20" s="269"/>
      <c r="D20" s="75"/>
      <c r="E20" s="269"/>
      <c r="F20" s="75"/>
      <c r="G20" s="275"/>
      <c r="H20" s="272"/>
    </row>
    <row r="21" spans="1:8" ht="15.75">
      <c r="A21" s="75"/>
      <c r="B21" s="75"/>
      <c r="C21" s="269"/>
      <c r="D21" s="75"/>
      <c r="E21" s="269"/>
      <c r="F21" s="75"/>
      <c r="G21" s="275"/>
      <c r="H21" s="272"/>
    </row>
    <row r="22" spans="1:8" ht="15.75">
      <c r="A22" s="75"/>
      <c r="B22" s="75"/>
      <c r="C22" s="269"/>
      <c r="D22" s="75"/>
      <c r="E22" s="269"/>
      <c r="F22" s="75"/>
      <c r="G22" s="275"/>
      <c r="H22" s="272"/>
    </row>
    <row r="23" spans="1:8" s="230" customFormat="1" ht="15.75">
      <c r="A23" s="249" t="s">
        <v>179</v>
      </c>
      <c r="B23" s="259">
        <f aca="true" t="shared" si="0" ref="B23:H23">SUM(B17:B22)</f>
        <v>3322</v>
      </c>
      <c r="C23" s="270">
        <f t="shared" si="0"/>
        <v>1.999</v>
      </c>
      <c r="D23" s="259">
        <f t="shared" si="0"/>
        <v>3450</v>
      </c>
      <c r="E23" s="270">
        <f t="shared" si="0"/>
        <v>2.081</v>
      </c>
      <c r="F23" s="259">
        <f t="shared" si="0"/>
        <v>3740</v>
      </c>
      <c r="G23" s="259">
        <f t="shared" si="0"/>
        <v>1915</v>
      </c>
      <c r="H23" s="270">
        <f t="shared" si="0"/>
        <v>2.119</v>
      </c>
    </row>
    <row r="24" spans="1:8" ht="15.75">
      <c r="A24" s="70" t="s">
        <v>48</v>
      </c>
      <c r="B24" s="75">
        <v>0</v>
      </c>
      <c r="C24" s="14"/>
      <c r="D24" s="75">
        <v>0</v>
      </c>
      <c r="E24" s="63"/>
      <c r="F24" s="75">
        <v>0</v>
      </c>
      <c r="G24" s="14"/>
      <c r="H24" s="14"/>
    </row>
    <row r="25" spans="1:8" ht="15.75">
      <c r="A25" s="70" t="s">
        <v>49</v>
      </c>
      <c r="B25" s="111">
        <f>B23-B24</f>
        <v>3322</v>
      </c>
      <c r="C25" s="14"/>
      <c r="D25" s="111">
        <f>D23-D24</f>
        <v>3450</v>
      </c>
      <c r="E25" s="14"/>
      <c r="F25" s="111">
        <f>F23-F24</f>
        <v>3740</v>
      </c>
      <c r="G25" s="14"/>
      <c r="H25" s="14"/>
    </row>
    <row r="26" spans="1:8" ht="15.75">
      <c r="A26" s="70" t="s">
        <v>50</v>
      </c>
      <c r="B26" s="75">
        <f>inputPrYr!E48</f>
        <v>1851</v>
      </c>
      <c r="C26" s="63"/>
      <c r="D26" s="75">
        <f>inputPrYr!E23</f>
        <v>1873</v>
      </c>
      <c r="E26" s="14"/>
      <c r="F26" s="112" t="s">
        <v>180</v>
      </c>
      <c r="G26" s="14"/>
      <c r="H26" s="14"/>
    </row>
    <row r="27" spans="1:8" ht="15.75">
      <c r="A27" s="22" t="s">
        <v>51</v>
      </c>
      <c r="B27" s="14"/>
      <c r="C27" s="63"/>
      <c r="D27" s="14"/>
      <c r="E27" s="63"/>
      <c r="F27" s="14"/>
      <c r="G27" s="14"/>
      <c r="H27" s="14"/>
    </row>
    <row r="28" spans="1:8" ht="15.75">
      <c r="A28" s="70" t="s">
        <v>52</v>
      </c>
      <c r="B28" s="75">
        <f>inputPrYr!E49</f>
        <v>925981</v>
      </c>
      <c r="C28" s="14"/>
      <c r="D28" s="75">
        <f>inputOth!E26</f>
        <v>900131</v>
      </c>
      <c r="E28" s="14"/>
      <c r="F28" s="75">
        <f>inputOth!E7</f>
        <v>903838</v>
      </c>
      <c r="G28" s="14"/>
      <c r="H28" s="14"/>
    </row>
    <row r="29" spans="1:8" ht="15.75">
      <c r="A29" s="22" t="s">
        <v>53</v>
      </c>
      <c r="B29" s="14"/>
      <c r="C29" s="14"/>
      <c r="D29" s="14"/>
      <c r="E29" s="14"/>
      <c r="F29" s="14"/>
      <c r="G29" s="14"/>
      <c r="H29" s="14"/>
    </row>
    <row r="30" spans="1:8" ht="15.75">
      <c r="A30" s="22" t="s">
        <v>54</v>
      </c>
      <c r="B30" s="113">
        <f>H1-3</f>
        <v>2009</v>
      </c>
      <c r="C30" s="14"/>
      <c r="D30" s="113">
        <f>H1-2</f>
        <v>2010</v>
      </c>
      <c r="E30" s="14"/>
      <c r="F30" s="113">
        <f>H1-1</f>
        <v>2011</v>
      </c>
      <c r="G30" s="14"/>
      <c r="H30" s="14"/>
    </row>
    <row r="31" spans="1:8" ht="15.75">
      <c r="A31" s="22" t="s">
        <v>55</v>
      </c>
      <c r="B31" s="265">
        <f>inputPrYr!D53</f>
        <v>0</v>
      </c>
      <c r="C31" s="48"/>
      <c r="D31" s="265">
        <f>inputPrYr!E53</f>
        <v>0</v>
      </c>
      <c r="E31" s="48"/>
      <c r="F31" s="265">
        <v>0</v>
      </c>
      <c r="G31" s="14"/>
      <c r="H31" s="14"/>
    </row>
    <row r="32" spans="1:8" ht="15.75">
      <c r="A32" s="22" t="s">
        <v>34</v>
      </c>
      <c r="B32" s="265">
        <f>inputPrYr!D54</f>
        <v>0</v>
      </c>
      <c r="C32" s="48"/>
      <c r="D32" s="265">
        <f>inputPrYr!E54</f>
        <v>0</v>
      </c>
      <c r="E32" s="48"/>
      <c r="F32" s="265">
        <v>0</v>
      </c>
      <c r="G32" s="14"/>
      <c r="H32" s="14"/>
    </row>
    <row r="33" spans="1:8" ht="15.75">
      <c r="A33" s="22" t="s">
        <v>56</v>
      </c>
      <c r="B33" s="265">
        <f>inputPrYr!D55</f>
        <v>0</v>
      </c>
      <c r="C33" s="48"/>
      <c r="D33" s="265">
        <f>inputPrYr!E55</f>
        <v>0</v>
      </c>
      <c r="E33" s="48"/>
      <c r="F33" s="265">
        <v>0</v>
      </c>
      <c r="G33" s="14"/>
      <c r="H33" s="14"/>
    </row>
    <row r="34" spans="1:8" s="230" customFormat="1" ht="16.5" thickBot="1">
      <c r="A34" s="67" t="s">
        <v>57</v>
      </c>
      <c r="B34" s="266">
        <f>SUM(B31:B33)</f>
        <v>0</v>
      </c>
      <c r="C34" s="267"/>
      <c r="D34" s="266">
        <f>SUM(D31:D33)</f>
        <v>0</v>
      </c>
      <c r="E34" s="267"/>
      <c r="F34" s="266">
        <f>SUM(F31:F33)</f>
        <v>0</v>
      </c>
      <c r="G34" s="17"/>
      <c r="H34" s="17"/>
    </row>
    <row r="35" spans="1:8" ht="16.5" thickTop="1">
      <c r="A35" s="22" t="s">
        <v>58</v>
      </c>
      <c r="B35" s="48"/>
      <c r="C35" s="48"/>
      <c r="D35" s="48"/>
      <c r="E35" s="48"/>
      <c r="F35" s="48"/>
      <c r="G35" s="14"/>
      <c r="H35" s="14"/>
    </row>
    <row r="36" spans="1:8" ht="15.75">
      <c r="A36" s="14"/>
      <c r="B36" s="14"/>
      <c r="C36" s="14"/>
      <c r="D36" s="14"/>
      <c r="E36" s="14"/>
      <c r="F36" s="14"/>
      <c r="G36" s="14"/>
      <c r="H36" s="14"/>
    </row>
    <row r="37" spans="1:8" ht="15.75">
      <c r="A37" s="115"/>
      <c r="B37" s="115"/>
      <c r="C37" s="14"/>
      <c r="D37" s="14"/>
      <c r="E37" s="14"/>
      <c r="F37" s="14"/>
      <c r="G37" s="14"/>
      <c r="H37" s="14"/>
    </row>
    <row r="38" spans="1:8" ht="15.75">
      <c r="A38" s="100" t="s">
        <v>59</v>
      </c>
      <c r="B38" s="98"/>
      <c r="C38" s="14"/>
      <c r="D38" s="14"/>
      <c r="E38" s="14"/>
      <c r="F38" s="14"/>
      <c r="G38" s="14"/>
      <c r="H38" s="14"/>
    </row>
    <row r="39" spans="1:8" ht="15.75">
      <c r="A39" s="14"/>
      <c r="B39" s="14"/>
      <c r="C39" s="14"/>
      <c r="D39" s="14"/>
      <c r="E39" s="14"/>
      <c r="F39" s="14"/>
      <c r="G39" s="14"/>
      <c r="H39" s="14"/>
    </row>
    <row r="40" spans="1:8" ht="15.75">
      <c r="A40" s="14"/>
      <c r="B40" s="53" t="s">
        <v>23</v>
      </c>
      <c r="C40" s="74">
        <v>5</v>
      </c>
      <c r="D40" s="14"/>
      <c r="E40" s="14"/>
      <c r="F40" s="14"/>
      <c r="G40" s="14"/>
      <c r="H40" s="14"/>
    </row>
    <row r="41" spans="1:3" ht="15.75">
      <c r="A41" s="73"/>
      <c r="B41" s="73"/>
      <c r="C41" s="73"/>
    </row>
    <row r="43" spans="1:7" ht="15.75">
      <c r="A43" s="73"/>
      <c r="B43" s="73"/>
      <c r="C43" s="73"/>
      <c r="D43" s="73"/>
      <c r="E43" s="73"/>
      <c r="F43" s="73"/>
      <c r="G43" s="73"/>
    </row>
    <row r="44" ht="15.75">
      <c r="H44" s="73"/>
    </row>
    <row r="65" spans="1:6" ht="15.75">
      <c r="A65" s="73"/>
      <c r="B65" s="73"/>
      <c r="C65" s="73"/>
      <c r="D65" s="73"/>
      <c r="E65" s="73"/>
      <c r="F65" s="73"/>
    </row>
    <row r="72" spans="1:7" ht="15.75">
      <c r="A72" s="73"/>
      <c r="B72" s="73"/>
      <c r="C72" s="73"/>
      <c r="D72" s="73"/>
      <c r="E72" s="73"/>
      <c r="F72" s="73"/>
      <c r="G72" s="73"/>
    </row>
    <row r="73" ht="15.75">
      <c r="H73" s="73"/>
    </row>
    <row r="78" spans="1:7" ht="15.75">
      <c r="A78" s="73"/>
      <c r="B78" s="73"/>
      <c r="C78" s="73"/>
      <c r="D78" s="73"/>
      <c r="E78" s="73"/>
      <c r="F78" s="73"/>
      <c r="G78" s="73"/>
    </row>
    <row r="79" ht="15.75">
      <c r="H79" s="73"/>
    </row>
    <row r="99" spans="1:7" ht="15.75">
      <c r="A99" s="73"/>
      <c r="B99" s="73"/>
      <c r="C99" s="73"/>
      <c r="D99" s="73"/>
      <c r="E99" s="73"/>
      <c r="F99" s="73"/>
      <c r="G99" s="73"/>
    </row>
  </sheetData>
  <sheetProtection/>
  <mergeCells count="5">
    <mergeCell ref="A3:H3"/>
    <mergeCell ref="G14:G16"/>
    <mergeCell ref="A6:H6"/>
    <mergeCell ref="A5:H5"/>
    <mergeCell ref="A4:H4"/>
  </mergeCells>
  <printOptions/>
  <pageMargins left="0.5" right="0.52" top="0.96" bottom="0.5" header="0.41" footer="0.3"/>
  <pageSetup blackAndWhite="1" fitToHeight="1" fitToWidth="1" horizontalDpi="300" verticalDpi="300" orientation="portrait" scale="75" r:id="rId1"/>
  <headerFooter alignWithMargins="0">
    <oddHeader>&amp;RState of Kansas
Township
</oddHeader>
    <oddFooter>&amp;Lrevised 8/25/09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D17" sqref="D1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248" t="str">
        <f>inputPrYr!D2</f>
        <v>Valley Township</v>
      </c>
      <c r="B1" s="14"/>
      <c r="C1" s="14"/>
      <c r="D1" s="14"/>
      <c r="E1" s="14"/>
      <c r="F1" s="14">
        <f>inputPrYr!D5</f>
        <v>2012</v>
      </c>
    </row>
    <row r="2" spans="1:6" ht="15.75">
      <c r="A2" s="14"/>
      <c r="B2" s="14"/>
      <c r="C2" s="14"/>
      <c r="D2" s="14"/>
      <c r="E2" s="14"/>
      <c r="F2" s="14"/>
    </row>
    <row r="3" spans="1:6" ht="15.75">
      <c r="A3" s="14"/>
      <c r="B3" s="292" t="str">
        <f>CONCATENATE("",F1," Neighborhood Revitalization Rebate")</f>
        <v>2012 Neighborhood Revitalization Rebate</v>
      </c>
      <c r="C3" s="300"/>
      <c r="D3" s="300"/>
      <c r="E3" s="300"/>
      <c r="F3" s="14"/>
    </row>
    <row r="4" spans="1:6" ht="15.75">
      <c r="A4" s="14"/>
      <c r="B4" s="14"/>
      <c r="C4" s="14"/>
      <c r="D4" s="14"/>
      <c r="E4" s="14"/>
      <c r="F4" s="14"/>
    </row>
    <row r="5" spans="1:6" ht="51" customHeight="1">
      <c r="A5" s="14"/>
      <c r="B5" s="81" t="str">
        <f>CONCATENATE("Budgeted Funds                            for ",F1,"")</f>
        <v>Budgeted Funds                            for 2012</v>
      </c>
      <c r="C5" s="81" t="str">
        <f>CONCATENATE("",F1-1," Ad Valorem before Rebate**")</f>
        <v>2011 Ad Valorem before Rebate**</v>
      </c>
      <c r="D5" s="82" t="str">
        <f>CONCATENATE("",F1-1," Mil Rate before Rebate")</f>
        <v>2011 Mil Rate before Rebate</v>
      </c>
      <c r="E5" s="83" t="str">
        <f>CONCATENATE("Estimate ",F1," NR Rebate")</f>
        <v>Estimate 2012 NR Rebate</v>
      </c>
      <c r="F5" s="84"/>
    </row>
    <row r="6" spans="1:6" ht="15.75">
      <c r="A6" s="14"/>
      <c r="B6" s="70" t="str">
        <f>inputPrYr!B16</f>
        <v>General</v>
      </c>
      <c r="C6" s="85">
        <v>1915</v>
      </c>
      <c r="D6" s="86">
        <f>IF(C6&gt;0,C6/$D$18,"0.000")</f>
        <v>2.1187425180176094</v>
      </c>
      <c r="E6" s="87">
        <f>IF(C6&gt;0,ROUND(D6*$D$22,0),"0")</f>
        <v>0</v>
      </c>
      <c r="F6" s="84"/>
    </row>
    <row r="7" spans="1:6" ht="15.75">
      <c r="A7" s="14"/>
      <c r="B7" s="70"/>
      <c r="C7" s="85"/>
      <c r="D7" s="86">
        <f aca="true" t="shared" si="0" ref="D7:D12">IF(C7&gt;0,C7/$D$18,"")</f>
      </c>
      <c r="E7" s="87">
        <f aca="true" t="shared" si="1" ref="E7:E12">IF(C7&gt;0,ROUND(D7*$D$22,0),"")</f>
      </c>
      <c r="F7" s="84"/>
    </row>
    <row r="8" spans="1:6" ht="15.75">
      <c r="A8" s="14"/>
      <c r="B8" s="70"/>
      <c r="C8" s="85"/>
      <c r="D8" s="86">
        <f t="shared" si="0"/>
      </c>
      <c r="E8" s="87">
        <f t="shared" si="1"/>
      </c>
      <c r="F8" s="84"/>
    </row>
    <row r="9" spans="1:6" ht="15.75">
      <c r="A9" s="14"/>
      <c r="B9" s="70"/>
      <c r="C9" s="85"/>
      <c r="D9" s="86">
        <f t="shared" si="0"/>
      </c>
      <c r="E9" s="87">
        <f t="shared" si="1"/>
      </c>
      <c r="F9" s="84"/>
    </row>
    <row r="10" spans="1:6" ht="15.75">
      <c r="A10" s="14"/>
      <c r="B10" s="70"/>
      <c r="C10" s="88"/>
      <c r="D10" s="86">
        <f t="shared" si="0"/>
      </c>
      <c r="E10" s="87">
        <f t="shared" si="1"/>
      </c>
      <c r="F10" s="84"/>
    </row>
    <row r="11" spans="1:6" ht="15.75">
      <c r="A11" s="14"/>
      <c r="B11" s="70"/>
      <c r="C11" s="88"/>
      <c r="D11" s="86">
        <f t="shared" si="0"/>
      </c>
      <c r="E11" s="87">
        <f t="shared" si="1"/>
      </c>
      <c r="F11" s="84"/>
    </row>
    <row r="12" spans="1:6" ht="15.75">
      <c r="A12" s="14"/>
      <c r="B12" s="70"/>
      <c r="C12" s="88"/>
      <c r="D12" s="86">
        <f t="shared" si="0"/>
      </c>
      <c r="E12" s="87">
        <f t="shared" si="1"/>
      </c>
      <c r="F12" s="84"/>
    </row>
    <row r="13" spans="1:6" s="264" customFormat="1" ht="17.25" thickBot="1">
      <c r="A13" s="17"/>
      <c r="B13" s="260" t="s">
        <v>152</v>
      </c>
      <c r="C13" s="261">
        <f>SUM(C6:C12)</f>
        <v>1915</v>
      </c>
      <c r="D13" s="262">
        <f>SUM(D6:D12)</f>
        <v>2.1187425180176094</v>
      </c>
      <c r="E13" s="261">
        <f>SUM(E6:E12)</f>
        <v>0</v>
      </c>
      <c r="F13" s="263"/>
    </row>
    <row r="14" spans="1:6" ht="16.5" thickTop="1">
      <c r="A14" s="14"/>
      <c r="B14" s="14"/>
      <c r="C14" s="14"/>
      <c r="D14" s="14"/>
      <c r="E14" s="14"/>
      <c r="F14" s="84"/>
    </row>
    <row r="15" spans="1:6" ht="15.75">
      <c r="A15" s="14"/>
      <c r="B15" s="14"/>
      <c r="C15" s="14"/>
      <c r="D15" s="14"/>
      <c r="E15" s="14"/>
      <c r="F15" s="84"/>
    </row>
    <row r="16" spans="1:6" ht="15.75">
      <c r="A16" s="348" t="str">
        <f>CONCATENATE("",F1-1," July 1 Valuation:")</f>
        <v>2011 July 1 Valuation:</v>
      </c>
      <c r="B16" s="347"/>
      <c r="C16" s="348"/>
      <c r="D16" s="89">
        <f>inputOth!E7</f>
        <v>903838</v>
      </c>
      <c r="E16" s="14"/>
      <c r="F16" s="84"/>
    </row>
    <row r="17" spans="1:6" ht="15.75">
      <c r="A17" s="14"/>
      <c r="B17" s="14"/>
      <c r="C17" s="14"/>
      <c r="D17" s="14"/>
      <c r="E17" s="14"/>
      <c r="F17" s="84"/>
    </row>
    <row r="18" spans="1:6" ht="15.75">
      <c r="A18" s="14"/>
      <c r="B18" s="348" t="s">
        <v>188</v>
      </c>
      <c r="C18" s="348"/>
      <c r="D18" s="90">
        <f>IF(D16&gt;0,(D16*0.001),"")</f>
        <v>903.838</v>
      </c>
      <c r="E18" s="14"/>
      <c r="F18" s="84"/>
    </row>
    <row r="19" spans="1:6" ht="15.75">
      <c r="A19" s="14"/>
      <c r="B19" s="48"/>
      <c r="C19" s="48"/>
      <c r="D19" s="91"/>
      <c r="E19" s="14"/>
      <c r="F19" s="84"/>
    </row>
    <row r="20" spans="1:6" ht="15.75">
      <c r="A20" s="346" t="s">
        <v>189</v>
      </c>
      <c r="B20" s="291"/>
      <c r="C20" s="291"/>
      <c r="D20" s="92">
        <f>inputOth!E13</f>
        <v>0</v>
      </c>
      <c r="E20" s="93"/>
      <c r="F20" s="93"/>
    </row>
    <row r="21" spans="1:6" ht="15.75">
      <c r="A21" s="93"/>
      <c r="B21" s="93"/>
      <c r="C21" s="93"/>
      <c r="D21" s="94"/>
      <c r="E21" s="93"/>
      <c r="F21" s="93"/>
    </row>
    <row r="22" spans="1:6" ht="15.75">
      <c r="A22" s="93"/>
      <c r="B22" s="346" t="s">
        <v>190</v>
      </c>
      <c r="C22" s="347"/>
      <c r="D22" s="95" t="str">
        <f>IF(D20&gt;0,(D20*0.001),"0")</f>
        <v>0</v>
      </c>
      <c r="E22" s="93"/>
      <c r="F22" s="93"/>
    </row>
    <row r="23" spans="1:6" ht="15.75">
      <c r="A23" s="93"/>
      <c r="B23" s="93"/>
      <c r="C23" s="93"/>
      <c r="D23" s="93"/>
      <c r="E23" s="93"/>
      <c r="F23" s="93"/>
    </row>
    <row r="24" spans="1:6" ht="15.75">
      <c r="A24" s="93"/>
      <c r="B24" s="93"/>
      <c r="C24" s="93"/>
      <c r="D24" s="93"/>
      <c r="E24" s="93"/>
      <c r="F24" s="93"/>
    </row>
    <row r="25" spans="1:6" ht="15.75">
      <c r="A25" s="93"/>
      <c r="B25" s="93"/>
      <c r="C25" s="93"/>
      <c r="D25" s="93"/>
      <c r="E25" s="93"/>
      <c r="F25" s="93"/>
    </row>
    <row r="26" spans="1:6" ht="15.75">
      <c r="A26" s="241" t="str">
        <f>CONCATENATE("**This information comes from the ",F1," Budget Summary page.  See instructions tab #11 for completing")</f>
        <v>**This information comes from the 2012 Budget Summary page.  See instructions tab #11 for completing</v>
      </c>
      <c r="B26" s="93"/>
      <c r="C26" s="93"/>
      <c r="D26" s="93"/>
      <c r="E26" s="93"/>
      <c r="F26" s="93"/>
    </row>
    <row r="27" spans="1:6" ht="15.75">
      <c r="A27" s="241" t="s">
        <v>1</v>
      </c>
      <c r="B27" s="93"/>
      <c r="C27" s="93"/>
      <c r="D27" s="93"/>
      <c r="E27" s="93"/>
      <c r="F27" s="93"/>
    </row>
    <row r="28" spans="1:6" ht="15.75">
      <c r="A28" s="241"/>
      <c r="B28" s="93"/>
      <c r="C28" s="93"/>
      <c r="D28" s="93"/>
      <c r="E28" s="93"/>
      <c r="F28" s="93"/>
    </row>
    <row r="29" spans="1:6" ht="15.75">
      <c r="A29" s="241"/>
      <c r="B29" s="93"/>
      <c r="C29" s="93"/>
      <c r="D29" s="93"/>
      <c r="E29" s="93"/>
      <c r="F29" s="93"/>
    </row>
    <row r="30" spans="1:6" ht="15.75">
      <c r="A30" s="241"/>
      <c r="B30" s="93"/>
      <c r="C30" s="93"/>
      <c r="D30" s="93"/>
      <c r="E30" s="93"/>
      <c r="F30" s="93"/>
    </row>
    <row r="31" spans="1:6" ht="15.75">
      <c r="A31" s="241"/>
      <c r="B31" s="93"/>
      <c r="C31" s="93"/>
      <c r="D31" s="93"/>
      <c r="E31" s="93"/>
      <c r="F31" s="93"/>
    </row>
    <row r="32" spans="1:6" ht="15.75">
      <c r="A32" s="241"/>
      <c r="B32" s="93"/>
      <c r="C32" s="93"/>
      <c r="D32" s="93"/>
      <c r="E32" s="93"/>
      <c r="F32" s="93"/>
    </row>
    <row r="33" spans="1:6" ht="15.75">
      <c r="A33" s="241"/>
      <c r="B33" s="93"/>
      <c r="C33" s="93"/>
      <c r="D33" s="93"/>
      <c r="E33" s="93"/>
      <c r="F33" s="93"/>
    </row>
    <row r="34" spans="1:6" ht="15.75">
      <c r="A34" s="93"/>
      <c r="B34" s="93"/>
      <c r="C34" s="93"/>
      <c r="D34" s="93"/>
      <c r="E34" s="93"/>
      <c r="F34" s="93"/>
    </row>
    <row r="35" spans="1:6" ht="15.75">
      <c r="A35" s="93"/>
      <c r="B35" s="79" t="s">
        <v>23</v>
      </c>
      <c r="C35" s="65">
        <v>6</v>
      </c>
      <c r="D35" s="93"/>
      <c r="E35" s="93"/>
      <c r="F35" s="93"/>
    </row>
    <row r="36" spans="1:6" ht="15.75">
      <c r="A36" s="84"/>
      <c r="B36" s="14"/>
      <c r="C36" s="14"/>
      <c r="D36" s="96"/>
      <c r="E36" s="84"/>
      <c r="F36" s="84"/>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Sharon</cp:lastModifiedBy>
  <cp:lastPrinted>2011-07-27T00:25:56Z</cp:lastPrinted>
  <dcterms:created xsi:type="dcterms:W3CDTF">1998-08-26T16:30:41Z</dcterms:created>
  <dcterms:modified xsi:type="dcterms:W3CDTF">2011-12-08T19:34:21Z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Valley</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