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3"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'inputPrYr'!$A$1:$E$84</definedName>
  </definedNames>
  <calcPr fullCalcOnLoad="1"/>
</workbook>
</file>

<file path=xl/sharedStrings.xml><?xml version="1.0" encoding="utf-8"?>
<sst xmlns="http://schemas.openxmlformats.org/spreadsheetml/2006/main" count="270" uniqueCount="219">
  <si>
    <t>Must be at least 10 days between date published and hearing held.</t>
  </si>
  <si>
    <t>answering objections of taxpayers relating to the proposed use of all funds and the amount of ad valorem tax.</t>
  </si>
  <si>
    <t>the Neighborhood Revitalization Rebate table.</t>
  </si>
  <si>
    <t>Smith County</t>
  </si>
  <si>
    <t>Cemetery</t>
  </si>
  <si>
    <t>_____________</t>
  </si>
  <si>
    <t>_________</t>
  </si>
  <si>
    <t>ADAMS, BROWN, BERAN</t>
  </si>
  <si>
    <t>&amp; BALL, CHTD.</t>
  </si>
  <si>
    <t>PO BOX 1186</t>
  </si>
  <si>
    <t>HAYS, KS 67601</t>
  </si>
  <si>
    <t>Total Tax Levied</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</si>
  <si>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</si>
  <si>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</si>
  <si>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</si>
  <si>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</si>
  <si>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</si>
  <si>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</si>
  <si>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</si>
  <si>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</si>
  <si>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</si>
  <si>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</si>
  <si>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</si>
  <si>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</si>
  <si>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</si>
  <si>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</si>
  <si>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</si>
  <si>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</si>
  <si>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</si>
  <si>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</si>
  <si>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</si>
  <si>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</si>
  <si>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</si>
  <si>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</si>
  <si>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</si>
  <si>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</si>
  <si>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</si>
  <si>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</si>
  <si>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</si>
  <si>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</si>
  <si>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</si>
  <si>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</si>
  <si>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</si>
  <si>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</si>
  <si>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</si>
  <si>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</si>
  <si>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</si>
  <si>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</si>
  <si>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</si>
  <si>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</si>
  <si>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</si>
  <si>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</si>
  <si>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</si>
  <si>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</si>
  <si>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</si>
  <si>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</si>
  <si>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</si>
  <si>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</si>
  <si>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</si>
  <si>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</si>
  <si>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</si>
  <si>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</si>
  <si>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</si>
  <si>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</si>
  <si>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</si>
  <si>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</si>
  <si>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</si>
  <si>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</si>
  <si>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</si>
  <si>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</si>
  <si>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</si>
  <si>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</si>
  <si>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</si>
  <si>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</si>
  <si>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</si>
  <si>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</si>
  <si>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</si>
  <si>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</si>
  <si>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</si>
  <si>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</si>
  <si>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</si>
  <si>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</si>
  <si>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</si>
  <si>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</si>
  <si>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</si>
  <si>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</si>
  <si>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</si>
  <si>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</si>
  <si>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</si>
  <si>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</si>
  <si>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</si>
  <si>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</si>
  <si>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</si>
  <si>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</si>
  <si>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</si>
  <si>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</si>
  <si>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</si>
  <si>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</si>
  <si>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</si>
  <si>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</si>
  <si>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</si>
  <si>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</si>
  <si>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</si>
  <si>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</si>
  <si>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</si>
  <si>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</si>
  <si>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</si>
  <si>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</si>
  <si>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</si>
  <si>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</si>
  <si>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</si>
  <si>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 xml:space="preserve">  Other</t>
  </si>
  <si>
    <t>forms in the appropriate locations.  If any of the numbers are wrong, change them on this input sheet.</t>
  </si>
  <si>
    <t>Outstanding Indebtedness, January 1:</t>
  </si>
  <si>
    <t>Neighborhood Revitalization</t>
  </si>
  <si>
    <t>County Treasurer's Slider Estimate</t>
  </si>
  <si>
    <t>Slider Factor</t>
  </si>
  <si>
    <t>Alloc of MVT, RVT, 16/20M Vehicles &amp; Slider</t>
  </si>
  <si>
    <t>Funds</t>
  </si>
  <si>
    <t>Budget Authority</t>
  </si>
  <si>
    <t xml:space="preserve">expenditure amounts should reflect the amended </t>
  </si>
  <si>
    <t>expenditure amounts.</t>
  </si>
  <si>
    <t>Total Assessed Valuation</t>
  </si>
  <si>
    <t>Non-Appr Bal</t>
  </si>
  <si>
    <t>Tot Exp/Non-Appr Bal</t>
  </si>
  <si>
    <t>Del Comp Rate:</t>
  </si>
  <si>
    <t>Enter Township Name followed by 'Township'</t>
  </si>
  <si>
    <t>Enter County Name followed by 'County'</t>
  </si>
  <si>
    <t>Note: The green shaded areas will automatically expand.</t>
  </si>
  <si>
    <t>Allocation of Motor, Recreational, 16/20M Vehicle Tax, and Slider</t>
  </si>
  <si>
    <t>TOTAL</t>
  </si>
  <si>
    <t>Miscellaneous</t>
  </si>
  <si>
    <t>Does miscellaneous exceed 10% of Total Receipts</t>
  </si>
  <si>
    <t>Neighborhood Revitalization Rebate</t>
  </si>
  <si>
    <t>Does miscellaneous exceed 10% of Total Expenditures</t>
  </si>
  <si>
    <t>Township Assessed Valuation Only</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</si>
  <si>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</si>
  <si>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</si>
  <si>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</si>
  <si>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</si>
  <si>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</si>
  <si>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</si>
  <si>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</si>
  <si>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</si>
  <si>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</si>
  <si>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</si>
  <si>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</si>
  <si>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</si>
  <si>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</si>
  <si>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</si>
  <si>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</si>
  <si>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</si>
  <si>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</si>
  <si>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</si>
  <si>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</si>
  <si>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</si>
  <si>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</si>
  <si>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</si>
  <si>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</si>
  <si>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</si>
  <si>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</si>
  <si>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</si>
  <si>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</si>
  <si>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</si>
  <si>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</si>
  <si>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</si>
  <si>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</si>
  <si>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</si>
  <si>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</si>
  <si>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</si>
  <si>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</si>
  <si>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</si>
  <si>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</si>
  <si>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</si>
  <si>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</si>
  <si>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</si>
  <si>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</si>
  <si>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</si>
  <si>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</si>
  <si>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</si>
  <si>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</si>
  <si>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</si>
  <si>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</si>
  <si>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</si>
  <si>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</si>
  <si>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</si>
  <si>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</si>
  <si>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</si>
  <si>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</si>
  <si>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</si>
  <si>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</si>
  <si>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</si>
  <si>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</si>
  <si>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</si>
  <si>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</si>
  <si>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</si>
  <si>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</si>
  <si>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</si>
  <si>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</si>
  <si>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Fire Protection</t>
  </si>
  <si>
    <t>80-1503</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</si>
  <si>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</si>
  <si>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</si>
  <si>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</si>
  <si>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</si>
  <si>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</si>
  <si>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</si>
  <si>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</si>
  <si>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</si>
  <si>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</si>
  <si>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</si>
  <si>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t>Administration - Per Diem</t>
  </si>
  <si>
    <t>General Expense</t>
  </si>
  <si>
    <t>Capital Outlay</t>
  </si>
  <si>
    <t>for Expenditure</t>
  </si>
  <si>
    <t>for Expenditures</t>
  </si>
  <si>
    <t>Cedar Township</t>
  </si>
  <si>
    <t>Kensignton</t>
  </si>
  <si>
    <t>Interest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</si>
</sst>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_(* #,##0.000_);_(* \(#,##0.000\);_(* &quot;-&quot;??_);_(@_)"/>
    <numFmt numFmtId="188"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164" fontId="6" fillId="34" borderId="13"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6" fillId="0" borderId="0" xfId="0" applyFont="1" applyAlignment="1">
      <alignment horizontal="left" vertical="center"/>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4" xfId="0" applyNumberFormat="1" applyFont="1" applyFill="1" applyBorder="1" applyAlignment="1" applyProtection="1">
      <alignment vertical="center"/>
      <protection/>
    </xf>
    <xf numFmtId="0" fontId="8" fillId="0" borderId="0" xfId="0" applyFont="1" applyAlignment="1">
      <alignment vertical="center"/>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6" fillId="3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4" fillId="0" borderId="0" xfId="0" applyNumberFormat="1" applyFont="1" applyAlignment="1">
      <alignment horizontal="left" vertical="center"/>
    </xf>
    <xf numFmtId="49" fontId="6" fillId="0" borderId="0" xfId="0" applyNumberFormat="1" applyFont="1" applyAlignment="1">
      <alignment horizontal="left" vertical="center"/>
    </xf>
    <xf numFmtId="0" fontId="24" fillId="0" borderId="0" xfId="0" applyFont="1" applyAlignment="1">
      <alignment horizontal="left" vertical="center"/>
    </xf>
    <xf numFmtId="185" fontId="24"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9" fontId="6" fillId="34" borderId="0" xfId="0" applyNumberFormat="1" applyFont="1" applyFill="1" applyAlignment="1" applyProtection="1">
      <alignment vertical="center"/>
      <protection/>
    </xf>
    <xf numFmtId="0" fontId="5" fillId="33" borderId="12"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37" fontId="20"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vertical="center"/>
      <protection/>
    </xf>
    <xf numFmtId="0" fontId="5" fillId="34" borderId="13"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6" borderId="10" xfId="0" applyNumberFormat="1" applyFont="1" applyFill="1" applyBorder="1" applyAlignment="1" applyProtection="1">
      <alignment vertical="center"/>
      <protection/>
    </xf>
    <xf numFmtId="37" fontId="5" fillId="36" borderId="23" xfId="0" applyNumberFormat="1" applyFont="1" applyFill="1" applyBorder="1" applyAlignment="1" applyProtection="1">
      <alignment horizontal="center" vertical="center"/>
      <protection/>
    </xf>
    <xf numFmtId="0" fontId="5" fillId="34" borderId="10" xfId="0" applyFont="1" applyFill="1" applyBorder="1" applyAlignment="1" applyProtection="1">
      <alignment vertical="center"/>
      <protection/>
    </xf>
    <xf numFmtId="3" fontId="5" fillId="34" borderId="23" xfId="0" applyNumberFormat="1" applyFont="1" applyFill="1" applyBorder="1" applyAlignment="1" applyProtection="1">
      <alignment horizontal="center" vertical="center"/>
      <protection/>
    </xf>
    <xf numFmtId="181" fontId="5" fillId="34" borderId="23"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5" fillId="34" borderId="0" xfId="0" applyNumberFormat="1" applyFont="1" applyFill="1" applyAlignment="1" applyProtection="1">
      <alignment vertical="center"/>
      <protection/>
    </xf>
    <xf numFmtId="173" fontId="5" fillId="36" borderId="23" xfId="0" applyNumberFormat="1" applyFont="1" applyFill="1" applyBorder="1" applyAlignment="1" applyProtection="1">
      <alignment vertical="center"/>
      <protection/>
    </xf>
    <xf numFmtId="37" fontId="5" fillId="34" borderId="23" xfId="0" applyNumberFormat="1" applyFont="1" applyFill="1" applyBorder="1" applyAlignment="1" applyProtection="1">
      <alignment vertical="center"/>
      <protection/>
    </xf>
    <xf numFmtId="37" fontId="5" fillId="40" borderId="23" xfId="0" applyNumberFormat="1" applyFont="1" applyFill="1" applyBorder="1" applyAlignment="1" applyProtection="1">
      <alignment vertical="center"/>
      <protection/>
    </xf>
    <xf numFmtId="181" fontId="5" fillId="40" borderId="23" xfId="0" applyNumberFormat="1" applyFont="1" applyFill="1" applyBorder="1" applyAlignment="1" applyProtection="1">
      <alignment vertical="center"/>
      <protection/>
    </xf>
    <xf numFmtId="3" fontId="5" fillId="40" borderId="23" xfId="0" applyNumberFormat="1" applyFont="1" applyFill="1" applyBorder="1" applyAlignment="1" applyProtection="1">
      <alignment vertical="center"/>
      <protection/>
    </xf>
    <xf numFmtId="0" fontId="5" fillId="0" borderId="0" xfId="0" applyFont="1" applyAlignment="1" applyProtection="1">
      <alignment vertical="center"/>
      <protection/>
    </xf>
    <xf numFmtId="43" fontId="6" fillId="34" borderId="10" xfId="42" applyFont="1" applyFill="1" applyBorder="1" applyAlignment="1" applyProtection="1">
      <alignment horizontal="right" vertical="center"/>
      <protection/>
    </xf>
    <xf numFmtId="37" fontId="6" fillId="34" borderId="10" xfId="0" applyNumberFormat="1" applyFont="1" applyFill="1" applyBorder="1" applyAlignment="1" applyProtection="1">
      <alignment horizontal="right" vertical="center"/>
      <protection/>
    </xf>
    <xf numFmtId="37" fontId="5" fillId="36" borderId="23"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7" fontId="6" fillId="34" borderId="10" xfId="42" applyNumberFormat="1" applyFont="1" applyFill="1" applyBorder="1" applyAlignment="1" applyProtection="1">
      <alignment horizontal="right" vertical="center"/>
      <protection/>
    </xf>
    <xf numFmtId="187" fontId="6" fillId="34" borderId="10" xfId="0" applyNumberFormat="1" applyFont="1" applyFill="1" applyBorder="1" applyAlignment="1" applyProtection="1">
      <alignment vertical="center"/>
      <protection/>
    </xf>
    <xf numFmtId="187" fontId="5" fillId="36" borderId="10" xfId="0" applyNumberFormat="1" applyFont="1" applyFill="1" applyBorder="1" applyAlignment="1" applyProtection="1">
      <alignment vertical="center"/>
      <protection/>
    </xf>
    <xf numFmtId="3" fontId="6" fillId="36" borderId="10" xfId="0" applyNumberFormat="1" applyFont="1" applyFill="1" applyBorder="1" applyAlignment="1" applyProtection="1">
      <alignment horizontal="right" vertical="center"/>
      <protection/>
    </xf>
    <xf numFmtId="0" fontId="6" fillId="34" borderId="18" xfId="0" applyFont="1" applyFill="1" applyBorder="1" applyAlignment="1" applyProtection="1">
      <alignment horizontal="center" vertical="center"/>
      <protection/>
    </xf>
    <xf numFmtId="180" fontId="6" fillId="34" borderId="10" xfId="42" applyNumberFormat="1" applyFont="1" applyFill="1" applyBorder="1" applyAlignment="1" applyProtection="1">
      <alignment horizontal="righ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1"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5"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5" fillId="0" borderId="21" xfId="61" applyFont="1" applyBorder="1" applyAlignment="1" applyProtection="1">
      <alignment horizontal="right" vertical="center"/>
      <protection/>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7" fontId="6" fillId="34" borderId="26"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3" fontId="5" fillId="34" borderId="19"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 fontId="6" fillId="34" borderId="26"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 fontId="5" fillId="33" borderId="19" xfId="0" applyNumberFormat="1" applyFont="1" applyFill="1" applyBorder="1" applyAlignment="1" applyProtection="1">
      <alignment vertical="center"/>
      <protection locked="0"/>
    </xf>
    <xf numFmtId="3" fontId="5" fillId="33" borderId="13" xfId="0" applyNumberFormat="1" applyFont="1" applyFill="1" applyBorder="1" applyAlignment="1" applyProtection="1">
      <alignment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te" xfId="106"/>
    <cellStyle name="Output" xfId="107"/>
    <cellStyle name="Percent" xfId="108"/>
    <cellStyle name="Title" xfId="109"/>
    <cellStyle name="Total" xfId="110"/>
    <cellStyle name="Warning Text" xfId="111"/>
  </cellStyles>
  <dxfs count="14">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371475</xdr:colOff>
      <xdr:row>102</xdr:row>
      <xdr:rowOff>38100</xdr:rowOff>
    </xdr:to>
    <xdr:pic>
      <xdr:nvPicPr>
        <xdr:cNvPr id="1" name="Picture 1"/>
        <xdr:cNvPicPr preferRelativeResize="1">
          <a:picLocks noChangeAspect="1"/>
        </xdr:cNvPicPr>
      </xdr:nvPicPr>
      <xdr:blipFill>
        <a:blip r:embed="rId1"/>
        <a:stretch>
          <a:fillRect/>
        </a:stretch>
      </xdr:blipFill>
      <xdr:spPr>
        <a:xfrm>
          <a:off x="0" y="0"/>
          <a:ext cx="15459075" cy="20440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257175</xdr:colOff>
      <xdr:row>72</xdr:row>
      <xdr:rowOff>123825</xdr:rowOff>
    </xdr:to>
    <xdr:pic>
      <xdr:nvPicPr>
        <xdr:cNvPr id="1" name="Picture 1"/>
        <xdr:cNvPicPr preferRelativeResize="1">
          <a:picLocks noChangeAspect="1"/>
        </xdr:cNvPicPr>
      </xdr:nvPicPr>
      <xdr:blipFill>
        <a:blip r:embed="rId1"/>
        <a:stretch>
          <a:fillRect/>
        </a:stretch>
      </xdr:blipFill>
      <xdr:spPr>
        <a:xfrm>
          <a:off x="0" y="0"/>
          <a:ext cx="10315575" cy="1452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84"/>
  <sheetViews>
    <sheetView zoomScalePageLayoutView="0" workbookViewId="0" topLeftCell="A19">
      <selection activeCell="E56" sqref="E56"/>
    </sheetView>
  </sheetViews>
  <sheetFormatPr defaultColWidth="8.796875" defaultRowHeight="15.75"/>
  <cols>
    <col min="1" max="1" width="10.69921875" style="118" customWidth="1"/>
    <col min="2" max="2" width="20.69921875" style="118" customWidth="1"/>
    <col min="3" max="3" width="11.69921875" style="118" customWidth="1"/>
    <col min="4" max="4" width="15" style="118" customWidth="1"/>
    <col min="5" max="5" width="14.09765625" style="118" customWidth="1"/>
    <col min="6" max="6" width="2.69921875" style="118" customWidth="1"/>
    <col min="7" max="16384" width="8.796875" style="118" customWidth="1"/>
  </cols>
  <sheetData>
    <row r="1" spans="1:5" ht="15.75">
      <c r="A1" s="117" t="s">
        <v>98</v>
      </c>
      <c r="B1" s="66"/>
      <c r="C1" s="66"/>
      <c r="D1" s="66"/>
      <c r="E1" s="66"/>
    </row>
    <row r="2" spans="1:5" ht="15.75">
      <c r="A2" s="119" t="s">
        <v>128</v>
      </c>
      <c r="B2" s="66"/>
      <c r="C2" s="66"/>
      <c r="D2" s="66"/>
      <c r="E2" s="66"/>
    </row>
    <row r="3" spans="1:5" ht="15.75">
      <c r="A3" s="119" t="s">
        <v>126</v>
      </c>
      <c r="B3" s="66"/>
      <c r="C3" s="66"/>
      <c r="D3" s="114" t="s">
        <v>216</v>
      </c>
      <c r="E3" s="72"/>
    </row>
    <row r="4" spans="1:5" ht="15.75">
      <c r="A4" s="119" t="s">
        <v>127</v>
      </c>
      <c r="B4" s="66"/>
      <c r="C4" s="66"/>
      <c r="D4" s="120" t="s">
        <v>3</v>
      </c>
      <c r="E4" s="72"/>
    </row>
    <row r="5" spans="1:5" ht="15.75">
      <c r="A5" s="66"/>
      <c r="B5" s="66"/>
      <c r="C5" s="66"/>
      <c r="D5" s="66"/>
      <c r="E5" s="66"/>
    </row>
    <row r="6" spans="1:5" ht="15.75">
      <c r="A6" s="121" t="s">
        <v>99</v>
      </c>
      <c r="B6" s="66"/>
      <c r="C6" s="66"/>
      <c r="D6" s="249" t="s">
        <v>217</v>
      </c>
      <c r="E6" s="66"/>
    </row>
    <row r="7" spans="1:5" ht="15.75">
      <c r="A7" s="121" t="s">
        <v>100</v>
      </c>
      <c r="B7" s="66"/>
      <c r="C7" s="66"/>
      <c r="D7" s="107"/>
      <c r="E7" s="66"/>
    </row>
    <row r="8" spans="1:5" ht="15.75">
      <c r="A8" s="66"/>
      <c r="B8" s="66"/>
      <c r="C8" s="66"/>
      <c r="D8" s="66"/>
      <c r="E8" s="66"/>
    </row>
    <row r="9" spans="1:5" ht="15.75">
      <c r="A9" s="121" t="s">
        <v>79</v>
      </c>
      <c r="B9" s="66"/>
      <c r="C9" s="66"/>
      <c r="D9" s="122">
        <v>2012</v>
      </c>
      <c r="E9" s="66"/>
    </row>
    <row r="10" spans="1:5" ht="15.75">
      <c r="A10" s="66"/>
      <c r="B10" s="66"/>
      <c r="C10" s="66"/>
      <c r="D10" s="66"/>
      <c r="E10" s="66"/>
    </row>
    <row r="11" spans="1:5" ht="15.75">
      <c r="A11" s="123" t="s">
        <v>81</v>
      </c>
      <c r="B11" s="124"/>
      <c r="C11" s="124"/>
      <c r="D11" s="124"/>
      <c r="E11" s="124"/>
    </row>
    <row r="12" spans="1:5" ht="15.75">
      <c r="A12" s="123" t="s">
        <v>112</v>
      </c>
      <c r="B12" s="124"/>
      <c r="C12" s="124"/>
      <c r="D12" s="124"/>
      <c r="E12" s="124"/>
    </row>
    <row r="13" spans="1:5" ht="15.75">
      <c r="A13" s="66"/>
      <c r="B13" s="66"/>
      <c r="C13" s="66"/>
      <c r="D13" s="66"/>
      <c r="E13" s="66"/>
    </row>
    <row r="14" spans="1:5" ht="15.75">
      <c r="A14" s="294" t="s">
        <v>88</v>
      </c>
      <c r="B14" s="295"/>
      <c r="C14" s="295"/>
      <c r="D14" s="295"/>
      <c r="E14" s="295"/>
    </row>
    <row r="15" spans="1:5" ht="15.75">
      <c r="A15" s="119"/>
      <c r="B15" s="66"/>
      <c r="C15" s="66"/>
      <c r="D15" s="66"/>
      <c r="E15" s="66"/>
    </row>
    <row r="16" spans="1:5" ht="15.75">
      <c r="A16" s="125" t="s">
        <v>80</v>
      </c>
      <c r="B16" s="126"/>
      <c r="C16" s="66"/>
      <c r="D16" s="69"/>
      <c r="E16" s="127"/>
    </row>
    <row r="17" spans="1:5" ht="15.75">
      <c r="A17" s="128" t="str">
        <f>CONCATENATE("the ",D9-1," Budget, Certificate Page:")</f>
        <v>the 2011 Budget, Certificate Page:</v>
      </c>
      <c r="B17" s="129"/>
      <c r="C17" s="69"/>
      <c r="D17" s="66"/>
      <c r="E17" s="261">
        <v>0.98</v>
      </c>
    </row>
    <row r="18" spans="1:5" ht="15.75">
      <c r="A18" s="128" t="s">
        <v>193</v>
      </c>
      <c r="B18" s="129"/>
      <c r="C18" s="69"/>
      <c r="D18" s="130">
        <f>D9-1</f>
        <v>2011</v>
      </c>
      <c r="E18" s="130">
        <f>D9-2</f>
        <v>2010</v>
      </c>
    </row>
    <row r="19" spans="1:5" ht="15.75">
      <c r="A19" s="73" t="s">
        <v>137</v>
      </c>
      <c r="B19" s="66"/>
      <c r="C19" s="131" t="s">
        <v>136</v>
      </c>
      <c r="D19" s="132" t="s">
        <v>195</v>
      </c>
      <c r="E19" s="132" t="s">
        <v>172</v>
      </c>
    </row>
    <row r="20" spans="1:5" ht="15.75">
      <c r="A20" s="66"/>
      <c r="B20" s="101" t="s">
        <v>138</v>
      </c>
      <c r="C20" s="83" t="s">
        <v>139</v>
      </c>
      <c r="D20" s="133">
        <v>9547</v>
      </c>
      <c r="E20" s="133">
        <v>1579</v>
      </c>
    </row>
    <row r="21" spans="1:5" ht="15.75">
      <c r="A21" s="66"/>
      <c r="B21" s="170" t="s">
        <v>4</v>
      </c>
      <c r="C21" s="88" t="s">
        <v>139</v>
      </c>
      <c r="D21" s="133"/>
      <c r="E21" s="133"/>
    </row>
    <row r="22" spans="1:5" ht="15.75">
      <c r="A22" s="66"/>
      <c r="B22" s="134" t="s">
        <v>199</v>
      </c>
      <c r="C22" s="259" t="s">
        <v>200</v>
      </c>
      <c r="D22" s="133"/>
      <c r="E22" s="133"/>
    </row>
    <row r="23" spans="1:5" ht="15.75">
      <c r="A23" s="66"/>
      <c r="B23" s="134"/>
      <c r="C23" s="135"/>
      <c r="D23" s="133"/>
      <c r="E23" s="133"/>
    </row>
    <row r="24" spans="1:5" ht="15.75">
      <c r="A24" s="66"/>
      <c r="B24" s="134"/>
      <c r="C24" s="260"/>
      <c r="D24" s="133"/>
      <c r="E24" s="133"/>
    </row>
    <row r="25" spans="1:5" ht="15.75">
      <c r="A25" s="66"/>
      <c r="B25" s="134"/>
      <c r="C25" s="135"/>
      <c r="D25" s="133"/>
      <c r="E25" s="133"/>
    </row>
    <row r="26" spans="1:5" ht="15.75">
      <c r="A26" s="66"/>
      <c r="B26" s="134"/>
      <c r="C26" s="135"/>
      <c r="D26" s="133"/>
      <c r="E26" s="133"/>
    </row>
    <row r="27" spans="1:5" ht="15.75">
      <c r="A27" s="66"/>
      <c r="B27" s="134"/>
      <c r="C27" s="135"/>
      <c r="D27" s="133"/>
      <c r="E27" s="133"/>
    </row>
    <row r="28" spans="1:5" ht="15.75">
      <c r="A28" s="136" t="str">
        <f>CONCATENATE("Total Ad Valorem Tax for ",D9-1,"")</f>
        <v>Total Ad Valorem Tax for 2011</v>
      </c>
      <c r="B28" s="78"/>
      <c r="C28" s="137"/>
      <c r="D28" s="138"/>
      <c r="E28" s="139">
        <f>SUM(E20:E27)</f>
        <v>1579</v>
      </c>
    </row>
    <row r="29" spans="1:5" ht="15.75">
      <c r="A29" s="72"/>
      <c r="B29" s="72"/>
      <c r="C29" s="72"/>
      <c r="D29" s="140"/>
      <c r="E29" s="141"/>
    </row>
    <row r="30" spans="1:5" ht="15.75">
      <c r="A30" s="66" t="s">
        <v>77</v>
      </c>
      <c r="B30" s="66"/>
      <c r="C30" s="66"/>
      <c r="D30" s="66"/>
      <c r="E30" s="66"/>
    </row>
    <row r="31" spans="1:5" ht="15.75">
      <c r="A31" s="66"/>
      <c r="B31" s="142"/>
      <c r="C31" s="66"/>
      <c r="D31" s="143"/>
      <c r="E31" s="72"/>
    </row>
    <row r="32" spans="1:5" ht="15.75">
      <c r="A32" s="66"/>
      <c r="B32" s="142"/>
      <c r="C32" s="66"/>
      <c r="D32" s="143"/>
      <c r="E32" s="72"/>
    </row>
    <row r="33" spans="1:5" ht="15.75">
      <c r="A33" s="66"/>
      <c r="B33" s="142"/>
      <c r="C33" s="66"/>
      <c r="D33" s="143"/>
      <c r="E33" s="66"/>
    </row>
    <row r="34" spans="1:5" ht="15.75">
      <c r="A34" s="66"/>
      <c r="B34" s="142"/>
      <c r="C34" s="66"/>
      <c r="D34" s="143"/>
      <c r="E34" s="66"/>
    </row>
    <row r="35" spans="1:5" ht="15.75">
      <c r="A35" s="78" t="str">
        <f>CONCATENATE("Total Expenditures for ",D9-1,"")</f>
        <v>Total Expenditures for 2011</v>
      </c>
      <c r="B35" s="78"/>
      <c r="C35" s="78"/>
      <c r="D35" s="144">
        <f>SUM(D20:D27,D31:D34)</f>
        <v>9547</v>
      </c>
      <c r="E35" s="66"/>
    </row>
    <row r="36" spans="1:5" ht="15.75">
      <c r="A36" s="104" t="s">
        <v>194</v>
      </c>
      <c r="B36" s="72"/>
      <c r="C36" s="72"/>
      <c r="D36" s="66"/>
      <c r="E36" s="66"/>
    </row>
    <row r="37" spans="1:5" ht="15.75">
      <c r="A37" s="248">
        <v>1</v>
      </c>
      <c r="B37" s="142"/>
      <c r="C37" s="72"/>
      <c r="D37" s="66"/>
      <c r="E37" s="66"/>
    </row>
    <row r="38" spans="1:5" ht="15.75">
      <c r="A38" s="248">
        <v>2</v>
      </c>
      <c r="B38" s="142"/>
      <c r="C38" s="72"/>
      <c r="D38" s="66"/>
      <c r="E38" s="66"/>
    </row>
    <row r="39" spans="1:5" ht="15.75">
      <c r="A39" s="248">
        <v>3</v>
      </c>
      <c r="B39" s="142"/>
      <c r="C39" s="72"/>
      <c r="D39" s="66"/>
      <c r="E39" s="66"/>
    </row>
    <row r="40" spans="1:5" ht="15.75">
      <c r="A40" s="248">
        <v>4</v>
      </c>
      <c r="B40" s="142"/>
      <c r="C40" s="72"/>
      <c r="D40" s="66"/>
      <c r="E40" s="66"/>
    </row>
    <row r="41" spans="1:5" ht="15.75">
      <c r="A41" s="248">
        <v>5</v>
      </c>
      <c r="B41" s="142"/>
      <c r="C41" s="72"/>
      <c r="D41" s="66"/>
      <c r="E41" s="66"/>
    </row>
    <row r="42" spans="1:5" ht="15.75">
      <c r="A42" s="66"/>
      <c r="B42" s="66"/>
      <c r="C42" s="66"/>
      <c r="D42" s="66"/>
      <c r="E42" s="66"/>
    </row>
    <row r="43" spans="1:5" ht="15.75" customHeight="1">
      <c r="A43" s="125" t="s">
        <v>80</v>
      </c>
      <c r="B43" s="126"/>
      <c r="C43" s="66"/>
      <c r="D43" s="292" t="str">
        <f>CONCATENATE("",D9-3," Tax Rate         (",D9-2," Column)")</f>
        <v>2009 Tax Rate         (2010 Column)</v>
      </c>
      <c r="E43" s="66"/>
    </row>
    <row r="44" spans="1:5" ht="15.75">
      <c r="A44" s="128" t="str">
        <f>CONCATENATE("the ",D9-1," Budget, Budget Summary Page:")</f>
        <v>the 2011 Budget, Budget Summary Page:</v>
      </c>
      <c r="B44" s="145"/>
      <c r="C44" s="66"/>
      <c r="D44" s="293"/>
      <c r="E44" s="66"/>
    </row>
    <row r="45" spans="1:5" ht="15.75">
      <c r="A45" s="66"/>
      <c r="B45" s="90" t="str">
        <f aca="true" t="shared" si="0" ref="B45:B50">B20</f>
        <v>General</v>
      </c>
      <c r="C45" s="66"/>
      <c r="D45" s="146">
        <v>0.544</v>
      </c>
      <c r="E45" s="66"/>
    </row>
    <row r="46" spans="1:5" ht="15.75">
      <c r="A46" s="66"/>
      <c r="B46" s="101" t="str">
        <f t="shared" si="0"/>
        <v>Cemetery</v>
      </c>
      <c r="C46" s="66"/>
      <c r="D46" s="147"/>
      <c r="E46" s="66"/>
    </row>
    <row r="47" spans="1:5" ht="15.75">
      <c r="A47" s="66"/>
      <c r="B47" s="101" t="str">
        <f t="shared" si="0"/>
        <v>Fire Protection</v>
      </c>
      <c r="C47" s="66"/>
      <c r="D47" s="147"/>
      <c r="E47" s="66"/>
    </row>
    <row r="48" spans="1:5" ht="15.75">
      <c r="A48" s="66"/>
      <c r="B48" s="101">
        <f t="shared" si="0"/>
        <v>0</v>
      </c>
      <c r="C48" s="66"/>
      <c r="D48" s="147"/>
      <c r="E48" s="66"/>
    </row>
    <row r="49" spans="1:5" ht="15.75">
      <c r="A49" s="66"/>
      <c r="B49" s="101">
        <f t="shared" si="0"/>
        <v>0</v>
      </c>
      <c r="C49" s="66"/>
      <c r="D49" s="147"/>
      <c r="E49" s="66"/>
    </row>
    <row r="50" spans="1:5" ht="15.75">
      <c r="A50" s="66"/>
      <c r="B50" s="101">
        <f t="shared" si="0"/>
        <v>0</v>
      </c>
      <c r="C50" s="66"/>
      <c r="D50" s="147"/>
      <c r="E50" s="66"/>
    </row>
    <row r="51" spans="1:5" ht="15.75">
      <c r="A51" s="66"/>
      <c r="B51" s="101">
        <f>B27</f>
        <v>0</v>
      </c>
      <c r="C51" s="66"/>
      <c r="D51" s="147"/>
      <c r="E51" s="66"/>
    </row>
    <row r="52" spans="1:5" ht="16.5" thickBot="1">
      <c r="A52" s="77" t="str">
        <f>CONCATENATE("Total ",D9-3," Tax Levy Rate")</f>
        <v>Total 2009 Tax Levy Rate</v>
      </c>
      <c r="B52" s="148"/>
      <c r="C52" s="89"/>
      <c r="D52" s="149">
        <f>SUM(D45:D51)</f>
        <v>0.544</v>
      </c>
      <c r="E52" s="66"/>
    </row>
    <row r="53" spans="1:5" ht="16.5" thickTop="1">
      <c r="A53" s="66"/>
      <c r="B53" s="66"/>
      <c r="C53" s="66"/>
      <c r="D53" s="66"/>
      <c r="E53" s="66"/>
    </row>
    <row r="54" spans="1:5" ht="15.75">
      <c r="A54" s="150" t="str">
        <f>CONCATENATE("Total Tax Levy (",D9-2," budget column)")</f>
        <v>Total Tax Levy (2010 budget column)</v>
      </c>
      <c r="B54" s="126"/>
      <c r="C54" s="72"/>
      <c r="D54" s="72"/>
      <c r="E54" s="151">
        <v>1514</v>
      </c>
    </row>
    <row r="55" spans="1:5" ht="15.75">
      <c r="A55" s="150" t="str">
        <f>CONCATENATE("Assessed Valuation (",D9-2," budget column):")</f>
        <v>Assessed Valuation (2010 budget column):</v>
      </c>
      <c r="B55" s="126"/>
      <c r="C55" s="66"/>
      <c r="D55" s="66"/>
      <c r="E55" s="151">
        <v>1276619</v>
      </c>
    </row>
    <row r="56" spans="1:5" ht="15.75">
      <c r="A56" s="66"/>
      <c r="B56" s="66"/>
      <c r="C56" s="66"/>
      <c r="D56" s="66"/>
      <c r="E56" s="152"/>
    </row>
    <row r="57" spans="1:5" ht="15.75">
      <c r="A57" s="153" t="s">
        <v>113</v>
      </c>
      <c r="B57" s="153"/>
      <c r="C57" s="154"/>
      <c r="D57" s="155">
        <f>D9-3</f>
        <v>2009</v>
      </c>
      <c r="E57" s="155">
        <f>D9-2</f>
        <v>2010</v>
      </c>
    </row>
    <row r="58" spans="1:5" ht="15.75">
      <c r="A58" s="153" t="s">
        <v>95</v>
      </c>
      <c r="B58" s="153"/>
      <c r="C58" s="156"/>
      <c r="D58" s="143"/>
      <c r="E58" s="143"/>
    </row>
    <row r="59" spans="1:5" ht="15.75">
      <c r="A59" s="157" t="s">
        <v>111</v>
      </c>
      <c r="B59" s="157"/>
      <c r="C59" s="158"/>
      <c r="D59" s="143"/>
      <c r="E59" s="143"/>
    </row>
    <row r="60" spans="1:5" ht="15.75">
      <c r="A60" s="157" t="s">
        <v>96</v>
      </c>
      <c r="B60" s="157"/>
      <c r="C60" s="158"/>
      <c r="D60" s="143"/>
      <c r="E60" s="143"/>
    </row>
    <row r="61" spans="1:5" ht="15.75">
      <c r="A61" s="157"/>
      <c r="B61" s="157"/>
      <c r="C61" s="159"/>
      <c r="D61" s="143"/>
      <c r="E61" s="143"/>
    </row>
    <row r="62" spans="1:5" ht="15.75">
      <c r="A62" s="105"/>
      <c r="B62" s="105"/>
      <c r="C62" s="105"/>
      <c r="D62" s="105"/>
      <c r="E62" s="105"/>
    </row>
    <row r="63" spans="1:5" ht="15.75">
      <c r="A63" s="105"/>
      <c r="B63" s="105"/>
      <c r="C63" s="105"/>
      <c r="D63" s="105"/>
      <c r="E63" s="105"/>
    </row>
    <row r="64" spans="1:5" ht="15.75">
      <c r="A64" s="105"/>
      <c r="B64" s="105"/>
      <c r="C64" s="105"/>
      <c r="D64" s="105"/>
      <c r="E64" s="105"/>
    </row>
    <row r="65" spans="1:5" ht="15.75">
      <c r="A65" s="105"/>
      <c r="B65" s="105"/>
      <c r="C65" s="105"/>
      <c r="D65" s="105"/>
      <c r="E65" s="105"/>
    </row>
    <row r="66" spans="1:5" ht="15.75">
      <c r="A66" s="105"/>
      <c r="B66" s="105"/>
      <c r="C66" s="105"/>
      <c r="D66" s="105"/>
      <c r="E66" s="105"/>
    </row>
    <row r="67" spans="1:5" ht="15.75">
      <c r="A67" s="105"/>
      <c r="B67" s="105"/>
      <c r="C67" s="105"/>
      <c r="D67" s="105"/>
      <c r="E67" s="105"/>
    </row>
    <row r="68" spans="1:5" ht="15.75">
      <c r="A68" s="105"/>
      <c r="B68" s="105"/>
      <c r="C68" s="105"/>
      <c r="D68" s="105"/>
      <c r="E68" s="105"/>
    </row>
    <row r="69" spans="1:5" ht="15.75">
      <c r="A69" s="105"/>
      <c r="B69" s="105"/>
      <c r="C69" s="105"/>
      <c r="D69" s="105"/>
      <c r="E69" s="105"/>
    </row>
    <row r="70" spans="1:5" ht="15.75">
      <c r="A70" s="105"/>
      <c r="B70" s="105"/>
      <c r="C70" s="105"/>
      <c r="D70" s="105"/>
      <c r="E70" s="105"/>
    </row>
    <row r="71" spans="1:5" ht="15.75">
      <c r="A71" s="105"/>
      <c r="B71" s="105"/>
      <c r="C71" s="105"/>
      <c r="D71" s="105"/>
      <c r="E71" s="105"/>
    </row>
    <row r="72" spans="1:5" s="160" customFormat="1" ht="15.75">
      <c r="A72" s="105"/>
      <c r="B72" s="105"/>
      <c r="C72" s="105"/>
      <c r="D72" s="105"/>
      <c r="E72" s="105"/>
    </row>
    <row r="73" spans="1:5" ht="15.75">
      <c r="A73" s="105"/>
      <c r="B73" s="105"/>
      <c r="C73" s="105"/>
      <c r="D73" s="105"/>
      <c r="E73" s="105"/>
    </row>
    <row r="74" spans="1:5" ht="15.75">
      <c r="A74" s="105"/>
      <c r="B74" s="105"/>
      <c r="C74" s="105"/>
      <c r="D74" s="105"/>
      <c r="E74" s="105"/>
    </row>
    <row r="75" spans="1:5" ht="15.75">
      <c r="A75" s="105"/>
      <c r="B75" s="105"/>
      <c r="C75" s="105"/>
      <c r="D75" s="105"/>
      <c r="E75" s="105"/>
    </row>
    <row r="76" spans="1:5" ht="15.75">
      <c r="A76" s="105"/>
      <c r="B76" s="105"/>
      <c r="C76" s="105"/>
      <c r="D76" s="105"/>
      <c r="E76" s="105"/>
    </row>
    <row r="77" spans="1:5" ht="15.75">
      <c r="A77" s="105"/>
      <c r="B77" s="105"/>
      <c r="C77" s="105"/>
      <c r="D77" s="105"/>
      <c r="E77" s="105"/>
    </row>
    <row r="78" spans="1:5" ht="15.75">
      <c r="A78" s="105"/>
      <c r="B78" s="105"/>
      <c r="C78" s="105"/>
      <c r="D78" s="105"/>
      <c r="E78" s="105"/>
    </row>
    <row r="79" spans="1:5" ht="15.75">
      <c r="A79" s="105"/>
      <c r="B79" s="105"/>
      <c r="C79" s="105"/>
      <c r="D79" s="105"/>
      <c r="E79" s="105"/>
    </row>
    <row r="80" spans="1:5" ht="15.75">
      <c r="A80" s="105"/>
      <c r="B80" s="105"/>
      <c r="C80" s="105"/>
      <c r="D80" s="105"/>
      <c r="E80" s="105"/>
    </row>
    <row r="81" spans="1:5" ht="15.75">
      <c r="A81" s="105"/>
      <c r="B81" s="105"/>
      <c r="C81" s="105"/>
      <c r="D81" s="105"/>
      <c r="E81" s="105"/>
    </row>
    <row r="82" spans="1:7" s="109" customFormat="1" ht="15.75">
      <c r="A82" s="105"/>
      <c r="B82" s="105"/>
      <c r="C82" s="105"/>
      <c r="D82" s="105"/>
      <c r="E82" s="105"/>
      <c r="G82" s="118"/>
    </row>
    <row r="83" spans="1:7" s="109" customFormat="1" ht="15.75">
      <c r="A83" s="105"/>
      <c r="B83" s="105"/>
      <c r="C83" s="105"/>
      <c r="D83" s="105"/>
      <c r="E83" s="105"/>
      <c r="G83" s="118"/>
    </row>
    <row r="84" spans="1:5" ht="15.75">
      <c r="A84" s="105"/>
      <c r="B84" s="105"/>
      <c r="C84" s="105"/>
      <c r="D84" s="105"/>
      <c r="E84" s="105"/>
    </row>
  </sheetData>
  <sheetProtection/>
  <mergeCells count="2">
    <mergeCell ref="D43:D44"/>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6">
      <selection activeCell="D50" sqref="D50"/>
    </sheetView>
  </sheetViews>
  <sheetFormatPr defaultColWidth="8.796875" defaultRowHeight="15.75"/>
  <sheetData>
    <row r="1" spans="1:7" ht="15.75">
      <c r="A1" s="379" t="s">
        <v>65</v>
      </c>
      <c r="B1" s="379"/>
      <c r="C1" s="379"/>
      <c r="D1" s="379"/>
      <c r="E1" s="379"/>
      <c r="F1" s="379"/>
      <c r="G1" s="379"/>
    </row>
    <row r="2" ht="15.75">
      <c r="A2" s="21"/>
    </row>
    <row r="3" spans="1:7" ht="15.75">
      <c r="A3" s="380" t="s">
        <v>66</v>
      </c>
      <c r="B3" s="380"/>
      <c r="C3" s="380"/>
      <c r="D3" s="380"/>
      <c r="E3" s="380"/>
      <c r="F3" s="380"/>
      <c r="G3" s="380"/>
    </row>
    <row r="4" ht="15.75">
      <c r="A4" s="22"/>
    </row>
    <row r="5" ht="15.75">
      <c r="A5" s="22"/>
    </row>
    <row r="6" spans="1:9" ht="15.75">
      <c r="A6" s="28" t="str">
        <f>CONCATENATE("A resolution expressing the property taxation policy of the Board of ",(inputPrYr!D3)," ")</f>
        <v>A resolution expressing the property taxation policy of the Board of Cedar Township </v>
      </c>
      <c r="I6">
        <f>CONCATENATE(I7)</f>
      </c>
    </row>
    <row r="7" spans="1:7" ht="15.75">
      <c r="A7" s="381" t="str">
        <f>CONCATENATE("   with respect to financing the ",inputPrYr!D9," annual budget for ",(inputPrYr!D3)," , ",(inputPrYr!D4)," , Kansas.")</f>
        <v>   with respect to financing the 2012 annual budget for Cedar Township , Smith County , Kansas.</v>
      </c>
      <c r="B7" s="301"/>
      <c r="C7" s="301"/>
      <c r="D7" s="301"/>
      <c r="E7" s="301"/>
      <c r="F7" s="301"/>
      <c r="G7" s="301"/>
    </row>
    <row r="8" spans="1:7" ht="15.75">
      <c r="A8" s="301"/>
      <c r="B8" s="301"/>
      <c r="C8" s="301"/>
      <c r="D8" s="301"/>
      <c r="E8" s="301"/>
      <c r="F8" s="301"/>
      <c r="G8" s="301"/>
    </row>
    <row r="9" ht="15.75">
      <c r="A9" s="21"/>
    </row>
    <row r="10" ht="15.75">
      <c r="A10" s="29" t="s">
        <v>67</v>
      </c>
    </row>
    <row r="11" ht="15.75">
      <c r="A11" s="27" t="str">
        <f>CONCATENATE("to finance the ",inputPrYr!D9," ",(inputPrYr!D3)," budget exceed the amount levied to finance the ",inputPrYr!D9-1,"")</f>
        <v>to finance the 2012 Cedar Township budget exceed the amount levied to finance the 2011</v>
      </c>
    </row>
    <row r="12" spans="1:7" ht="15.75">
      <c r="A12" s="384" t="str">
        <f>CONCATENATE((inputPrYr!D3)," Township budget, except with regard to revenue produced and attributable to the taxation of 1) new improvements to real property; 2) increased personal property valuation, other than increased")</f>
        <v>Cedar Township Township budget, except with regard to revenue produced and attributable to the taxation of 1) new improvements to real property; 2) increased personal property valuation, other than increased</v>
      </c>
      <c r="B12" s="301"/>
      <c r="C12" s="301"/>
      <c r="D12" s="301"/>
      <c r="E12" s="301"/>
      <c r="F12" s="301"/>
      <c r="G12" s="301"/>
    </row>
    <row r="13" spans="1:7" ht="15.75">
      <c r="A13" s="301"/>
      <c r="B13" s="301"/>
      <c r="C13" s="301"/>
      <c r="D13" s="301"/>
      <c r="E13" s="301"/>
      <c r="F13" s="301"/>
      <c r="G13" s="301"/>
    </row>
    <row r="14" spans="1:7" ht="15.75">
      <c r="A14" s="384" t="s">
        <v>72</v>
      </c>
      <c r="B14" s="301"/>
      <c r="C14" s="301"/>
      <c r="D14" s="301"/>
      <c r="E14" s="301"/>
      <c r="F14" s="301"/>
      <c r="G14" s="301"/>
    </row>
    <row r="15" spans="1:7" ht="15.75">
      <c r="A15" s="301"/>
      <c r="B15" s="301"/>
      <c r="C15" s="301"/>
      <c r="D15" s="301"/>
      <c r="E15" s="301"/>
      <c r="F15" s="301"/>
      <c r="G15" s="301"/>
    </row>
    <row r="16" spans="1:7" ht="15.75">
      <c r="A16" s="385"/>
      <c r="B16" s="385"/>
      <c r="C16" s="385"/>
      <c r="D16" s="385"/>
      <c r="E16" s="385"/>
      <c r="F16" s="385"/>
      <c r="G16" s="385"/>
    </row>
    <row r="17" ht="15.75">
      <c r="A17" s="22"/>
    </row>
    <row r="18" spans="1:7" ht="15.75">
      <c r="A18" s="382" t="s">
        <v>68</v>
      </c>
      <c r="B18" s="301"/>
      <c r="C18" s="301"/>
      <c r="D18" s="301"/>
      <c r="E18" s="301"/>
      <c r="F18" s="301"/>
      <c r="G18" s="301"/>
    </row>
    <row r="19" spans="1:7" ht="15.75">
      <c r="A19" s="301"/>
      <c r="B19" s="301"/>
      <c r="C19" s="301"/>
      <c r="D19" s="301"/>
      <c r="E19" s="301"/>
      <c r="F19" s="301"/>
      <c r="G19" s="301"/>
    </row>
    <row r="20" ht="15.75">
      <c r="A20" s="22"/>
    </row>
    <row r="21" spans="1:7" ht="15.75">
      <c r="A21" s="382" t="str">
        <f>CONCATENATE("Whereas, ",(inputPrYr!D3)," provides essential services to protect the safety and well being of the citizens of the township; and")</f>
        <v>Whereas, Cedar Township provides essential services to protect the safety and well being of the citizens of the township; and</v>
      </c>
      <c r="B21" s="301"/>
      <c r="C21" s="301"/>
      <c r="D21" s="301"/>
      <c r="E21" s="301"/>
      <c r="F21" s="301"/>
      <c r="G21" s="301"/>
    </row>
    <row r="22" spans="1:7" ht="15.75">
      <c r="A22" s="301"/>
      <c r="B22" s="301"/>
      <c r="C22" s="301"/>
      <c r="D22" s="301"/>
      <c r="E22" s="301"/>
      <c r="F22" s="301"/>
      <c r="G22" s="301"/>
    </row>
    <row r="23" ht="15.75">
      <c r="A23" s="24"/>
    </row>
    <row r="24" ht="15.75">
      <c r="A24" s="23" t="s">
        <v>69</v>
      </c>
    </row>
    <row r="25" ht="15.75">
      <c r="A25" s="24"/>
    </row>
    <row r="26" spans="1:7" ht="15.75">
      <c r="A26" s="382" t="str">
        <f>CONCATENATE("NOW, THEREFORE, BE IT RESOLVED by the Board of ",(inputPrYr!D3)," of ",(inputPrYr!D4),", Kansas that is our desire to notify the public of increased property taxes to finance the ",inputPrYr!D9," ",(inputPrYr!D3),"  budget as defined above.")</f>
        <v>NOW, THEREFORE, BE IT RESOLVED by the Board of Cedar Township of Smith County, Kansas that is our desire to notify the public of increased property taxes to finance the 2012 Cedar Township  budget as defined above.</v>
      </c>
      <c r="B26" s="301"/>
      <c r="C26" s="301"/>
      <c r="D26" s="301"/>
      <c r="E26" s="301"/>
      <c r="F26" s="301"/>
      <c r="G26" s="301"/>
    </row>
    <row r="27" spans="1:7" ht="15.75">
      <c r="A27" s="301"/>
      <c r="B27" s="301"/>
      <c r="C27" s="301"/>
      <c r="D27" s="301"/>
      <c r="E27" s="301"/>
      <c r="F27" s="301"/>
      <c r="G27" s="301"/>
    </row>
    <row r="28" spans="1:7" ht="15.75">
      <c r="A28" s="301"/>
      <c r="B28" s="301"/>
      <c r="C28" s="301"/>
      <c r="D28" s="301"/>
      <c r="E28" s="301"/>
      <c r="F28" s="301"/>
      <c r="G28" s="301"/>
    </row>
    <row r="29" ht="15.75">
      <c r="A29" s="24"/>
    </row>
    <row r="30" spans="1:7" ht="15.75">
      <c r="A30" s="378" t="str">
        <f>CONCATENATE("Adopted this _________ day of ___________, ",inputPrYr!D9-1," by the ",(inputPrYr!D3)," Board, ",(inputPrYr!D4),", Kansas.")</f>
        <v>Adopted this _________ day of ___________, 2011 by the Cedar Township Board, Smith County, Kansas.</v>
      </c>
      <c r="B30" s="301"/>
      <c r="C30" s="301"/>
      <c r="D30" s="301"/>
      <c r="E30" s="301"/>
      <c r="F30" s="301"/>
      <c r="G30" s="301"/>
    </row>
    <row r="31" spans="1:7" ht="15.75">
      <c r="A31" s="301"/>
      <c r="B31" s="301"/>
      <c r="C31" s="301"/>
      <c r="D31" s="301"/>
      <c r="E31" s="301"/>
      <c r="F31" s="301"/>
      <c r="G31" s="301"/>
    </row>
    <row r="32" ht="15.75">
      <c r="A32" s="24"/>
    </row>
    <row r="33" spans="4:7" ht="15.75">
      <c r="D33" s="383" t="str">
        <f>CONCATENATE((inputPrYr!D3)," Board")</f>
        <v>Cedar Township Board</v>
      </c>
      <c r="E33" s="383"/>
      <c r="F33" s="383"/>
      <c r="G33" s="383"/>
    </row>
    <row r="35" spans="4:7" ht="15.75">
      <c r="D35" s="377" t="s">
        <v>70</v>
      </c>
      <c r="E35" s="377"/>
      <c r="F35" s="377"/>
      <c r="G35" s="377"/>
    </row>
    <row r="36" spans="1:7" ht="15.75">
      <c r="A36" s="25"/>
      <c r="D36" s="377" t="s">
        <v>74</v>
      </c>
      <c r="E36" s="377"/>
      <c r="F36" s="377"/>
      <c r="G36" s="377"/>
    </row>
    <row r="37" spans="4:7" ht="15.75">
      <c r="D37" s="377"/>
      <c r="E37" s="377"/>
      <c r="F37" s="377"/>
      <c r="G37" s="377"/>
    </row>
    <row r="38" spans="4:7" ht="15.75">
      <c r="D38" s="377" t="s">
        <v>70</v>
      </c>
      <c r="E38" s="377"/>
      <c r="F38" s="377"/>
      <c r="G38" s="377"/>
    </row>
    <row r="39" spans="1:7" ht="15.75">
      <c r="A39" s="24"/>
      <c r="D39" s="377" t="s">
        <v>75</v>
      </c>
      <c r="E39" s="377"/>
      <c r="F39" s="377"/>
      <c r="G39" s="377"/>
    </row>
    <row r="40" spans="4:7" ht="15.75">
      <c r="D40" s="377"/>
      <c r="E40" s="377"/>
      <c r="F40" s="377"/>
      <c r="G40" s="377"/>
    </row>
    <row r="41" spans="4:7" ht="15.75">
      <c r="D41" s="377" t="s">
        <v>73</v>
      </c>
      <c r="E41" s="377"/>
      <c r="F41" s="377"/>
      <c r="G41" s="377"/>
    </row>
    <row r="42" spans="1:7" ht="15.75">
      <c r="A42" s="24"/>
      <c r="D42" s="377" t="s">
        <v>76</v>
      </c>
      <c r="E42" s="377"/>
      <c r="F42" s="377"/>
      <c r="G42" s="377"/>
    </row>
    <row r="43" ht="15.75">
      <c r="A43" s="26"/>
    </row>
    <row r="44" ht="15.75">
      <c r="A44" s="26"/>
    </row>
    <row r="45" ht="15.75">
      <c r="A45" s="26" t="s">
        <v>71</v>
      </c>
    </row>
    <row r="50" spans="3:4" ht="15.75">
      <c r="C50" s="32" t="s">
        <v>166</v>
      </c>
      <c r="D50" s="64"/>
    </row>
  </sheetData>
  <sheetProtection/>
  <mergeCells count="18">
    <mergeCell ref="A14:G16"/>
    <mergeCell ref="D42:G42"/>
    <mergeCell ref="D37:G37"/>
    <mergeCell ref="D38:G38"/>
    <mergeCell ref="D40:G40"/>
    <mergeCell ref="D41:G41"/>
    <mergeCell ref="D36:G36"/>
    <mergeCell ref="D39:G39"/>
    <mergeCell ref="D35:G35"/>
    <mergeCell ref="A30:G31"/>
    <mergeCell ref="A1:G1"/>
    <mergeCell ref="A3:G3"/>
    <mergeCell ref="A7:G8"/>
    <mergeCell ref="A18:G19"/>
    <mergeCell ref="A21:G22"/>
    <mergeCell ref="A26:G28"/>
    <mergeCell ref="D33:G33"/>
    <mergeCell ref="A12:G13"/>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89"/>
  <sheetViews>
    <sheetView zoomScalePageLayoutView="0" workbookViewId="0" topLeftCell="A1">
      <selection activeCell="E15" sqref="E1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3" t="str">
        <f>inputPrYr!D3</f>
        <v>Cedar Township</v>
      </c>
      <c r="B1" s="30"/>
      <c r="C1" s="30"/>
      <c r="D1" s="30"/>
      <c r="E1" s="30">
        <f>inputPrYr!D9</f>
        <v>2012</v>
      </c>
    </row>
    <row r="2" spans="1:5" ht="15.75">
      <c r="A2" s="43" t="str">
        <f>inputPrYr!D4</f>
        <v>Smith County</v>
      </c>
      <c r="B2" s="30"/>
      <c r="C2" s="30"/>
      <c r="D2" s="30"/>
      <c r="E2" s="30"/>
    </row>
    <row r="3" spans="1:5" ht="15.75">
      <c r="A3" s="30"/>
      <c r="B3" s="30"/>
      <c r="C3" s="30"/>
      <c r="D3" s="30"/>
      <c r="E3" s="30"/>
    </row>
    <row r="4" spans="1:5" ht="15.75">
      <c r="A4" s="302" t="s">
        <v>88</v>
      </c>
      <c r="B4" s="303"/>
      <c r="C4" s="303"/>
      <c r="D4" s="303"/>
      <c r="E4" s="303"/>
    </row>
    <row r="5" spans="1:5" ht="15.75">
      <c r="A5" s="30"/>
      <c r="B5" s="30"/>
      <c r="C5" s="30"/>
      <c r="D5" s="30"/>
      <c r="E5" s="30"/>
    </row>
    <row r="6" spans="1:5" ht="15.75">
      <c r="A6" s="306" t="str">
        <f>CONCATENATE("From the County Clerks Budget Information for ",E1,":")</f>
        <v>From the County Clerks Budget Information for 2012:</v>
      </c>
      <c r="B6" s="307"/>
      <c r="C6" s="307"/>
      <c r="D6" s="307"/>
      <c r="E6" s="307"/>
    </row>
    <row r="7" spans="1:5" ht="15.75">
      <c r="A7" s="56" t="str">
        <f>CONCATENATE("Assessed Valuation for ",E1-1,":")</f>
        <v>Assessed Valuation for 2011:</v>
      </c>
      <c r="B7" s="10"/>
      <c r="C7" s="10"/>
      <c r="D7" s="10"/>
      <c r="E7" s="36"/>
    </row>
    <row r="8" spans="1:5" ht="15.75">
      <c r="A8" s="13" t="s">
        <v>110</v>
      </c>
      <c r="B8" s="14"/>
      <c r="C8" s="14"/>
      <c r="D8" s="14"/>
      <c r="E8" s="35">
        <v>1313663</v>
      </c>
    </row>
    <row r="9" spans="1:5" ht="15.75">
      <c r="A9" s="15" t="str">
        <f>inputPrYr!$D$6</f>
        <v>Kensignton</v>
      </c>
      <c r="B9" s="16"/>
      <c r="C9" s="16"/>
      <c r="D9" s="16"/>
      <c r="E9" s="35">
        <v>1565419</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2879082</v>
      </c>
    </row>
    <row r="12" spans="1:5" ht="15.75">
      <c r="A12" s="55" t="str">
        <f>CONCATENATE("New Improvements for ",E1-1,":")</f>
        <v>New Improvements for 2011:</v>
      </c>
      <c r="B12" s="10"/>
      <c r="C12" s="10"/>
      <c r="D12" s="10"/>
      <c r="E12" s="34"/>
    </row>
    <row r="13" spans="1:5" ht="15.75">
      <c r="A13" s="13" t="s">
        <v>110</v>
      </c>
      <c r="B13" s="14"/>
      <c r="C13" s="14"/>
      <c r="D13" s="14"/>
      <c r="E13" s="53">
        <v>30861</v>
      </c>
    </row>
    <row r="14" spans="1:5" ht="15.75">
      <c r="A14" s="15" t="str">
        <f>inputPrYr!$D$6</f>
        <v>Kensignton</v>
      </c>
      <c r="B14" s="14"/>
      <c r="C14" s="14"/>
      <c r="D14" s="14"/>
      <c r="E14" s="3">
        <v>5516</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36377</v>
      </c>
    </row>
    <row r="17" spans="1:5" ht="15.75">
      <c r="A17" s="55" t="str">
        <f>CONCATENATE("Personal Property excluding oil, gas, and mobile homes- ",E1-1,":")</f>
        <v>Personal Property excluding oil, gas, and mobile homes- 2011:</v>
      </c>
      <c r="B17" s="10"/>
      <c r="C17" s="10"/>
      <c r="D17" s="10"/>
      <c r="E17" s="34"/>
    </row>
    <row r="18" spans="1:5" ht="15.75">
      <c r="A18" s="13" t="s">
        <v>110</v>
      </c>
      <c r="B18" s="14"/>
      <c r="C18" s="14"/>
      <c r="D18" s="14"/>
      <c r="E18" s="53">
        <v>60990</v>
      </c>
    </row>
    <row r="19" spans="1:5" ht="15.75">
      <c r="A19" s="15" t="str">
        <f>inputPrYr!$D$6</f>
        <v>Kensignton</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60990</v>
      </c>
    </row>
    <row r="22" spans="1:5" ht="15.75">
      <c r="A22" s="55" t="str">
        <f>CONCATENATE("Property that has changed in use for ",E1-1,":")</f>
        <v>Property that has changed in use for 2011:</v>
      </c>
      <c r="B22" s="10"/>
      <c r="C22" s="10"/>
      <c r="D22" s="10"/>
      <c r="E22" s="34"/>
    </row>
    <row r="23" spans="1:5" ht="15.75">
      <c r="A23" s="13" t="s">
        <v>110</v>
      </c>
      <c r="B23" s="14"/>
      <c r="C23" s="14"/>
      <c r="D23" s="14"/>
      <c r="E23" s="53">
        <v>11001</v>
      </c>
    </row>
    <row r="24" spans="1:5" ht="15.75">
      <c r="A24" s="15" t="str">
        <f>inputPrYr!$D$6</f>
        <v>Kensignton</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11001</v>
      </c>
    </row>
    <row r="27" spans="1:5" ht="15.75">
      <c r="A27" s="55" t="str">
        <f>CONCATENATE("Personal Property excluding oil, gas, and mobile homes- ",E1-2,":")</f>
        <v>Personal Property excluding oil, gas, and mobile homes- 2010:</v>
      </c>
      <c r="B27" s="10"/>
      <c r="C27" s="10"/>
      <c r="D27" s="10"/>
      <c r="E27" s="34"/>
    </row>
    <row r="28" spans="1:5" ht="15.75">
      <c r="A28" s="13" t="s">
        <v>110</v>
      </c>
      <c r="B28" s="14"/>
      <c r="C28" s="14"/>
      <c r="D28" s="14"/>
      <c r="E28" s="53">
        <v>55921</v>
      </c>
    </row>
    <row r="29" spans="1:5" ht="15.75">
      <c r="A29" s="15" t="str">
        <f>inputPrYr!$D$6</f>
        <v>Kensignton</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55921</v>
      </c>
    </row>
    <row r="32" spans="1:5" ht="15.75">
      <c r="A32" s="15" t="str">
        <f>CONCATENATE("Gross earnings (intangible) tax estimate for ",E1,"")</f>
        <v>Gross earnings (intangible) tax estimate for 2012</v>
      </c>
      <c r="B32" s="16"/>
      <c r="C32" s="16"/>
      <c r="D32" s="16"/>
      <c r="E32" s="3">
        <v>653</v>
      </c>
    </row>
    <row r="33" spans="1:5" ht="15.75">
      <c r="A33" s="15" t="str">
        <f>CONCATENATE("Neighborhood Revitalization for ",E1,"")</f>
        <v>Neighborhood Revitalization for 2012</v>
      </c>
      <c r="B33" s="16"/>
      <c r="C33" s="16"/>
      <c r="D33" s="16"/>
      <c r="E33" s="3">
        <v>64410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304" t="s">
        <v>149</v>
      </c>
      <c r="B36" s="305"/>
      <c r="C36" s="30"/>
      <c r="D36" s="37" t="s">
        <v>161</v>
      </c>
      <c r="E36" s="36"/>
    </row>
    <row r="37" spans="1:5" ht="15.75">
      <c r="A37" s="13" t="str">
        <f>inputPrYr!B20</f>
        <v>General</v>
      </c>
      <c r="B37" s="14"/>
      <c r="C37" s="10"/>
      <c r="D37" s="50">
        <v>0.552</v>
      </c>
      <c r="E37" s="36"/>
    </row>
    <row r="38" spans="1:5" ht="15.75">
      <c r="A38" s="13" t="str">
        <f>inputPrYr!B21</f>
        <v>Cemetery</v>
      </c>
      <c r="B38" s="16"/>
      <c r="C38" s="10"/>
      <c r="D38" s="51"/>
      <c r="E38" s="36"/>
    </row>
    <row r="39" spans="1:5" ht="15.75">
      <c r="A39" s="13" t="str">
        <f>inputPrYr!B22</f>
        <v>Fire Protection</v>
      </c>
      <c r="B39" s="16"/>
      <c r="C39" s="10"/>
      <c r="D39" s="51"/>
      <c r="E39" s="36"/>
    </row>
    <row r="40" spans="1:5" ht="15.75">
      <c r="A40" s="13">
        <f>inputPrYr!B23</f>
        <v>0</v>
      </c>
      <c r="B40" s="16"/>
      <c r="C40" s="10"/>
      <c r="D40" s="51"/>
      <c r="E40" s="36"/>
    </row>
    <row r="41" spans="1:5" ht="15.75">
      <c r="A41" s="13">
        <f>inputPrYr!B24</f>
        <v>0</v>
      </c>
      <c r="B41" s="16"/>
      <c r="C41" s="10"/>
      <c r="D41" s="51"/>
      <c r="E41" s="36"/>
    </row>
    <row r="42" spans="1:5" ht="15.75">
      <c r="A42" s="13">
        <f>inputPrYr!B25</f>
        <v>0</v>
      </c>
      <c r="B42" s="16"/>
      <c r="C42" s="10"/>
      <c r="D42" s="51"/>
      <c r="E42" s="36"/>
    </row>
    <row r="43" spans="1:5" ht="15.75">
      <c r="A43" s="13">
        <f>inputPrYr!B27</f>
        <v>0</v>
      </c>
      <c r="B43" s="16"/>
      <c r="C43" s="10"/>
      <c r="D43" s="51"/>
      <c r="E43" s="36"/>
    </row>
    <row r="44" spans="1:5" ht="15.75">
      <c r="A44" s="5"/>
      <c r="B44" s="10" t="s">
        <v>140</v>
      </c>
      <c r="C44" s="10"/>
      <c r="D44" s="44">
        <f>SUM(D37:D43)</f>
        <v>0.552</v>
      </c>
      <c r="E44" s="5"/>
    </row>
    <row r="45" spans="1:5" ht="15.75">
      <c r="A45" s="5"/>
      <c r="B45" s="5"/>
      <c r="C45" s="5"/>
      <c r="D45" s="5"/>
      <c r="E45" s="5"/>
    </row>
    <row r="46" spans="1:5" ht="15.75">
      <c r="A46" s="49" t="str">
        <f>CONCATENATE("Final Assessed Valuation from the November 1, ",E1-2," Abstract:")</f>
        <v>Final Assessed Valuation from the November 1, 2010 Abstract:</v>
      </c>
      <c r="B46" s="10"/>
      <c r="C46" s="10"/>
      <c r="D46" s="10"/>
      <c r="E46" s="9"/>
    </row>
    <row r="47" spans="1:5" ht="15.75">
      <c r="A47" s="14" t="s">
        <v>110</v>
      </c>
      <c r="B47" s="14"/>
      <c r="C47" s="14"/>
      <c r="D47" s="14"/>
      <c r="E47" s="4">
        <v>1283197</v>
      </c>
    </row>
    <row r="48" spans="1:5" ht="15.75">
      <c r="A48" s="16" t="str">
        <f>inputPrYr!D6</f>
        <v>Kensignton</v>
      </c>
      <c r="B48" s="16"/>
      <c r="C48" s="16"/>
      <c r="D48" s="20"/>
      <c r="E48" s="4"/>
    </row>
    <row r="49" spans="1:5" ht="15.75">
      <c r="A49" s="16">
        <f>inputPrYr!D7</f>
        <v>0</v>
      </c>
      <c r="B49" s="16"/>
      <c r="C49" s="16"/>
      <c r="D49" s="20"/>
      <c r="E49" s="4"/>
    </row>
    <row r="50" spans="1:5" ht="15.75">
      <c r="A50" s="16" t="str">
        <f>CONCATENATE("Total  Final Assessed Valuation from the November 1, ",E1-2," Abstract:")</f>
        <v>Total  Final Assessed Valuation from the November 1, 2010 Abstract:</v>
      </c>
      <c r="B50" s="16"/>
      <c r="C50" s="16"/>
      <c r="D50" s="20"/>
      <c r="E50" s="48">
        <f>SUM(E47:E49)</f>
        <v>1283197</v>
      </c>
    </row>
    <row r="51" spans="1:5" ht="15.75">
      <c r="A51" s="5"/>
      <c r="B51" s="5"/>
      <c r="C51" s="5"/>
      <c r="D51" s="5"/>
      <c r="E51" s="5"/>
    </row>
    <row r="52" spans="1:5" ht="15.75">
      <c r="A52" s="18" t="str">
        <f>CONCATENATE("From the County Treasurer's Budget Information - ",E1," Budget Year Estimates:")</f>
        <v>From the County Treasurer's Budget Information - 2012 Budget Year Estimates:</v>
      </c>
      <c r="B52" s="19"/>
      <c r="C52" s="19"/>
      <c r="D52" s="38"/>
      <c r="E52" s="57"/>
    </row>
    <row r="53" spans="1:5" ht="15.75">
      <c r="A53" s="45" t="s">
        <v>102</v>
      </c>
      <c r="B53" s="14"/>
      <c r="C53" s="14"/>
      <c r="D53" s="8"/>
      <c r="E53" s="7"/>
    </row>
    <row r="54" spans="1:5" ht="15.75">
      <c r="A54" s="13" t="s">
        <v>89</v>
      </c>
      <c r="B54" s="14"/>
      <c r="C54" s="14"/>
      <c r="D54" s="39"/>
      <c r="E54" s="2">
        <v>349</v>
      </c>
    </row>
    <row r="55" spans="1:5" ht="15.75">
      <c r="A55" s="15" t="s">
        <v>141</v>
      </c>
      <c r="B55" s="16"/>
      <c r="C55" s="16"/>
      <c r="D55" s="40"/>
      <c r="E55" s="2">
        <v>3</v>
      </c>
    </row>
    <row r="56" spans="1:5" ht="15.75">
      <c r="A56" s="15" t="s">
        <v>90</v>
      </c>
      <c r="B56" s="16"/>
      <c r="C56" s="16"/>
      <c r="D56" s="40"/>
      <c r="E56" s="2">
        <v>16</v>
      </c>
    </row>
    <row r="57" spans="1:5" ht="15.75">
      <c r="A57" s="46" t="s">
        <v>106</v>
      </c>
      <c r="B57" s="47"/>
      <c r="C57" s="16"/>
      <c r="D57" s="40"/>
      <c r="E57" s="31"/>
    </row>
    <row r="58" spans="1:5" ht="15.75">
      <c r="A58" s="13" t="s">
        <v>103</v>
      </c>
      <c r="B58" s="16"/>
      <c r="C58" s="16"/>
      <c r="D58" s="40"/>
      <c r="E58" s="2"/>
    </row>
    <row r="59" spans="1:5" ht="15.75">
      <c r="A59" s="15" t="s">
        <v>104</v>
      </c>
      <c r="B59" s="16"/>
      <c r="C59" s="16"/>
      <c r="D59" s="40"/>
      <c r="E59" s="2"/>
    </row>
    <row r="60" spans="1:5" ht="15.75">
      <c r="A60" s="15" t="s">
        <v>105</v>
      </c>
      <c r="B60" s="16"/>
      <c r="C60" s="16"/>
      <c r="D60" s="40"/>
      <c r="E60" s="2"/>
    </row>
    <row r="61" spans="1:5" ht="15.75">
      <c r="A61" s="46" t="s">
        <v>107</v>
      </c>
      <c r="B61" s="47"/>
      <c r="C61" s="16"/>
      <c r="D61" s="40"/>
      <c r="E61" s="31"/>
    </row>
    <row r="62" spans="1:5" ht="15.75">
      <c r="A62" s="13" t="s">
        <v>103</v>
      </c>
      <c r="B62" s="16"/>
      <c r="C62" s="16"/>
      <c r="D62" s="40"/>
      <c r="E62" s="2"/>
    </row>
    <row r="63" spans="1:5" ht="15.75">
      <c r="A63" s="15" t="s">
        <v>104</v>
      </c>
      <c r="B63" s="16"/>
      <c r="C63" s="16"/>
      <c r="D63" s="40"/>
      <c r="E63" s="2"/>
    </row>
    <row r="64" spans="1:5" ht="15.75">
      <c r="A64" s="15" t="s">
        <v>105</v>
      </c>
      <c r="B64" s="16"/>
      <c r="C64" s="16"/>
      <c r="D64" s="40"/>
      <c r="E64" s="2"/>
    </row>
    <row r="65" spans="1:5" ht="15.75">
      <c r="A65" s="15"/>
      <c r="B65" s="16"/>
      <c r="C65" s="16"/>
      <c r="D65" s="40"/>
      <c r="E65" s="31"/>
    </row>
    <row r="66" spans="1:5" ht="15.75">
      <c r="A66" s="15" t="s">
        <v>91</v>
      </c>
      <c r="B66" s="16"/>
      <c r="C66" s="16"/>
      <c r="D66" s="40"/>
      <c r="E66" s="2"/>
    </row>
    <row r="67" spans="1:5" ht="15.75">
      <c r="A67" s="15" t="s">
        <v>92</v>
      </c>
      <c r="B67" s="16"/>
      <c r="C67" s="16"/>
      <c r="D67" s="40"/>
      <c r="E67" s="2"/>
    </row>
    <row r="68" spans="1:5" ht="15.75">
      <c r="A68" s="15" t="s">
        <v>47</v>
      </c>
      <c r="B68" s="14"/>
      <c r="C68" s="14"/>
      <c r="D68" s="39"/>
      <c r="E68" s="2"/>
    </row>
    <row r="69" spans="1:5" ht="33" customHeight="1">
      <c r="A69" s="308" t="s">
        <v>108</v>
      </c>
      <c r="B69" s="309"/>
      <c r="C69" s="309"/>
      <c r="D69" s="309"/>
      <c r="E69" s="309"/>
    </row>
    <row r="70" spans="1:5" ht="15.75">
      <c r="A70" s="5"/>
      <c r="B70" s="5"/>
      <c r="C70" s="5"/>
      <c r="D70" s="5"/>
      <c r="E70" s="5"/>
    </row>
    <row r="71" spans="1:5" ht="15.75">
      <c r="A71" s="12" t="s">
        <v>93</v>
      </c>
      <c r="B71" s="11"/>
      <c r="C71" s="11"/>
      <c r="D71" s="5"/>
      <c r="E71" s="5"/>
    </row>
    <row r="72" spans="1:5" ht="15.75">
      <c r="A72" s="17" t="str">
        <f>CONCATENATE("Actual Delinquency for ",E1-2," Tax (round to three decimal places)")</f>
        <v>Actual Delinquency for 2010 Tax (round to three decimal places)</v>
      </c>
      <c r="B72" s="10"/>
      <c r="C72" s="5"/>
      <c r="D72" s="5"/>
      <c r="E72" s="41"/>
    </row>
    <row r="73" spans="1:5" ht="15.75">
      <c r="A73" s="17" t="s">
        <v>109</v>
      </c>
      <c r="B73" s="17"/>
      <c r="C73" s="10"/>
      <c r="D73" s="10"/>
      <c r="E73" s="42"/>
    </row>
    <row r="74" spans="1:5" ht="34.5" customHeight="1">
      <c r="A74" s="300" t="s">
        <v>94</v>
      </c>
      <c r="B74" s="301"/>
      <c r="C74" s="301"/>
      <c r="D74" s="301"/>
      <c r="E74" s="301"/>
    </row>
    <row r="75" spans="1:5" ht="15.75">
      <c r="A75" s="33"/>
      <c r="B75" s="33"/>
      <c r="C75" s="33"/>
      <c r="D75" s="33"/>
      <c r="E75" s="33"/>
    </row>
    <row r="76" spans="1:5" ht="16.5">
      <c r="A76" s="296" t="str">
        <f>CONCATENATE("From the ",E1-2," Budget Certificate Page")</f>
        <v>From the 2010 Budget Certificate Page</v>
      </c>
      <c r="B76" s="297"/>
      <c r="C76" s="33"/>
      <c r="D76" s="33"/>
      <c r="E76" s="33"/>
    </row>
    <row r="77" spans="1:5" ht="15.75">
      <c r="A77" s="58"/>
      <c r="B77" s="58" t="str">
        <f>CONCATENATE("",E1-2," Expenditure Amounts")</f>
        <v>2010 Expenditure Amounts</v>
      </c>
      <c r="C77" s="298" t="str">
        <f>CONCATENATE("Note: If the ",E1-2," budget was amended, then the")</f>
        <v>Note: If the 2010 budget was amended, then the</v>
      </c>
      <c r="D77" s="299"/>
      <c r="E77" s="299"/>
    </row>
    <row r="78" spans="1:5" ht="15.75">
      <c r="A78" s="59" t="s">
        <v>118</v>
      </c>
      <c r="B78" s="59" t="s">
        <v>119</v>
      </c>
      <c r="C78" s="60" t="s">
        <v>120</v>
      </c>
      <c r="D78" s="61"/>
      <c r="E78" s="61"/>
    </row>
    <row r="79" spans="1:5" ht="15.75">
      <c r="A79" s="62" t="str">
        <f>inputPrYr!B20</f>
        <v>General</v>
      </c>
      <c r="B79" s="4">
        <v>7020</v>
      </c>
      <c r="C79" s="60" t="s">
        <v>121</v>
      </c>
      <c r="D79" s="63"/>
      <c r="E79" s="63"/>
    </row>
    <row r="80" spans="1:5" ht="15.75">
      <c r="A80" s="62" t="str">
        <f>inputPrYr!B21</f>
        <v>Cemetery</v>
      </c>
      <c r="B80" s="4"/>
      <c r="C80" s="33"/>
      <c r="D80" s="33"/>
      <c r="E80" s="33"/>
    </row>
    <row r="81" spans="1:5" ht="15.75">
      <c r="A81" s="62" t="str">
        <f>inputPrYr!B22</f>
        <v>Fire Protection</v>
      </c>
      <c r="B81" s="4"/>
      <c r="C81" s="33"/>
      <c r="D81" s="33"/>
      <c r="E81" s="33"/>
    </row>
    <row r="82" spans="1:5" ht="15.75">
      <c r="A82" s="62">
        <f>inputPrYr!B23</f>
        <v>0</v>
      </c>
      <c r="B82" s="4"/>
      <c r="C82" s="33"/>
      <c r="D82" s="33"/>
      <c r="E82" s="33"/>
    </row>
    <row r="83" spans="1:5" ht="15.75">
      <c r="A83" s="62">
        <f>inputPrYr!B24</f>
        <v>0</v>
      </c>
      <c r="B83" s="4"/>
      <c r="C83" s="33"/>
      <c r="D83" s="33"/>
      <c r="E83" s="33"/>
    </row>
    <row r="84" spans="1:5" ht="15.75">
      <c r="A84" s="62">
        <f>inputPrYr!B25</f>
        <v>0</v>
      </c>
      <c r="B84" s="4"/>
      <c r="C84" s="33"/>
      <c r="D84" s="33"/>
      <c r="E84" s="33"/>
    </row>
    <row r="85" spans="1:5" ht="15.75">
      <c r="A85" s="62">
        <f>inputPrYr!B27</f>
        <v>0</v>
      </c>
      <c r="B85" s="4"/>
      <c r="C85" s="33"/>
      <c r="D85" s="33"/>
      <c r="E85" s="33"/>
    </row>
    <row r="86" spans="1:5" ht="15.75">
      <c r="A86" s="62">
        <f>inputPrYr!B31</f>
        <v>0</v>
      </c>
      <c r="B86" s="4"/>
      <c r="C86" s="33"/>
      <c r="D86" s="33"/>
      <c r="E86" s="33"/>
    </row>
    <row r="87" spans="1:5" ht="15.75">
      <c r="A87" s="62">
        <f>inputPrYr!B32</f>
        <v>0</v>
      </c>
      <c r="B87" s="4"/>
      <c r="C87" s="33"/>
      <c r="D87" s="33"/>
      <c r="E87" s="33"/>
    </row>
    <row r="88" spans="1:5" ht="15.75">
      <c r="A88" s="62">
        <f>inputPrYr!B33</f>
        <v>0</v>
      </c>
      <c r="B88" s="4"/>
      <c r="C88" s="33"/>
      <c r="D88" s="33"/>
      <c r="E88" s="33"/>
    </row>
    <row r="89" spans="1:5" ht="15.75">
      <c r="A89" s="62">
        <f>inputPrYr!B34</f>
        <v>0</v>
      </c>
      <c r="B89" s="4"/>
      <c r="C89" s="33"/>
      <c r="D89" s="33"/>
      <c r="E89" s="33"/>
    </row>
  </sheetData>
  <sheetProtection/>
  <mergeCells count="7">
    <mergeCell ref="A76:B76"/>
    <mergeCell ref="C77:E77"/>
    <mergeCell ref="A74:E74"/>
    <mergeCell ref="A4:E4"/>
    <mergeCell ref="A36:B36"/>
    <mergeCell ref="A6:E6"/>
    <mergeCell ref="A69:E69"/>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250" customWidth="1"/>
    <col min="2" max="2" width="16" style="250" bestFit="1" customWidth="1"/>
    <col min="3" max="16384" width="8.796875" style="250" customWidth="1"/>
  </cols>
  <sheetData>
    <row r="2" spans="1:6" ht="31.5" customHeight="1">
      <c r="A2" s="310" t="s">
        <v>206</v>
      </c>
      <c r="B2" s="311"/>
      <c r="C2" s="311"/>
      <c r="D2" s="311"/>
      <c r="E2" s="311"/>
      <c r="F2" s="311"/>
    </row>
    <row r="4" ht="15.75">
      <c r="D4" s="251"/>
    </row>
    <row r="5" spans="1:4" ht="15.75">
      <c r="A5" s="177" t="s">
        <v>201</v>
      </c>
      <c r="B5" s="252" t="s">
        <v>5</v>
      </c>
      <c r="C5" s="253"/>
      <c r="D5" s="177" t="s">
        <v>0</v>
      </c>
    </row>
    <row r="6" spans="1:4" ht="15.75">
      <c r="A6" s="177"/>
      <c r="B6" s="254"/>
      <c r="C6" s="255"/>
      <c r="D6" s="177"/>
    </row>
    <row r="7" spans="1:4" ht="15.75">
      <c r="A7" s="177" t="s">
        <v>202</v>
      </c>
      <c r="B7" s="252" t="s">
        <v>6</v>
      </c>
      <c r="C7" s="256"/>
      <c r="D7" s="177"/>
    </row>
    <row r="8" spans="1:4" ht="15.75">
      <c r="A8" s="177"/>
      <c r="B8" s="177"/>
      <c r="C8" s="177"/>
      <c r="D8" s="177"/>
    </row>
    <row r="9" spans="1:5" ht="15.75">
      <c r="A9" s="177" t="s">
        <v>203</v>
      </c>
      <c r="B9" s="116" t="s">
        <v>5</v>
      </c>
      <c r="C9" s="116"/>
      <c r="D9" s="116"/>
      <c r="E9" s="257"/>
    </row>
    <row r="10" spans="1:4" ht="15.75">
      <c r="A10" s="177"/>
      <c r="B10" s="177"/>
      <c r="C10" s="177"/>
      <c r="D10" s="177"/>
    </row>
    <row r="11" spans="1:4" ht="15.75">
      <c r="A11" s="177"/>
      <c r="B11" s="177"/>
      <c r="C11" s="177"/>
      <c r="D11" s="177"/>
    </row>
    <row r="12" spans="1:5" ht="15.75">
      <c r="A12" s="177" t="s">
        <v>204</v>
      </c>
      <c r="B12" s="116"/>
      <c r="C12" s="116"/>
      <c r="D12" s="116"/>
      <c r="E12" s="257"/>
    </row>
    <row r="15" spans="1:5" ht="15.75">
      <c r="A15" s="312" t="s">
        <v>207</v>
      </c>
      <c r="B15" s="312"/>
      <c r="C15" s="177"/>
      <c r="D15" s="177"/>
      <c r="E15" s="177"/>
    </row>
    <row r="16" spans="1:5" ht="15.75">
      <c r="A16" s="177"/>
      <c r="B16" s="177"/>
      <c r="C16" s="177"/>
      <c r="D16" s="177"/>
      <c r="E16" s="177"/>
    </row>
    <row r="17" spans="1:5" ht="15.75">
      <c r="A17" s="177" t="s">
        <v>201</v>
      </c>
      <c r="B17" s="254" t="s">
        <v>205</v>
      </c>
      <c r="C17" s="177"/>
      <c r="D17" s="177"/>
      <c r="E17" s="177"/>
    </row>
    <row r="18" spans="1:5" ht="15.75">
      <c r="A18" s="177"/>
      <c r="B18" s="177"/>
      <c r="C18" s="177"/>
      <c r="D18" s="177"/>
      <c r="E18" s="177"/>
    </row>
    <row r="19" spans="1:5" ht="15.75">
      <c r="A19" s="177" t="s">
        <v>202</v>
      </c>
      <c r="B19" s="177" t="s">
        <v>208</v>
      </c>
      <c r="C19" s="177"/>
      <c r="D19" s="177"/>
      <c r="E19" s="177"/>
    </row>
    <row r="20" spans="1:5" ht="15.75">
      <c r="A20" s="177"/>
      <c r="B20" s="177"/>
      <c r="C20" s="177"/>
      <c r="D20" s="177"/>
      <c r="E20" s="177"/>
    </row>
    <row r="21" spans="1:5" ht="15.75">
      <c r="A21" s="177" t="s">
        <v>203</v>
      </c>
      <c r="B21" s="177" t="s">
        <v>209</v>
      </c>
      <c r="C21" s="177"/>
      <c r="D21" s="177"/>
      <c r="E21" s="177"/>
    </row>
    <row r="22" spans="1:5" ht="15.75">
      <c r="A22" s="177"/>
      <c r="B22" s="177"/>
      <c r="C22" s="177"/>
      <c r="D22" s="177"/>
      <c r="E22" s="177"/>
    </row>
    <row r="23" spans="1:5" ht="15.75">
      <c r="A23" s="177" t="s">
        <v>204</v>
      </c>
      <c r="B23" s="177" t="s">
        <v>210</v>
      </c>
      <c r="C23" s="177"/>
      <c r="D23" s="177"/>
      <c r="E23" s="177"/>
    </row>
  </sheetData>
  <sheetProtection/>
  <mergeCells count="2">
    <mergeCell ref="A2:F2"/>
    <mergeCell ref="A15:B1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zoomScalePageLayoutView="0" workbookViewId="0" topLeftCell="A1">
      <selection activeCell="D22" sqref="D22"/>
    </sheetView>
  </sheetViews>
  <sheetFormatPr defaultColWidth="8.796875" defaultRowHeight="15.75"/>
  <cols>
    <col min="1" max="1" width="22.3984375" style="109" customWidth="1"/>
    <col min="2" max="2" width="10.8984375" style="109" customWidth="1"/>
    <col min="3" max="3" width="5.69921875" style="109" customWidth="1"/>
    <col min="4" max="4" width="15.69921875" style="109" customWidth="1"/>
    <col min="5" max="5" width="12.69921875" style="109" customWidth="1"/>
    <col min="6" max="6" width="10.69921875" style="109" customWidth="1"/>
    <col min="7" max="16384" width="8.796875" style="109" customWidth="1"/>
  </cols>
  <sheetData>
    <row r="1" spans="1:7" s="66" customFormat="1" ht="15.75">
      <c r="A1" s="323" t="s">
        <v>20</v>
      </c>
      <c r="B1" s="323"/>
      <c r="C1" s="323"/>
      <c r="D1" s="323"/>
      <c r="E1" s="323"/>
      <c r="F1" s="323"/>
      <c r="G1" s="66">
        <f>inputPrYr!D9</f>
        <v>2012</v>
      </c>
    </row>
    <row r="2" spans="2:6" s="66" customFormat="1" ht="15.75">
      <c r="B2" s="67"/>
      <c r="C2" s="67"/>
      <c r="D2" s="67"/>
      <c r="E2" s="67"/>
      <c r="F2" s="68"/>
    </row>
    <row r="3" spans="1:7" s="66" customFormat="1" ht="15.75">
      <c r="A3" s="327" t="str">
        <f>CONCATENATE("To the Clerk of ",inputPrYr!D4,", State of Kansas")</f>
        <v>To the Clerk of Smith County, State of Kansas</v>
      </c>
      <c r="B3" s="328"/>
      <c r="C3" s="328"/>
      <c r="D3" s="328"/>
      <c r="E3" s="328"/>
      <c r="F3" s="328"/>
      <c r="G3" s="328"/>
    </row>
    <row r="4" spans="1:6" s="66" customFormat="1" ht="15.75">
      <c r="A4" s="70" t="s">
        <v>85</v>
      </c>
      <c r="B4" s="67"/>
      <c r="C4" s="67"/>
      <c r="D4" s="67"/>
      <c r="E4" s="67"/>
      <c r="F4" s="67"/>
    </row>
    <row r="5" s="66" customFormat="1" ht="15.75">
      <c r="C5" s="264" t="str">
        <f>inputPrYr!D3</f>
        <v>Cedar Township</v>
      </c>
    </row>
    <row r="6" spans="1:6" s="66" customFormat="1" ht="15.75">
      <c r="A6" s="332" t="s">
        <v>83</v>
      </c>
      <c r="B6" s="328"/>
      <c r="C6" s="328"/>
      <c r="D6" s="328"/>
      <c r="E6" s="328"/>
      <c r="F6" s="328"/>
    </row>
    <row r="7" spans="1:6" s="66" customFormat="1" ht="15.75" customHeight="1">
      <c r="A7" s="327" t="s">
        <v>84</v>
      </c>
      <c r="B7" s="333"/>
      <c r="C7" s="333"/>
      <c r="D7" s="333"/>
      <c r="E7" s="333"/>
      <c r="F7" s="333"/>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329" t="str">
        <f>CONCATENATE("",G1," Adopted Budget")</f>
        <v>2012 Adopted Budget</v>
      </c>
      <c r="E11" s="330"/>
      <c r="F11" s="331"/>
    </row>
    <row r="12" spans="1:6" s="66" customFormat="1" ht="15.75">
      <c r="A12" s="73"/>
      <c r="C12" s="71"/>
      <c r="D12" s="74" t="s">
        <v>142</v>
      </c>
      <c r="E12" s="324" t="str">
        <f>CONCATENATE("Amount of ",G1-1," Ad Valorem Tax")</f>
        <v>Amount of 2011 Ad Valorem Tax</v>
      </c>
      <c r="F12" s="75" t="s">
        <v>143</v>
      </c>
    </row>
    <row r="13" spans="3:6" s="66" customFormat="1" ht="15.75">
      <c r="C13" s="75" t="s">
        <v>144</v>
      </c>
      <c r="D13" s="290" t="s">
        <v>119</v>
      </c>
      <c r="E13" s="325"/>
      <c r="F13" s="76" t="s">
        <v>145</v>
      </c>
    </row>
    <row r="14" spans="1:6" s="66" customFormat="1" ht="15.75">
      <c r="A14" s="77" t="s">
        <v>146</v>
      </c>
      <c r="B14" s="78"/>
      <c r="C14" s="79" t="s">
        <v>147</v>
      </c>
      <c r="D14" s="79" t="s">
        <v>214</v>
      </c>
      <c r="E14" s="326"/>
      <c r="F14" s="79" t="s">
        <v>148</v>
      </c>
    </row>
    <row r="15" spans="1:6" s="66" customFormat="1" ht="15.75">
      <c r="A15" s="80" t="str">
        <f>CONCATENATE("Computation to Determine Limit for ",G1,"")</f>
        <v>Computation to Determine Limit for 2012</v>
      </c>
      <c r="B15" s="81"/>
      <c r="C15" s="75">
        <v>2</v>
      </c>
      <c r="D15" s="72"/>
      <c r="E15" s="72"/>
      <c r="F15" s="82"/>
    </row>
    <row r="16" spans="1:6" s="66" customFormat="1" ht="15.75">
      <c r="A16" s="80" t="s">
        <v>117</v>
      </c>
      <c r="B16" s="81"/>
      <c r="C16" s="83">
        <v>3</v>
      </c>
      <c r="D16" s="72"/>
      <c r="E16" s="72"/>
      <c r="F16" s="84"/>
    </row>
    <row r="17" spans="1:6" s="66" customFormat="1" ht="15.75">
      <c r="A17" s="86" t="s">
        <v>149</v>
      </c>
      <c r="B17" s="87" t="s">
        <v>150</v>
      </c>
      <c r="C17" s="88"/>
      <c r="F17" s="89"/>
    </row>
    <row r="18" spans="1:6" s="66" customFormat="1" ht="15.75">
      <c r="A18" s="90" t="str">
        <f>inputPrYr!B20</f>
        <v>General</v>
      </c>
      <c r="B18" s="91" t="str">
        <f>inputPrYr!C20</f>
        <v>79-1962</v>
      </c>
      <c r="C18" s="92">
        <f>IF(gen!$B$51&gt;0,gen!$B$51,"  ")</f>
        <v>4</v>
      </c>
      <c r="D18" s="83">
        <f>IF(gen!$G$41&lt;&gt;0,gen!$G$41,"  ")</f>
        <v>10035</v>
      </c>
      <c r="E18" s="83">
        <f>IF(gen!$G$47&lt;&gt;0,gen!$G$47,0)</f>
        <v>1588</v>
      </c>
      <c r="F18" s="93" t="str">
        <f>IF(AND(gen!G47=0,$B$31&gt;=0)," ",IF(AND(E18&gt;0,$B$31=0)," ",IF(AND(E18&gt;0,$B$31&gt;0),ROUND(E18/$B$31*1000,3))))</f>
        <v> </v>
      </c>
    </row>
    <row r="19" spans="1:6" s="66" customFormat="1" ht="15.75">
      <c r="A19" s="90"/>
      <c r="B19" s="91"/>
      <c r="C19" s="92"/>
      <c r="D19" s="83"/>
      <c r="E19" s="83"/>
      <c r="F19" s="93"/>
    </row>
    <row r="20" spans="1:6" s="66" customFormat="1" ht="15.75">
      <c r="A20" s="90"/>
      <c r="B20" s="91"/>
      <c r="C20" s="92"/>
      <c r="D20" s="83"/>
      <c r="E20" s="83"/>
      <c r="F20" s="93"/>
    </row>
    <row r="21" spans="1:6" s="66" customFormat="1" ht="15.75">
      <c r="A21" s="90" t="str">
        <f>IF(inputPrYr!$B23&gt;"  ",inputPrYr!$B23,"  ")</f>
        <v>  </v>
      </c>
      <c r="B21" s="91" t="str">
        <f>IF(inputPrYr!C23&gt;0,inputPrYr!C23,"  ")</f>
        <v>  </v>
      </c>
      <c r="C21" s="92"/>
      <c r="D21" s="83"/>
      <c r="E21" s="83"/>
      <c r="F21" s="93"/>
    </row>
    <row r="22" spans="1:6" s="66" customFormat="1" ht="15.75">
      <c r="A22" s="90" t="str">
        <f>IF(inputPrYr!$B24&gt;"  ",inputPrYr!$B24,"  ")</f>
        <v>  </v>
      </c>
      <c r="B22" s="91" t="str">
        <f>IF(inputPrYr!C24&gt;0,inputPrYr!C24,"  ")</f>
        <v>  </v>
      </c>
      <c r="C22" s="92"/>
      <c r="D22" s="83"/>
      <c r="E22" s="83"/>
      <c r="F22" s="93"/>
    </row>
    <row r="23" spans="1:6" s="66" customFormat="1" ht="15.75">
      <c r="A23" s="90" t="str">
        <f>IF(inputPrYr!$B25&gt;"  ",inputPrYr!$B25,"  ")</f>
        <v>  </v>
      </c>
      <c r="B23" s="91" t="str">
        <f>IF(inputPrYr!C25&gt;0,inputPrYr!C25,"  ")</f>
        <v>  </v>
      </c>
      <c r="C23" s="92"/>
      <c r="D23" s="83"/>
      <c r="E23" s="83"/>
      <c r="F23" s="93"/>
    </row>
    <row r="24" spans="1:6" s="66" customFormat="1" ht="16.5" thickBot="1">
      <c r="A24" s="95" t="s">
        <v>151</v>
      </c>
      <c r="B24" s="89"/>
      <c r="C24" s="96" t="s">
        <v>152</v>
      </c>
      <c r="D24" s="269">
        <f>SUM(D18:D23)</f>
        <v>10035</v>
      </c>
      <c r="E24" s="269">
        <f>SUM(E18:E23)</f>
        <v>1588</v>
      </c>
      <c r="F24" s="276">
        <f>IF(SUM(F18:F23)&gt;0,SUM(F18:F23),"")</f>
      </c>
    </row>
    <row r="25" spans="1:3" s="66" customFormat="1" ht="16.5" thickTop="1">
      <c r="A25" s="85" t="s">
        <v>97</v>
      </c>
      <c r="B25" s="81"/>
      <c r="C25" s="94">
        <f>summ!C41</f>
        <v>6</v>
      </c>
    </row>
    <row r="26" spans="1:5" s="66" customFormat="1" ht="15.75">
      <c r="A26" s="80" t="s">
        <v>114</v>
      </c>
      <c r="B26" s="81"/>
      <c r="C26" s="94">
        <f>IF(nhood!C35&gt;0,nhood!C35,"")</f>
        <v>7</v>
      </c>
      <c r="D26" s="97" t="s">
        <v>87</v>
      </c>
      <c r="E26" s="98" t="str">
        <f>IF(E24&gt;computation!J34,"Yes","No")</f>
        <v>No</v>
      </c>
    </row>
    <row r="27" spans="1:5" s="66" customFormat="1" ht="15.75">
      <c r="A27" s="85" t="s">
        <v>86</v>
      </c>
      <c r="B27" s="81"/>
      <c r="C27" s="94">
        <f>IF(Resolution!D50&gt;0,Resolution!D50,"")</f>
      </c>
      <c r="D27" s="99"/>
      <c r="E27" s="100"/>
    </row>
    <row r="28" spans="1:6" s="66" customFormat="1" ht="15.75">
      <c r="A28" s="101" t="s">
        <v>46</v>
      </c>
      <c r="B28" s="313" t="s">
        <v>64</v>
      </c>
      <c r="C28" s="314"/>
      <c r="D28" s="102"/>
      <c r="F28" s="73" t="s">
        <v>153</v>
      </c>
    </row>
    <row r="29" spans="1:6" s="66" customFormat="1" ht="15.75">
      <c r="A29" s="101" t="str">
        <f>inputPrYr!D3</f>
        <v>Cedar Township</v>
      </c>
      <c r="B29" s="315"/>
      <c r="C29" s="316"/>
      <c r="D29" s="103"/>
      <c r="F29" s="73"/>
    </row>
    <row r="30" spans="1:6" s="66" customFormat="1" ht="15.75">
      <c r="A30" s="101" t="str">
        <f>inputPrYr!D6</f>
        <v>Kensignton</v>
      </c>
      <c r="B30" s="315"/>
      <c r="C30" s="322"/>
      <c r="D30" s="103"/>
      <c r="F30" s="73"/>
    </row>
    <row r="31" spans="1:6" s="66" customFormat="1" ht="15.75">
      <c r="A31" s="101" t="s">
        <v>101</v>
      </c>
      <c r="B31" s="320">
        <f>SUM(B29:C30)</f>
        <v>0</v>
      </c>
      <c r="C31" s="321"/>
      <c r="D31" s="103"/>
      <c r="F31" s="73"/>
    </row>
    <row r="32" spans="1:6" s="66" customFormat="1" ht="15.75">
      <c r="A32" s="104"/>
      <c r="B32" s="317" t="s">
        <v>63</v>
      </c>
      <c r="C32" s="318"/>
      <c r="D32" s="102"/>
      <c r="F32" s="73"/>
    </row>
    <row r="33" spans="1:6" s="66" customFormat="1" ht="15.75">
      <c r="A33" s="104" t="s">
        <v>154</v>
      </c>
      <c r="D33" s="72"/>
      <c r="F33" s="73"/>
    </row>
    <row r="34" spans="1:6" s="66" customFormat="1" ht="15.75">
      <c r="A34" s="262" t="s">
        <v>7</v>
      </c>
      <c r="D34" s="102"/>
      <c r="E34" s="72"/>
      <c r="F34" s="72"/>
    </row>
    <row r="35" spans="1:2" s="66" customFormat="1" ht="15.75">
      <c r="A35" s="263" t="s">
        <v>8</v>
      </c>
      <c r="B35" s="71"/>
    </row>
    <row r="36" spans="1:6" s="66" customFormat="1" ht="15.75">
      <c r="A36" s="104" t="s">
        <v>78</v>
      </c>
      <c r="D36" s="78"/>
      <c r="E36" s="78"/>
      <c r="F36" s="78"/>
    </row>
    <row r="37" spans="1:3" s="66" customFormat="1" ht="15.75">
      <c r="A37" s="262" t="s">
        <v>9</v>
      </c>
      <c r="C37" s="73"/>
    </row>
    <row r="38" spans="1:6" s="66" customFormat="1" ht="15.75">
      <c r="A38" s="263" t="s">
        <v>10</v>
      </c>
      <c r="B38" s="73"/>
      <c r="D38" s="78"/>
      <c r="E38" s="106"/>
      <c r="F38" s="106"/>
    </row>
    <row r="39" spans="1:7" ht="15.75">
      <c r="A39" s="263"/>
      <c r="B39" s="71"/>
      <c r="C39" s="66"/>
      <c r="D39" s="66"/>
      <c r="E39" s="66"/>
      <c r="F39" s="66"/>
      <c r="G39" s="108"/>
    </row>
    <row r="40" spans="1:7" ht="15.75">
      <c r="A40" s="71"/>
      <c r="B40" s="71"/>
      <c r="C40" s="66"/>
      <c r="D40" s="78"/>
      <c r="E40" s="106"/>
      <c r="F40" s="106"/>
      <c r="G40" s="108"/>
    </row>
    <row r="41" spans="1:7" ht="15.75">
      <c r="A41" s="71"/>
      <c r="B41" s="66"/>
      <c r="C41" s="66"/>
      <c r="D41" s="66"/>
      <c r="E41" s="66"/>
      <c r="F41" s="66"/>
      <c r="G41" s="108"/>
    </row>
    <row r="42" spans="1:7" ht="15.75">
      <c r="A42" s="73" t="s">
        <v>82</v>
      </c>
      <c r="B42" s="112">
        <f>G1-1</f>
        <v>2011</v>
      </c>
      <c r="C42" s="66"/>
      <c r="D42" s="78"/>
      <c r="E42" s="106"/>
      <c r="F42" s="106"/>
      <c r="G42" s="108"/>
    </row>
    <row r="43" spans="1:7" ht="15.75">
      <c r="A43" s="66"/>
      <c r="B43" s="66"/>
      <c r="C43" s="66"/>
      <c r="D43" s="66"/>
      <c r="E43" s="73"/>
      <c r="F43" s="66"/>
      <c r="G43" s="108"/>
    </row>
    <row r="44" spans="1:7" ht="15.75">
      <c r="A44" s="106"/>
      <c r="B44" s="66"/>
      <c r="C44" s="66"/>
      <c r="D44" s="78"/>
      <c r="E44" s="78"/>
      <c r="F44" s="78"/>
      <c r="G44" s="108"/>
    </row>
    <row r="45" spans="1:6" ht="15.75">
      <c r="A45" s="69" t="s">
        <v>156</v>
      </c>
      <c r="B45" s="66"/>
      <c r="C45" s="66"/>
      <c r="D45" s="319" t="s">
        <v>155</v>
      </c>
      <c r="E45" s="318"/>
      <c r="F45" s="318"/>
    </row>
    <row r="46" spans="1:6" ht="15.75">
      <c r="A46" s="66"/>
      <c r="B46" s="66"/>
      <c r="C46" s="66"/>
      <c r="D46" s="66"/>
      <c r="E46" s="66"/>
      <c r="F46" s="66"/>
    </row>
    <row r="47" spans="1:6" ht="15.75">
      <c r="A47" s="66"/>
      <c r="B47" s="66"/>
      <c r="C47" s="66"/>
      <c r="D47" s="66"/>
      <c r="E47" s="66"/>
      <c r="F47" s="66"/>
    </row>
    <row r="48" spans="1:6" ht="15.75">
      <c r="A48" s="66"/>
      <c r="B48" s="66"/>
      <c r="C48" s="66"/>
      <c r="D48" s="66"/>
      <c r="E48" s="66"/>
      <c r="F48" s="66"/>
    </row>
    <row r="49" spans="1:6" ht="15.75">
      <c r="A49" s="111" t="s">
        <v>157</v>
      </c>
      <c r="B49" s="110"/>
      <c r="C49" s="110"/>
      <c r="D49" s="110"/>
      <c r="E49" s="110"/>
      <c r="F49" s="66"/>
    </row>
    <row r="50" spans="1:6" ht="15.75">
      <c r="A50" s="111" t="s">
        <v>158</v>
      </c>
      <c r="B50" s="110"/>
      <c r="C50" s="110"/>
      <c r="D50" s="110"/>
      <c r="E50" s="110"/>
      <c r="F50" s="66"/>
    </row>
    <row r="51" spans="1:6" ht="15.75">
      <c r="A51" s="111"/>
      <c r="B51" s="110"/>
      <c r="C51" s="110"/>
      <c r="D51" s="110"/>
      <c r="E51" s="110"/>
      <c r="F51" s="66"/>
    </row>
    <row r="52" spans="1:6" ht="15.75">
      <c r="A52" s="66"/>
      <c r="B52" s="66"/>
      <c r="C52" s="66"/>
      <c r="D52" s="66"/>
      <c r="E52" s="66"/>
      <c r="F52" s="66"/>
    </row>
    <row r="53" spans="1:6" ht="15.75">
      <c r="A53" s="73" t="str">
        <f>CONCATENATE("Salaries and Wages:  Please report here the total amount of salaries and wages paid in ",G1-2," by the township")</f>
        <v>Salaries and Wages:  Please report here the total amount of salaries and wages paid in 2010 by the township</v>
      </c>
      <c r="B53" s="66"/>
      <c r="C53" s="66"/>
      <c r="D53" s="66"/>
      <c r="E53" s="66"/>
      <c r="F53" s="66"/>
    </row>
    <row r="54" spans="1:6" ht="15.75">
      <c r="A54" s="73" t="str">
        <f>CONCATENATE("to all employees, full and part-time.  This figure may be taken from the ",G1-2," W-3 form that your township filed")</f>
        <v>to all employees, full and part-time.  This figure may be taken from the 2010 W-3 form that your township filed</v>
      </c>
      <c r="B54" s="66"/>
      <c r="C54" s="66"/>
      <c r="D54" s="66"/>
      <c r="E54" s="66"/>
      <c r="F54" s="66"/>
    </row>
    <row r="55" spans="1:6" ht="15.75">
      <c r="A55" s="73" t="s">
        <v>159</v>
      </c>
      <c r="B55" s="66"/>
      <c r="C55" s="66"/>
      <c r="D55" s="113" t="s">
        <v>160</v>
      </c>
      <c r="E55" s="114"/>
      <c r="F55" s="66"/>
    </row>
  </sheetData>
  <sheetProtection/>
  <mergeCells count="12">
    <mergeCell ref="A1:F1"/>
    <mergeCell ref="E12:E14"/>
    <mergeCell ref="A3:G3"/>
    <mergeCell ref="D11:F11"/>
    <mergeCell ref="A6:F6"/>
    <mergeCell ref="A7:F7"/>
    <mergeCell ref="B28:C28"/>
    <mergeCell ref="B29:C29"/>
    <mergeCell ref="B32:C32"/>
    <mergeCell ref="D45:F45"/>
    <mergeCell ref="B31:C31"/>
    <mergeCell ref="B30:C30"/>
  </mergeCells>
  <conditionalFormatting sqref="E18">
    <cfRule type="cellIs" priority="1" dxfId="12" operator="equal" stopIfTrue="1">
      <formula>0</formula>
    </cfRule>
  </conditionalFormatting>
  <printOptions/>
  <pageMargins left="0.58" right="0.56" top="0.83" bottom="0.85" header="0.3" footer="0.6"/>
  <pageSetup blackAndWhite="1" fitToHeight="1" fitToWidth="1" horizontalDpi="300" verticalDpi="300" orientation="portrait" scale="84" r:id="rId1"/>
  <headerFooter alignWithMargins="0">
    <oddHeader>&amp;RState of Kansas
Township
</oddHeader>
    <oddFooter>&amp;Lrevised 12/08/09&amp;CPage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5">
      <selection activeCell="C20" sqref="C20"/>
    </sheetView>
  </sheetViews>
  <sheetFormatPr defaultColWidth="8.796875" defaultRowHeight="15.75"/>
  <cols>
    <col min="1" max="2" width="3" style="109" customWidth="1"/>
    <col min="3" max="3" width="28.19921875" style="109" customWidth="1"/>
    <col min="4" max="4" width="2.09765625" style="109" customWidth="1"/>
    <col min="5" max="5" width="15.69921875" style="109" customWidth="1"/>
    <col min="6" max="6" width="1.796875" style="109" customWidth="1"/>
    <col min="7" max="7" width="15.69921875" style="109" customWidth="1"/>
    <col min="8" max="8" width="1.69921875" style="109" customWidth="1"/>
    <col min="9" max="9" width="1.59765625" style="109" customWidth="1"/>
    <col min="10" max="10" width="15.69921875" style="109" customWidth="1"/>
    <col min="11" max="16384" width="8.796875" style="109" customWidth="1"/>
  </cols>
  <sheetData>
    <row r="1" spans="1:10" ht="15.75">
      <c r="A1" s="66"/>
      <c r="B1" s="66"/>
      <c r="C1" s="275" t="str">
        <f>inputPrYr!D3</f>
        <v>Cedar Township</v>
      </c>
      <c r="D1" s="66"/>
      <c r="E1" s="66"/>
      <c r="F1" s="66"/>
      <c r="G1" s="66"/>
      <c r="H1" s="66"/>
      <c r="I1" s="66"/>
      <c r="J1" s="66">
        <f>inputPrYr!D9</f>
        <v>2012</v>
      </c>
    </row>
    <row r="2" spans="1:10" ht="15.75">
      <c r="A2" s="66"/>
      <c r="B2" s="66"/>
      <c r="C2" s="66"/>
      <c r="D2" s="66"/>
      <c r="E2" s="66"/>
      <c r="F2" s="66"/>
      <c r="G2" s="66"/>
      <c r="H2" s="66"/>
      <c r="I2" s="66"/>
      <c r="J2" s="66"/>
    </row>
    <row r="3" spans="1:10" ht="15.75">
      <c r="A3" s="335" t="str">
        <f>CONCATENATE("Computation to Determine Limit for ",J1,"")</f>
        <v>Computation to Determine Limit for 2012</v>
      </c>
      <c r="B3" s="323"/>
      <c r="C3" s="323"/>
      <c r="D3" s="323"/>
      <c r="E3" s="323"/>
      <c r="F3" s="323"/>
      <c r="G3" s="323"/>
      <c r="H3" s="323"/>
      <c r="I3" s="323"/>
      <c r="J3" s="323"/>
    </row>
    <row r="4" spans="1:10" ht="15.75">
      <c r="A4" s="66"/>
      <c r="B4" s="66"/>
      <c r="C4" s="66"/>
      <c r="D4" s="66"/>
      <c r="E4" s="323"/>
      <c r="F4" s="323"/>
      <c r="G4" s="323"/>
      <c r="H4" s="65"/>
      <c r="I4" s="66"/>
      <c r="J4" s="199" t="s">
        <v>28</v>
      </c>
    </row>
    <row r="5" spans="1:10" ht="15.75">
      <c r="A5" s="200" t="s">
        <v>29</v>
      </c>
      <c r="B5" s="66" t="str">
        <f>CONCATENATE("Total Tax Levy Amount in ",J1-1,"")</f>
        <v>Total Tax Levy Amount in 2011</v>
      </c>
      <c r="C5" s="66"/>
      <c r="D5" s="66"/>
      <c r="E5" s="152"/>
      <c r="F5" s="152"/>
      <c r="G5" s="152"/>
      <c r="H5" s="201" t="s">
        <v>171</v>
      </c>
      <c r="I5" s="152" t="s">
        <v>160</v>
      </c>
      <c r="J5" s="202">
        <f>inputPrYr!E28</f>
        <v>1579</v>
      </c>
    </row>
    <row r="6" spans="1:10" ht="15.75">
      <c r="A6" s="200" t="s">
        <v>30</v>
      </c>
      <c r="B6" s="66" t="str">
        <f>CONCATENATE("Debt Service Levy in ",J1-1,"")</f>
        <v>Debt Service Levy in 2011</v>
      </c>
      <c r="C6" s="66"/>
      <c r="D6" s="66"/>
      <c r="E6" s="152"/>
      <c r="F6" s="152"/>
      <c r="G6" s="152"/>
      <c r="H6" s="201" t="s">
        <v>31</v>
      </c>
      <c r="I6" s="152" t="s">
        <v>160</v>
      </c>
      <c r="J6" s="203">
        <v>0</v>
      </c>
    </row>
    <row r="7" spans="1:10" ht="15.75">
      <c r="A7" s="200" t="s">
        <v>32</v>
      </c>
      <c r="B7" s="121" t="s">
        <v>48</v>
      </c>
      <c r="C7" s="66"/>
      <c r="D7" s="66"/>
      <c r="E7" s="152"/>
      <c r="F7" s="152"/>
      <c r="G7" s="152"/>
      <c r="H7" s="152"/>
      <c r="I7" s="152" t="s">
        <v>160</v>
      </c>
      <c r="J7" s="204">
        <f>J5-J6</f>
        <v>1579</v>
      </c>
    </row>
    <row r="8" spans="1:10" ht="15.75">
      <c r="A8" s="66"/>
      <c r="B8" s="66"/>
      <c r="C8" s="66"/>
      <c r="D8" s="66"/>
      <c r="E8" s="152"/>
      <c r="F8" s="152"/>
      <c r="G8" s="152"/>
      <c r="H8" s="152"/>
      <c r="I8" s="152"/>
      <c r="J8" s="152"/>
    </row>
    <row r="9" spans="1:10" ht="15.75">
      <c r="A9" s="66"/>
      <c r="B9" s="121" t="str">
        <f>CONCATENATE("",J1-1," Valuation Information for Valuation Adjustments:")</f>
        <v>2011 Valuation Information for Valuation Adjustments:</v>
      </c>
      <c r="C9" s="66"/>
      <c r="D9" s="66"/>
      <c r="E9" s="152"/>
      <c r="F9" s="152"/>
      <c r="G9" s="152"/>
      <c r="H9" s="152"/>
      <c r="I9" s="152"/>
      <c r="J9" s="152"/>
    </row>
    <row r="10" spans="1:10" ht="15.75">
      <c r="A10" s="66"/>
      <c r="B10" s="66"/>
      <c r="C10" s="121"/>
      <c r="D10" s="66"/>
      <c r="E10" s="152"/>
      <c r="F10" s="152"/>
      <c r="G10" s="152"/>
      <c r="H10" s="152"/>
      <c r="I10" s="152"/>
      <c r="J10" s="152"/>
    </row>
    <row r="11" spans="1:10" ht="15.75">
      <c r="A11" s="200" t="s">
        <v>33</v>
      </c>
      <c r="B11" s="121" t="str">
        <f>CONCATENATE("New Improvements for ",J1-1,":")</f>
        <v>New Improvements for 2011:</v>
      </c>
      <c r="C11" s="66"/>
      <c r="D11" s="66"/>
      <c r="E11" s="201"/>
      <c r="F11" s="201" t="s">
        <v>171</v>
      </c>
      <c r="G11" s="191">
        <f>inputOth!E16</f>
        <v>36377</v>
      </c>
      <c r="H11" s="205"/>
      <c r="I11" s="152"/>
      <c r="J11" s="152"/>
    </row>
    <row r="12" spans="1:10" ht="15.75">
      <c r="A12" s="200"/>
      <c r="B12" s="200"/>
      <c r="C12" s="66"/>
      <c r="D12" s="66"/>
      <c r="E12" s="201"/>
      <c r="F12" s="201"/>
      <c r="G12" s="205"/>
      <c r="H12" s="205"/>
      <c r="I12" s="152"/>
      <c r="J12" s="152"/>
    </row>
    <row r="13" spans="1:10" ht="15.75">
      <c r="A13" s="200" t="s">
        <v>34</v>
      </c>
      <c r="B13" s="121" t="str">
        <f>CONCATENATE("Increase in Personal Property for ",J1-1,":")</f>
        <v>Increase in Personal Property for 2011:</v>
      </c>
      <c r="C13" s="66"/>
      <c r="D13" s="66"/>
      <c r="E13" s="201"/>
      <c r="F13" s="201"/>
      <c r="G13" s="205"/>
      <c r="H13" s="205"/>
      <c r="I13" s="152"/>
      <c r="J13" s="152"/>
    </row>
    <row r="14" spans="1:10" ht="15.75">
      <c r="A14" s="66"/>
      <c r="B14" s="66" t="s">
        <v>35</v>
      </c>
      <c r="C14" s="66" t="str">
        <f>CONCATENATE("Personal Property ",J1-1,"")</f>
        <v>Personal Property 2011</v>
      </c>
      <c r="D14" s="200" t="s">
        <v>171</v>
      </c>
      <c r="E14" s="191">
        <f>inputOth!E21</f>
        <v>60990</v>
      </c>
      <c r="F14" s="201"/>
      <c r="G14" s="152"/>
      <c r="H14" s="152"/>
      <c r="I14" s="205"/>
      <c r="J14" s="152"/>
    </row>
    <row r="15" spans="1:10" ht="15.75">
      <c r="A15" s="200"/>
      <c r="B15" s="66" t="s">
        <v>36</v>
      </c>
      <c r="C15" s="66" t="str">
        <f>CONCATENATE("Personal Property ",J1-2,"")</f>
        <v>Personal Property 2010</v>
      </c>
      <c r="D15" s="200" t="s">
        <v>31</v>
      </c>
      <c r="E15" s="204">
        <f>inputOth!E31</f>
        <v>55921</v>
      </c>
      <c r="F15" s="201"/>
      <c r="G15" s="205"/>
      <c r="H15" s="205"/>
      <c r="I15" s="152"/>
      <c r="J15" s="152"/>
    </row>
    <row r="16" spans="1:10" ht="15.75">
      <c r="A16" s="200"/>
      <c r="B16" s="66" t="s">
        <v>37</v>
      </c>
      <c r="C16" s="66" t="s">
        <v>49</v>
      </c>
      <c r="D16" s="66"/>
      <c r="E16" s="152"/>
      <c r="F16" s="152" t="s">
        <v>171</v>
      </c>
      <c r="G16" s="191">
        <f>IF(E14&gt;E15,E14-E15,0)</f>
        <v>5069</v>
      </c>
      <c r="H16" s="205"/>
      <c r="I16" s="152"/>
      <c r="J16" s="152"/>
    </row>
    <row r="17" spans="1:10" ht="15.75">
      <c r="A17" s="200"/>
      <c r="B17" s="200"/>
      <c r="C17" s="66"/>
      <c r="D17" s="66"/>
      <c r="E17" s="152"/>
      <c r="F17" s="152"/>
      <c r="G17" s="205" t="s">
        <v>45</v>
      </c>
      <c r="H17" s="205"/>
      <c r="I17" s="152"/>
      <c r="J17" s="152"/>
    </row>
    <row r="18" spans="1:10" ht="15.75">
      <c r="A18" s="200" t="s">
        <v>38</v>
      </c>
      <c r="B18" s="121" t="str">
        <f>CONCATENATE("Valuation of Property that has Changed in Use during ",J1-1,":")</f>
        <v>Valuation of Property that has Changed in Use during 2011:</v>
      </c>
      <c r="C18" s="66"/>
      <c r="D18" s="66"/>
      <c r="E18" s="152"/>
      <c r="F18" s="201" t="s">
        <v>171</v>
      </c>
      <c r="G18" s="191">
        <f>inputOth!E26</f>
        <v>11001</v>
      </c>
      <c r="H18" s="152"/>
      <c r="I18" s="152"/>
      <c r="J18" s="152"/>
    </row>
    <row r="19" spans="1:10" ht="15.75">
      <c r="A19" s="66" t="s">
        <v>142</v>
      </c>
      <c r="B19" s="66"/>
      <c r="C19" s="66"/>
      <c r="D19" s="200"/>
      <c r="E19" s="205"/>
      <c r="F19" s="205"/>
      <c r="G19" s="205"/>
      <c r="H19" s="152"/>
      <c r="I19" s="152"/>
      <c r="J19" s="152"/>
    </row>
    <row r="20" spans="1:10" ht="15.75">
      <c r="A20" s="200" t="s">
        <v>39</v>
      </c>
      <c r="B20" s="121" t="s">
        <v>50</v>
      </c>
      <c r="C20" s="66"/>
      <c r="D20" s="66"/>
      <c r="E20" s="152"/>
      <c r="F20" s="152"/>
      <c r="G20" s="191">
        <f>G11+G16+G18</f>
        <v>52447</v>
      </c>
      <c r="H20" s="205"/>
      <c r="I20" s="152"/>
      <c r="J20" s="152"/>
    </row>
    <row r="21" spans="1:10" ht="15.75">
      <c r="A21" s="200"/>
      <c r="B21" s="200"/>
      <c r="C21" s="121"/>
      <c r="D21" s="66"/>
      <c r="E21" s="152"/>
      <c r="F21" s="152"/>
      <c r="G21" s="205"/>
      <c r="H21" s="205"/>
      <c r="I21" s="152"/>
      <c r="J21" s="152"/>
    </row>
    <row r="22" spans="1:10" ht="15.75">
      <c r="A22" s="200" t="s">
        <v>40</v>
      </c>
      <c r="B22" s="66" t="str">
        <f>CONCATENATE("Total Estimated Valuation July 1,",J1-1,"")</f>
        <v>Total Estimated Valuation July 1,2011</v>
      </c>
      <c r="C22" s="66"/>
      <c r="D22" s="66"/>
      <c r="E22" s="191">
        <f>inputOth!E11</f>
        <v>2879082</v>
      </c>
      <c r="F22" s="152"/>
      <c r="G22" s="152"/>
      <c r="H22" s="152"/>
      <c r="I22" s="201"/>
      <c r="J22" s="152"/>
    </row>
    <row r="23" spans="1:10" ht="15.75">
      <c r="A23" s="200"/>
      <c r="B23" s="200"/>
      <c r="C23" s="66"/>
      <c r="D23" s="66"/>
      <c r="E23" s="205"/>
      <c r="F23" s="152"/>
      <c r="G23" s="152"/>
      <c r="H23" s="152"/>
      <c r="I23" s="201"/>
      <c r="J23" s="152"/>
    </row>
    <row r="24" spans="1:10" ht="15.75">
      <c r="A24" s="200" t="s">
        <v>41</v>
      </c>
      <c r="B24" s="121" t="s">
        <v>51</v>
      </c>
      <c r="C24" s="66"/>
      <c r="D24" s="66"/>
      <c r="E24" s="152"/>
      <c r="F24" s="152"/>
      <c r="G24" s="191">
        <f>E22-G20</f>
        <v>2826635</v>
      </c>
      <c r="H24" s="205"/>
      <c r="I24" s="201"/>
      <c r="J24" s="152"/>
    </row>
    <row r="25" spans="1:10" ht="15.75">
      <c r="A25" s="200"/>
      <c r="B25" s="200"/>
      <c r="C25" s="121"/>
      <c r="D25" s="66"/>
      <c r="E25" s="66"/>
      <c r="F25" s="66"/>
      <c r="G25" s="206"/>
      <c r="H25" s="72"/>
      <c r="I25" s="200"/>
      <c r="J25" s="66"/>
    </row>
    <row r="26" spans="1:10" ht="15.75">
      <c r="A26" s="200" t="s">
        <v>42</v>
      </c>
      <c r="B26" s="66" t="s">
        <v>52</v>
      </c>
      <c r="C26" s="66"/>
      <c r="D26" s="66"/>
      <c r="E26" s="66"/>
      <c r="F26" s="66"/>
      <c r="G26" s="207">
        <f>IF(G20&gt;0,G20/G24,0)</f>
        <v>0.018554571071256104</v>
      </c>
      <c r="H26" s="72"/>
      <c r="I26" s="66"/>
      <c r="J26" s="66"/>
    </row>
    <row r="27" spans="1:10" ht="15.75">
      <c r="A27" s="200"/>
      <c r="B27" s="200"/>
      <c r="C27" s="66"/>
      <c r="D27" s="66"/>
      <c r="E27" s="66"/>
      <c r="F27" s="66"/>
      <c r="G27" s="72"/>
      <c r="H27" s="72"/>
      <c r="I27" s="66"/>
      <c r="J27" s="66"/>
    </row>
    <row r="28" spans="1:10" ht="15.75">
      <c r="A28" s="200" t="s">
        <v>43</v>
      </c>
      <c r="B28" s="66" t="s">
        <v>53</v>
      </c>
      <c r="C28" s="66"/>
      <c r="D28" s="66"/>
      <c r="E28" s="66"/>
      <c r="F28" s="66"/>
      <c r="G28" s="72"/>
      <c r="H28" s="208" t="s">
        <v>171</v>
      </c>
      <c r="I28" s="66" t="s">
        <v>160</v>
      </c>
      <c r="J28" s="191">
        <f>ROUND(G26*J7,0)</f>
        <v>29</v>
      </c>
    </row>
    <row r="29" spans="1:10" ht="15.75">
      <c r="A29" s="200"/>
      <c r="B29" s="200"/>
      <c r="C29" s="66"/>
      <c r="D29" s="66"/>
      <c r="E29" s="66"/>
      <c r="F29" s="66"/>
      <c r="G29" s="72"/>
      <c r="H29" s="208"/>
      <c r="I29" s="66"/>
      <c r="J29" s="205"/>
    </row>
    <row r="30" spans="1:10" ht="16.5" thickBot="1">
      <c r="A30" s="200" t="s">
        <v>44</v>
      </c>
      <c r="B30" s="121" t="s">
        <v>57</v>
      </c>
      <c r="C30" s="66"/>
      <c r="D30" s="66"/>
      <c r="E30" s="66"/>
      <c r="F30" s="66"/>
      <c r="G30" s="66"/>
      <c r="H30" s="66"/>
      <c r="I30" s="66" t="s">
        <v>160</v>
      </c>
      <c r="J30" s="209">
        <f>J7+J28</f>
        <v>1608</v>
      </c>
    </row>
    <row r="31" spans="1:10" ht="16.5" thickTop="1">
      <c r="A31" s="66"/>
      <c r="B31" s="66"/>
      <c r="C31" s="66"/>
      <c r="D31" s="66"/>
      <c r="E31" s="66"/>
      <c r="F31" s="66"/>
      <c r="G31" s="66"/>
      <c r="H31" s="66"/>
      <c r="I31" s="66"/>
      <c r="J31" s="66"/>
    </row>
    <row r="32" spans="1:10" ht="15.75">
      <c r="A32" s="200" t="s">
        <v>55</v>
      </c>
      <c r="B32" s="121" t="str">
        <f>CONCATENATE("Debt Service Levy in this ",J1,"")</f>
        <v>Debt Service Levy in this 2012</v>
      </c>
      <c r="C32" s="66"/>
      <c r="D32" s="66"/>
      <c r="E32" s="66"/>
      <c r="F32" s="66"/>
      <c r="G32" s="66"/>
      <c r="H32" s="66"/>
      <c r="I32" s="66"/>
      <c r="J32" s="191">
        <v>0</v>
      </c>
    </row>
    <row r="33" spans="1:10" ht="15.75">
      <c r="A33" s="200"/>
      <c r="B33" s="121"/>
      <c r="C33" s="66"/>
      <c r="D33" s="66"/>
      <c r="E33" s="66"/>
      <c r="F33" s="66"/>
      <c r="G33" s="66"/>
      <c r="H33" s="66"/>
      <c r="I33" s="66"/>
      <c r="J33" s="72"/>
    </row>
    <row r="34" spans="1:10" ht="16.5" thickBot="1">
      <c r="A34" s="200" t="s">
        <v>56</v>
      </c>
      <c r="B34" s="121" t="s">
        <v>58</v>
      </c>
      <c r="C34" s="66"/>
      <c r="D34" s="66"/>
      <c r="E34" s="66"/>
      <c r="F34" s="66"/>
      <c r="G34" s="66"/>
      <c r="H34" s="66"/>
      <c r="I34" s="66"/>
      <c r="J34" s="209">
        <f>J30+J32</f>
        <v>1608</v>
      </c>
    </row>
    <row r="35" spans="1:10" ht="16.5" thickTop="1">
      <c r="A35" s="66"/>
      <c r="B35" s="66"/>
      <c r="C35" s="66"/>
      <c r="D35" s="66"/>
      <c r="E35" s="66"/>
      <c r="F35" s="66"/>
      <c r="G35" s="66"/>
      <c r="H35" s="66"/>
      <c r="I35" s="66"/>
      <c r="J35" s="66"/>
    </row>
    <row r="36" spans="1:10" s="210" customFormat="1" ht="18.75">
      <c r="A36" s="334" t="str">
        <f>CONCATENATE("If the ",J1," budget includes tax levies exceeding the total on line 14, you must")</f>
        <v>If the 2012 budget includes tax levies exceeding the total on line 14, you must</v>
      </c>
      <c r="B36" s="334"/>
      <c r="C36" s="334"/>
      <c r="D36" s="334"/>
      <c r="E36" s="334"/>
      <c r="F36" s="334"/>
      <c r="G36" s="334"/>
      <c r="H36" s="334"/>
      <c r="I36" s="334"/>
      <c r="J36" s="334"/>
    </row>
    <row r="37" spans="1:10" s="210" customFormat="1" ht="18.75">
      <c r="A37" s="334" t="s">
        <v>54</v>
      </c>
      <c r="B37" s="334"/>
      <c r="C37" s="334"/>
      <c r="D37" s="334"/>
      <c r="E37" s="334"/>
      <c r="F37" s="334"/>
      <c r="G37" s="334"/>
      <c r="H37" s="334"/>
      <c r="I37" s="334"/>
      <c r="J37" s="334"/>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D22" sqref="D22"/>
    </sheetView>
  </sheetViews>
  <sheetFormatPr defaultColWidth="8.796875" defaultRowHeight="15.75"/>
  <cols>
    <col min="1" max="1" width="19.796875" style="180" customWidth="1"/>
    <col min="2" max="2" width="8.69921875" style="180" hidden="1" customWidth="1"/>
    <col min="3" max="3" width="12.09765625" style="180" customWidth="1"/>
    <col min="4" max="4" width="12.09765625" style="180" hidden="1" customWidth="1"/>
    <col min="5" max="5" width="0.1015625" style="180" hidden="1" customWidth="1"/>
    <col min="6" max="6" width="13.69921875" style="180" customWidth="1"/>
    <col min="7" max="7" width="0.1015625" style="180" customWidth="1"/>
    <col min="8" max="10" width="13.69921875" style="180" customWidth="1"/>
    <col min="11" max="16384" width="8.796875" style="180" customWidth="1"/>
  </cols>
  <sheetData>
    <row r="1" spans="1:10" ht="15.75">
      <c r="A1" s="275" t="str">
        <f>inputPrYr!D3</f>
        <v>Cedar Township</v>
      </c>
      <c r="B1" s="66"/>
      <c r="C1" s="66"/>
      <c r="D1" s="66"/>
      <c r="E1" s="66"/>
      <c r="F1" s="66"/>
      <c r="G1" s="66"/>
      <c r="H1" s="66"/>
      <c r="I1" s="66"/>
      <c r="J1" s="179">
        <f>inputPrYr!D9</f>
        <v>2012</v>
      </c>
    </row>
    <row r="2" spans="1:10" ht="15.75">
      <c r="A2" s="178"/>
      <c r="B2" s="66"/>
      <c r="C2" s="66"/>
      <c r="D2" s="66"/>
      <c r="E2" s="66"/>
      <c r="F2" s="66"/>
      <c r="G2" s="66"/>
      <c r="H2" s="66"/>
      <c r="I2" s="175"/>
      <c r="J2" s="175"/>
    </row>
    <row r="3" spans="1:10" ht="15.75">
      <c r="A3" s="178"/>
      <c r="B3" s="66"/>
      <c r="C3" s="66"/>
      <c r="D3" s="66"/>
      <c r="E3" s="66"/>
      <c r="F3" s="66"/>
      <c r="G3" s="66"/>
      <c r="H3" s="66"/>
      <c r="I3" s="175"/>
      <c r="J3" s="175"/>
    </row>
    <row r="4" spans="1:10" ht="15.75">
      <c r="A4" s="178"/>
      <c r="B4" s="66"/>
      <c r="C4" s="66"/>
      <c r="D4" s="66"/>
      <c r="E4" s="66"/>
      <c r="F4" s="66"/>
      <c r="G4" s="66"/>
      <c r="H4" s="66"/>
      <c r="I4" s="175"/>
      <c r="J4" s="175"/>
    </row>
    <row r="5" spans="1:10" ht="15.75">
      <c r="A5" s="66"/>
      <c r="B5" s="66"/>
      <c r="C5" s="66"/>
      <c r="D5" s="66"/>
      <c r="E5" s="66"/>
      <c r="F5" s="66"/>
      <c r="G5" s="66"/>
      <c r="H5" s="66"/>
      <c r="I5" s="66"/>
      <c r="J5" s="66"/>
    </row>
    <row r="6" spans="1:10" ht="15.75">
      <c r="A6" s="336" t="s">
        <v>129</v>
      </c>
      <c r="B6" s="318"/>
      <c r="C6" s="318"/>
      <c r="D6" s="318"/>
      <c r="E6" s="318"/>
      <c r="F6" s="318"/>
      <c r="G6" s="318"/>
      <c r="H6" s="318"/>
      <c r="I6" s="318"/>
      <c r="J6" s="318"/>
    </row>
    <row r="7" spans="1:10" ht="16.5">
      <c r="A7" s="323"/>
      <c r="B7" s="337"/>
      <c r="C7" s="337"/>
      <c r="D7" s="337"/>
      <c r="E7" s="337"/>
      <c r="F7" s="337"/>
      <c r="G7" s="337"/>
      <c r="H7" s="337"/>
      <c r="I7" s="337"/>
      <c r="J7" s="337"/>
    </row>
    <row r="8" spans="1:10" ht="16.5">
      <c r="A8" s="323"/>
      <c r="B8" s="337"/>
      <c r="C8" s="337"/>
      <c r="D8" s="337"/>
      <c r="E8" s="337"/>
      <c r="F8" s="337"/>
      <c r="G8" s="337"/>
      <c r="H8" s="337"/>
      <c r="I8" s="337"/>
      <c r="J8" s="337"/>
    </row>
    <row r="9" spans="1:10" ht="15.75">
      <c r="A9" s="66"/>
      <c r="B9" s="181"/>
      <c r="C9" s="181"/>
      <c r="D9" s="181"/>
      <c r="E9" s="181"/>
      <c r="F9" s="182"/>
      <c r="G9" s="67"/>
      <c r="H9" s="67"/>
      <c r="I9" s="66"/>
      <c r="J9" s="66"/>
    </row>
    <row r="10" spans="1:10" ht="21" customHeight="1">
      <c r="A10" s="168"/>
      <c r="B10" s="183"/>
      <c r="C10" s="338" t="str">
        <f>CONCATENATE("Budget Tax Levy Amount for ",J1-2,"")</f>
        <v>Budget Tax Levy Amount for 2010</v>
      </c>
      <c r="D10" s="338" t="str">
        <f>CONCATENATE("Budget Tax Levy Rate for ",J1-1,"")</f>
        <v>Budget Tax Levy Rate for 2011</v>
      </c>
      <c r="E10" s="83"/>
      <c r="F10" s="329" t="str">
        <f>CONCATENATE("Allocation for Year ",J1,"")</f>
        <v>Allocation for Year 2012</v>
      </c>
      <c r="G10" s="340"/>
      <c r="H10" s="340"/>
      <c r="I10" s="340"/>
      <c r="J10" s="341"/>
    </row>
    <row r="11" spans="1:10" ht="15.75">
      <c r="A11" s="184" t="str">
        <f>CONCATENATE("",J1-1," Budgeted Funds")</f>
        <v>2011 Budgeted Funds</v>
      </c>
      <c r="B11" s="185"/>
      <c r="C11" s="339"/>
      <c r="D11" s="339"/>
      <c r="E11" s="79"/>
      <c r="F11" s="79" t="s">
        <v>26</v>
      </c>
      <c r="G11" s="79"/>
      <c r="H11" s="79" t="s">
        <v>27</v>
      </c>
      <c r="I11" s="76" t="s">
        <v>62</v>
      </c>
      <c r="J11" s="76" t="s">
        <v>92</v>
      </c>
    </row>
    <row r="12" spans="1:10" ht="15.75">
      <c r="A12" s="90" t="str">
        <f>inputPrYr!B20</f>
        <v>General</v>
      </c>
      <c r="B12" s="186"/>
      <c r="C12" s="90">
        <f>IF(inputPrYr!E20&gt;0,inputPrYr!E20,"  ")</f>
        <v>1579</v>
      </c>
      <c r="D12" s="187">
        <f>IF(inputOth!D37&gt;0,inputOth!D37,"  ")</f>
        <v>0.552</v>
      </c>
      <c r="E12" s="188"/>
      <c r="F12" s="90">
        <f>IF(inputPrYr!E20=0,0,F21-SUM(F13:F18))</f>
        <v>349</v>
      </c>
      <c r="G12" s="189"/>
      <c r="H12" s="90">
        <f>IF(inputPrYr!E20=0,0,H23-SUM(H13:H18))</f>
        <v>3</v>
      </c>
      <c r="I12" s="90">
        <f>IF(inputPrYr!E20=0,0,I25-SUM(I13:I18))</f>
        <v>16</v>
      </c>
      <c r="J12" s="90">
        <f>IF(inputPrYr!E20=0,0,J27-SUM(J13:J18))</f>
        <v>0</v>
      </c>
    </row>
    <row r="13" spans="1:10" ht="15.75">
      <c r="A13" s="90"/>
      <c r="B13" s="186"/>
      <c r="C13" s="90"/>
      <c r="D13" s="187"/>
      <c r="E13" s="188"/>
      <c r="F13" s="90"/>
      <c r="G13" s="189"/>
      <c r="H13" s="90"/>
      <c r="I13" s="90"/>
      <c r="J13" s="90"/>
    </row>
    <row r="14" spans="1:10" ht="15.75">
      <c r="A14" s="90"/>
      <c r="B14" s="186"/>
      <c r="C14" s="90"/>
      <c r="D14" s="187"/>
      <c r="E14" s="188"/>
      <c r="F14" s="90"/>
      <c r="G14" s="189"/>
      <c r="H14" s="90"/>
      <c r="I14" s="90"/>
      <c r="J14" s="90"/>
    </row>
    <row r="15" spans="1:10" ht="15.75">
      <c r="A15" s="90" t="str">
        <f>IF(inputPrYr!$B23&gt;"  ",inputPrYr!$B23,"  ")</f>
        <v>  </v>
      </c>
      <c r="B15" s="186"/>
      <c r="C15" s="90" t="str">
        <f>IF(inputPrYr!E23&gt;0,inputPrYr!E23,"  ")</f>
        <v>  </v>
      </c>
      <c r="D15" s="187" t="str">
        <f>IF(inputOth!D40&gt;0,inputOth!D40,"  ")</f>
        <v>  </v>
      </c>
      <c r="E15" s="188"/>
      <c r="F15" s="90"/>
      <c r="G15" s="189"/>
      <c r="H15" s="90"/>
      <c r="I15" s="90"/>
      <c r="J15" s="90"/>
    </row>
    <row r="16" spans="1:10" ht="15.75">
      <c r="A16" s="90" t="str">
        <f>IF(inputPrYr!$B24&gt;"  ",inputPrYr!$B24,"  ")</f>
        <v>  </v>
      </c>
      <c r="B16" s="186"/>
      <c r="C16" s="90" t="str">
        <f>IF(inputPrYr!E24&gt;0,inputPrYr!E24,"  ")</f>
        <v>  </v>
      </c>
      <c r="D16" s="187" t="str">
        <f>IF(inputOth!D41&gt;0,inputOth!D41,"  ")</f>
        <v>  </v>
      </c>
      <c r="E16" s="188"/>
      <c r="F16" s="90"/>
      <c r="G16" s="189"/>
      <c r="H16" s="90"/>
      <c r="I16" s="90"/>
      <c r="J16" s="90"/>
    </row>
    <row r="17" spans="1:10" ht="15.75">
      <c r="A17" s="90" t="str">
        <f>IF(inputPrYr!$B25&gt;"  ",inputPrYr!$B25,"  ")</f>
        <v>  </v>
      </c>
      <c r="B17" s="186"/>
      <c r="C17" s="90" t="str">
        <f>IF(inputPrYr!E25&gt;0,inputPrYr!E25,"  ")</f>
        <v>  </v>
      </c>
      <c r="D17" s="187" t="str">
        <f>IF(inputOth!D42&gt;0,inputOth!D42,"  ")</f>
        <v>  </v>
      </c>
      <c r="E17" s="188"/>
      <c r="F17" s="90"/>
      <c r="G17" s="189"/>
      <c r="H17" s="90"/>
      <c r="I17" s="90"/>
      <c r="J17" s="90"/>
    </row>
    <row r="18" spans="1:10" ht="15.75">
      <c r="A18" s="90" t="str">
        <f>IF(inputPrYr!$B27&gt;"  ",inputPrYr!$B27,"  ")</f>
        <v>  </v>
      </c>
      <c r="B18" s="186"/>
      <c r="C18" s="90" t="str">
        <f>IF(inputPrYr!E27&gt;0,inputPrYr!E27,"  ")</f>
        <v>  </v>
      </c>
      <c r="D18" s="187" t="str">
        <f>IF(inputOth!D43&gt;0,inputOth!D43,"  ")</f>
        <v>  </v>
      </c>
      <c r="E18" s="188"/>
      <c r="F18" s="90"/>
      <c r="G18" s="189"/>
      <c r="H18" s="90"/>
      <c r="I18" s="90"/>
      <c r="J18" s="90"/>
    </row>
    <row r="19" spans="1:10" s="281" customFormat="1" ht="16.5" thickBot="1">
      <c r="A19" s="232" t="s">
        <v>140</v>
      </c>
      <c r="B19" s="277"/>
      <c r="C19" s="278">
        <f aca="true" t="shared" si="0" ref="C19:I19">SUM(C12:C18)</f>
        <v>1579</v>
      </c>
      <c r="D19" s="279">
        <f>SUM(D12:D18)</f>
        <v>0.552</v>
      </c>
      <c r="E19" s="280"/>
      <c r="F19" s="278">
        <f t="shared" si="0"/>
        <v>349</v>
      </c>
      <c r="G19" s="278"/>
      <c r="H19" s="278">
        <f t="shared" si="0"/>
        <v>3</v>
      </c>
      <c r="I19" s="278">
        <f t="shared" si="0"/>
        <v>16</v>
      </c>
      <c r="J19" s="278">
        <f>SUM(J12:J18)</f>
        <v>0</v>
      </c>
    </row>
    <row r="20" spans="1:10" ht="16.5" thickTop="1">
      <c r="A20" s="66"/>
      <c r="B20" s="66"/>
      <c r="C20" s="66"/>
      <c r="D20" s="66"/>
      <c r="E20" s="66"/>
      <c r="F20" s="66"/>
      <c r="G20" s="66"/>
      <c r="H20" s="66"/>
      <c r="I20" s="66"/>
      <c r="J20" s="66"/>
    </row>
    <row r="21" spans="1:10" ht="15.75">
      <c r="A21" s="73" t="s">
        <v>162</v>
      </c>
      <c r="B21" s="171"/>
      <c r="C21" s="66"/>
      <c r="D21" s="66"/>
      <c r="E21" s="66"/>
      <c r="F21" s="190">
        <f>SUM(inputOth!E54,inputOth!E58,inputOth!E62)</f>
        <v>349</v>
      </c>
      <c r="G21" s="66"/>
      <c r="H21" s="66"/>
      <c r="I21" s="66"/>
      <c r="J21" s="66"/>
    </row>
    <row r="22" spans="1:10" ht="15.75">
      <c r="A22" s="66"/>
      <c r="B22" s="66"/>
      <c r="C22" s="66"/>
      <c r="D22" s="66"/>
      <c r="E22" s="66"/>
      <c r="F22" s="66"/>
      <c r="G22" s="66"/>
      <c r="H22" s="66"/>
      <c r="I22" s="66"/>
      <c r="J22" s="66"/>
    </row>
    <row r="23" spans="1:10" ht="15.75">
      <c r="A23" s="73" t="s">
        <v>163</v>
      </c>
      <c r="B23" s="66"/>
      <c r="C23" s="66"/>
      <c r="D23" s="66"/>
      <c r="E23" s="66"/>
      <c r="F23" s="66"/>
      <c r="G23" s="190">
        <f>inputPrYr!E74</f>
        <v>0</v>
      </c>
      <c r="H23" s="190">
        <f>SUM(inputOth!E55,inputOth!E59,inputOth!E63)</f>
        <v>3</v>
      </c>
      <c r="I23" s="66"/>
      <c r="J23" s="66"/>
    </row>
    <row r="24" spans="1:10" ht="15.75">
      <c r="A24" s="66"/>
      <c r="B24" s="66"/>
      <c r="C24" s="66"/>
      <c r="D24" s="66"/>
      <c r="E24" s="66"/>
      <c r="F24" s="66"/>
      <c r="G24" s="66"/>
      <c r="H24" s="66"/>
      <c r="I24" s="66"/>
      <c r="J24" s="66"/>
    </row>
    <row r="25" spans="1:10" ht="15.75">
      <c r="A25" s="73" t="s">
        <v>24</v>
      </c>
      <c r="B25" s="66"/>
      <c r="C25" s="66"/>
      <c r="D25" s="66"/>
      <c r="E25" s="66"/>
      <c r="F25" s="66"/>
      <c r="G25" s="66"/>
      <c r="H25" s="66"/>
      <c r="I25" s="190">
        <f>SUM(inputOth!E56,inputOth!E60,inputOth!E64)</f>
        <v>16</v>
      </c>
      <c r="J25" s="140"/>
    </row>
    <row r="26" spans="1:10" ht="15.75">
      <c r="A26" s="66"/>
      <c r="B26" s="66"/>
      <c r="C26" s="66"/>
      <c r="D26" s="66"/>
      <c r="E26" s="66"/>
      <c r="F26" s="66"/>
      <c r="G26" s="66"/>
      <c r="H26" s="66"/>
      <c r="I26" s="66"/>
      <c r="J26" s="66"/>
    </row>
    <row r="27" spans="1:10" ht="15.75">
      <c r="A27" s="66" t="s">
        <v>115</v>
      </c>
      <c r="B27" s="66"/>
      <c r="C27" s="66"/>
      <c r="D27" s="66"/>
      <c r="E27" s="66"/>
      <c r="F27" s="66"/>
      <c r="G27" s="66"/>
      <c r="H27" s="66"/>
      <c r="I27" s="66"/>
      <c r="J27" s="191">
        <f>inputOth!E67</f>
        <v>0</v>
      </c>
    </row>
    <row r="28" spans="1:10" ht="15.75">
      <c r="A28" s="66"/>
      <c r="B28" s="66"/>
      <c r="C28" s="66"/>
      <c r="D28" s="66"/>
      <c r="E28" s="66"/>
      <c r="F28" s="66"/>
      <c r="G28" s="66"/>
      <c r="H28" s="66"/>
      <c r="I28" s="66"/>
      <c r="J28" s="66"/>
    </row>
    <row r="29" spans="1:10" ht="15.75">
      <c r="A29" s="73" t="s">
        <v>164</v>
      </c>
      <c r="B29" s="66"/>
      <c r="C29" s="66"/>
      <c r="D29" s="66"/>
      <c r="E29" s="66"/>
      <c r="F29" s="192">
        <f>IF(C19=0,0,F21/C19)</f>
        <v>0.22102596580113995</v>
      </c>
      <c r="G29" s="66"/>
      <c r="H29" s="66"/>
      <c r="I29" s="66"/>
      <c r="J29" s="66"/>
    </row>
    <row r="30" spans="1:10" ht="15.75">
      <c r="A30" s="66"/>
      <c r="B30" s="193"/>
      <c r="C30" s="66"/>
      <c r="D30" s="66"/>
      <c r="E30" s="66"/>
      <c r="F30" s="66"/>
      <c r="G30" s="66"/>
      <c r="H30" s="66"/>
      <c r="I30" s="66"/>
      <c r="J30" s="66"/>
    </row>
    <row r="31" spans="1:10" ht="15.75">
      <c r="A31" s="73" t="s">
        <v>165</v>
      </c>
      <c r="B31" s="66"/>
      <c r="C31" s="66"/>
      <c r="D31" s="66"/>
      <c r="E31" s="66"/>
      <c r="F31" s="66"/>
      <c r="G31" s="194">
        <f>IF(C19=0,0,G23/C19)</f>
        <v>0</v>
      </c>
      <c r="H31" s="195">
        <f>IF(C19=0,0,H23/C19)</f>
        <v>0.0018999366687777073</v>
      </c>
      <c r="I31" s="66"/>
      <c r="J31" s="66"/>
    </row>
    <row r="32" spans="1:10" ht="15.75">
      <c r="A32" s="66"/>
      <c r="B32" s="66"/>
      <c r="C32" s="66"/>
      <c r="D32" s="66"/>
      <c r="E32" s="66"/>
      <c r="F32" s="66"/>
      <c r="G32" s="66"/>
      <c r="H32" s="66"/>
      <c r="I32" s="66"/>
      <c r="J32" s="66"/>
    </row>
    <row r="33" spans="1:10" ht="15.75">
      <c r="A33" s="73" t="s">
        <v>25</v>
      </c>
      <c r="B33" s="66"/>
      <c r="C33" s="66"/>
      <c r="D33" s="66"/>
      <c r="E33" s="66"/>
      <c r="F33" s="66"/>
      <c r="G33" s="66"/>
      <c r="H33" s="66"/>
      <c r="I33" s="192">
        <f>IF(C19=0,0,I25/C19)</f>
        <v>0.01013299556681444</v>
      </c>
      <c r="J33" s="196"/>
    </row>
    <row r="34" spans="1:10" ht="15.75">
      <c r="A34" s="66"/>
      <c r="B34" s="66"/>
      <c r="C34" s="66"/>
      <c r="D34" s="66"/>
      <c r="E34" s="66"/>
      <c r="F34" s="66"/>
      <c r="G34" s="66"/>
      <c r="H34" s="66"/>
      <c r="I34" s="66"/>
      <c r="J34" s="66"/>
    </row>
    <row r="35" spans="1:10" ht="15.75">
      <c r="A35" s="66" t="s">
        <v>116</v>
      </c>
      <c r="B35" s="66"/>
      <c r="C35" s="66"/>
      <c r="D35" s="66"/>
      <c r="E35" s="66"/>
      <c r="F35" s="66"/>
      <c r="G35" s="66"/>
      <c r="H35" s="66"/>
      <c r="I35" s="66"/>
      <c r="J35" s="192">
        <f>IF(C19=0,0,J27/C19)</f>
        <v>0</v>
      </c>
    </row>
    <row r="36" spans="1:10" ht="15.75">
      <c r="A36" s="66"/>
      <c r="B36" s="66"/>
      <c r="C36" s="66"/>
      <c r="D36" s="66"/>
      <c r="E36" s="66"/>
      <c r="F36" s="66"/>
      <c r="G36" s="66"/>
      <c r="H36" s="66"/>
      <c r="I36" s="66"/>
      <c r="J36" s="66"/>
    </row>
    <row r="40" spans="1:7" ht="15.75">
      <c r="A40" s="197"/>
      <c r="B40" s="197"/>
      <c r="C40" s="197"/>
      <c r="D40" s="197"/>
      <c r="E40" s="197"/>
      <c r="F40" s="197"/>
      <c r="G40" s="197"/>
    </row>
  </sheetData>
  <sheetProtection/>
  <mergeCells count="6">
    <mergeCell ref="A6:J6"/>
    <mergeCell ref="A7:J7"/>
    <mergeCell ref="A8:J8"/>
    <mergeCell ref="C10:C11"/>
    <mergeCell ref="F10:J10"/>
    <mergeCell ref="D10:D11"/>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8/21/09&amp;CPage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16">
      <selection activeCell="D22" sqref="D22"/>
    </sheetView>
  </sheetViews>
  <sheetFormatPr defaultColWidth="8.796875" defaultRowHeight="15.75"/>
  <cols>
    <col min="1" max="1" width="27.296875" style="118" customWidth="1"/>
    <col min="2" max="2" width="9.5" style="118" customWidth="1"/>
    <col min="3" max="3" width="10.3984375" style="118" customWidth="1"/>
    <col min="4" max="4" width="5.69921875" style="118" customWidth="1"/>
    <col min="5" max="5" width="9.59765625" style="118" customWidth="1"/>
    <col min="6" max="6" width="6.59765625" style="118" customWidth="1"/>
    <col min="7" max="7" width="13.69921875" style="118" customWidth="1"/>
    <col min="8" max="16384" width="8.796875" style="118" customWidth="1"/>
  </cols>
  <sheetData>
    <row r="1" spans="1:7" ht="15.75">
      <c r="A1" s="275" t="str">
        <f>inputPrYr!D3</f>
        <v>Cedar Township</v>
      </c>
      <c r="B1" s="66"/>
      <c r="C1" s="66"/>
      <c r="D1" s="66"/>
      <c r="E1" s="66"/>
      <c r="F1" s="66"/>
      <c r="G1" s="179">
        <f>inputPrYr!D9</f>
        <v>2012</v>
      </c>
    </row>
    <row r="2" spans="1:7" ht="15.75">
      <c r="A2" s="121" t="s">
        <v>21</v>
      </c>
      <c r="B2" s="66"/>
      <c r="C2" s="66"/>
      <c r="D2" s="66"/>
      <c r="E2" s="66"/>
      <c r="F2" s="66"/>
      <c r="G2" s="211"/>
    </row>
    <row r="3" spans="1:7" ht="15.75">
      <c r="A3" s="66"/>
      <c r="B3" s="72"/>
      <c r="C3" s="78"/>
      <c r="D3" s="78"/>
      <c r="E3" s="78"/>
      <c r="F3" s="78"/>
      <c r="G3" s="212"/>
    </row>
    <row r="4" spans="1:7" ht="15.75">
      <c r="A4" s="73" t="s">
        <v>167</v>
      </c>
      <c r="B4" s="72"/>
      <c r="C4" s="366" t="s">
        <v>168</v>
      </c>
      <c r="D4" s="367"/>
      <c r="E4" s="360" t="s">
        <v>169</v>
      </c>
      <c r="F4" s="361"/>
      <c r="G4" s="75" t="s">
        <v>170</v>
      </c>
    </row>
    <row r="5" spans="1:7" ht="15.75">
      <c r="A5" s="265" t="str">
        <f>inputPrYr!B20</f>
        <v>General</v>
      </c>
      <c r="B5" s="213"/>
      <c r="C5" s="362" t="str">
        <f>CONCATENATE("Actual ",$G$1-2,"")</f>
        <v>Actual 2010</v>
      </c>
      <c r="D5" s="363"/>
      <c r="E5" s="362" t="str">
        <f>CONCATENATE("Estimate ",$G$1-1,"")</f>
        <v>Estimate 2011</v>
      </c>
      <c r="F5" s="363"/>
      <c r="G5" s="79" t="str">
        <f>CONCATENATE("Year ",$G$1,"")</f>
        <v>Year 2012</v>
      </c>
    </row>
    <row r="6" spans="1:7" s="160" customFormat="1" ht="15.75">
      <c r="A6" s="95" t="s">
        <v>59</v>
      </c>
      <c r="B6" s="266"/>
      <c r="C6" s="368">
        <v>6466</v>
      </c>
      <c r="D6" s="369"/>
      <c r="E6" s="364">
        <f>C42</f>
        <v>7292</v>
      </c>
      <c r="F6" s="365"/>
      <c r="G6" s="233">
        <f>E42</f>
        <v>7426</v>
      </c>
    </row>
    <row r="7" spans="1:7" ht="15.75">
      <c r="A7" s="95" t="s">
        <v>61</v>
      </c>
      <c r="B7" s="81"/>
      <c r="C7" s="358"/>
      <c r="D7" s="359"/>
      <c r="E7" s="358"/>
      <c r="F7" s="359"/>
      <c r="G7" s="215"/>
    </row>
    <row r="8" spans="1:7" ht="15.75">
      <c r="A8" s="80" t="s">
        <v>172</v>
      </c>
      <c r="B8" s="81"/>
      <c r="C8" s="342">
        <v>1491</v>
      </c>
      <c r="D8" s="343"/>
      <c r="E8" s="358">
        <f>ROUND(inputPrYr!E20*inputPrYr!E17,0)</f>
        <v>1547</v>
      </c>
      <c r="F8" s="359"/>
      <c r="G8" s="215" t="s">
        <v>152</v>
      </c>
    </row>
    <row r="9" spans="1:7" ht="15.75">
      <c r="A9" s="80" t="s">
        <v>173</v>
      </c>
      <c r="B9" s="81"/>
      <c r="C9" s="342">
        <v>43</v>
      </c>
      <c r="D9" s="343"/>
      <c r="E9" s="342">
        <v>0</v>
      </c>
      <c r="F9" s="343"/>
      <c r="G9" s="133">
        <v>0</v>
      </c>
    </row>
    <row r="10" spans="1:7" ht="15.75">
      <c r="A10" s="80" t="s">
        <v>174</v>
      </c>
      <c r="B10" s="81"/>
      <c r="C10" s="342">
        <v>324</v>
      </c>
      <c r="D10" s="343"/>
      <c r="E10" s="342">
        <v>334</v>
      </c>
      <c r="F10" s="343"/>
      <c r="G10" s="198">
        <f>mvalloc!F12</f>
        <v>349</v>
      </c>
    </row>
    <row r="11" spans="1:7" ht="15.75">
      <c r="A11" s="80" t="s">
        <v>175</v>
      </c>
      <c r="B11" s="81"/>
      <c r="C11" s="342">
        <v>4</v>
      </c>
      <c r="D11" s="343"/>
      <c r="E11" s="342">
        <v>4</v>
      </c>
      <c r="F11" s="343"/>
      <c r="G11" s="198">
        <f>mvalloc!H12</f>
        <v>3</v>
      </c>
    </row>
    <row r="12" spans="1:7" ht="15.75">
      <c r="A12" s="216" t="s">
        <v>19</v>
      </c>
      <c r="B12" s="81"/>
      <c r="C12" s="342">
        <v>16</v>
      </c>
      <c r="D12" s="343"/>
      <c r="E12" s="342">
        <v>15</v>
      </c>
      <c r="F12" s="343"/>
      <c r="G12" s="198">
        <f>mvalloc!I12</f>
        <v>16</v>
      </c>
    </row>
    <row r="13" spans="1:7" ht="15.75">
      <c r="A13" s="216" t="s">
        <v>92</v>
      </c>
      <c r="B13" s="81"/>
      <c r="C13" s="342">
        <v>0</v>
      </c>
      <c r="D13" s="343"/>
      <c r="E13" s="342">
        <v>0</v>
      </c>
      <c r="F13" s="343"/>
      <c r="G13" s="198">
        <f>mvalloc!J12</f>
        <v>0</v>
      </c>
    </row>
    <row r="14" spans="1:7" ht="15.75">
      <c r="A14" s="80" t="s">
        <v>176</v>
      </c>
      <c r="B14" s="81"/>
      <c r="C14" s="342">
        <v>1456</v>
      </c>
      <c r="D14" s="343"/>
      <c r="E14" s="342">
        <v>748</v>
      </c>
      <c r="F14" s="343"/>
      <c r="G14" s="198">
        <f>inputOth!E32</f>
        <v>653</v>
      </c>
    </row>
    <row r="15" spans="1:7" ht="15.75">
      <c r="A15" s="217" t="s">
        <v>218</v>
      </c>
      <c r="B15" s="218"/>
      <c r="C15" s="342">
        <v>17</v>
      </c>
      <c r="D15" s="343"/>
      <c r="E15" s="342">
        <v>0</v>
      </c>
      <c r="F15" s="343"/>
      <c r="G15" s="133">
        <v>0</v>
      </c>
    </row>
    <row r="16" spans="1:7" ht="15.75">
      <c r="A16" s="217"/>
      <c r="B16" s="218"/>
      <c r="C16" s="342"/>
      <c r="D16" s="343"/>
      <c r="E16" s="342"/>
      <c r="F16" s="343"/>
      <c r="G16" s="133"/>
    </row>
    <row r="17" spans="1:7" ht="15.75">
      <c r="A17" s="219"/>
      <c r="B17" s="218"/>
      <c r="C17" s="342"/>
      <c r="D17" s="343"/>
      <c r="E17" s="342"/>
      <c r="F17" s="343"/>
      <c r="G17" s="133"/>
    </row>
    <row r="18" spans="1:7" ht="15.75">
      <c r="A18" s="219"/>
      <c r="B18" s="218"/>
      <c r="C18" s="342"/>
      <c r="D18" s="343"/>
      <c r="E18" s="342"/>
      <c r="F18" s="343"/>
      <c r="G18" s="133"/>
    </row>
    <row r="19" spans="1:7" ht="15.75">
      <c r="A19" s="219"/>
      <c r="B19" s="218"/>
      <c r="C19" s="342"/>
      <c r="D19" s="343"/>
      <c r="E19" s="342"/>
      <c r="F19" s="343"/>
      <c r="G19" s="133"/>
    </row>
    <row r="20" spans="1:7" ht="15.75">
      <c r="A20" s="217"/>
      <c r="B20" s="218"/>
      <c r="C20" s="342"/>
      <c r="D20" s="343"/>
      <c r="E20" s="342"/>
      <c r="F20" s="343"/>
      <c r="G20" s="133"/>
    </row>
    <row r="21" spans="1:7" ht="15.75">
      <c r="A21" s="219"/>
      <c r="B21" s="218"/>
      <c r="C21" s="342"/>
      <c r="D21" s="343"/>
      <c r="E21" s="342"/>
      <c r="F21" s="343"/>
      <c r="G21" s="133"/>
    </row>
    <row r="22" spans="1:7" ht="15.75">
      <c r="A22" s="220" t="s">
        <v>131</v>
      </c>
      <c r="B22" s="221"/>
      <c r="C22" s="342">
        <v>0</v>
      </c>
      <c r="D22" s="343"/>
      <c r="E22" s="342">
        <v>0</v>
      </c>
      <c r="F22" s="343"/>
      <c r="G22" s="214">
        <v>0</v>
      </c>
    </row>
    <row r="23" spans="1:7" ht="15.75">
      <c r="A23" s="220" t="s">
        <v>132</v>
      </c>
      <c r="B23" s="221"/>
      <c r="C23" s="349">
        <f>IF(C24*0.1&lt;C22,"Exceed 10% Rule","")</f>
      </c>
      <c r="D23" s="350"/>
      <c r="E23" s="349">
        <f>IF(E24*0.1&lt;E22,"Exceed 10% Rule","")</f>
      </c>
      <c r="F23" s="350"/>
      <c r="G23" s="222">
        <f>IF(G24*0.1+G47&lt;G22,"Exceed 10% Rule","")</f>
      </c>
    </row>
    <row r="24" spans="1:7" ht="15.75">
      <c r="A24" s="223" t="s">
        <v>178</v>
      </c>
      <c r="B24" s="81"/>
      <c r="C24" s="344">
        <f>SUM(C8:C22)</f>
        <v>3351</v>
      </c>
      <c r="D24" s="345"/>
      <c r="E24" s="344">
        <f>SUM(E8:E22)</f>
        <v>2648</v>
      </c>
      <c r="F24" s="345"/>
      <c r="G24" s="224">
        <f>SUM(G8:G22)</f>
        <v>1021</v>
      </c>
    </row>
    <row r="25" spans="1:7" ht="15.75">
      <c r="A25" s="95" t="s">
        <v>179</v>
      </c>
      <c r="B25" s="81"/>
      <c r="C25" s="344">
        <f>C24+C6</f>
        <v>9817</v>
      </c>
      <c r="D25" s="345"/>
      <c r="E25" s="344">
        <f>E24+E6</f>
        <v>9940</v>
      </c>
      <c r="F25" s="345"/>
      <c r="G25" s="224">
        <f>G24+G6</f>
        <v>8447</v>
      </c>
    </row>
    <row r="26" spans="1:7" ht="15.75">
      <c r="A26" s="95" t="s">
        <v>180</v>
      </c>
      <c r="B26" s="81"/>
      <c r="C26" s="358"/>
      <c r="D26" s="359"/>
      <c r="E26" s="358"/>
      <c r="F26" s="359"/>
      <c r="G26" s="198"/>
    </row>
    <row r="27" spans="1:7" ht="15.75">
      <c r="A27" s="217" t="s">
        <v>211</v>
      </c>
      <c r="B27" s="218"/>
      <c r="C27" s="342">
        <v>300</v>
      </c>
      <c r="D27" s="343"/>
      <c r="E27" s="342">
        <v>500</v>
      </c>
      <c r="F27" s="343"/>
      <c r="G27" s="133">
        <v>1000</v>
      </c>
    </row>
    <row r="28" spans="1:7" ht="15.75">
      <c r="A28" s="219" t="s">
        <v>212</v>
      </c>
      <c r="B28" s="218"/>
      <c r="C28" s="342">
        <v>209</v>
      </c>
      <c r="D28" s="343"/>
      <c r="E28" s="342">
        <v>500</v>
      </c>
      <c r="F28" s="343"/>
      <c r="G28" s="133">
        <v>1000</v>
      </c>
    </row>
    <row r="29" spans="1:7" ht="15.75">
      <c r="A29" s="219" t="s">
        <v>213</v>
      </c>
      <c r="B29" s="218"/>
      <c r="C29" s="342">
        <v>2000</v>
      </c>
      <c r="D29" s="343"/>
      <c r="E29" s="342">
        <v>1500</v>
      </c>
      <c r="F29" s="343"/>
      <c r="G29" s="133">
        <v>8000</v>
      </c>
    </row>
    <row r="30" spans="1:7" ht="15.75">
      <c r="A30" s="219"/>
      <c r="B30" s="218"/>
      <c r="C30" s="342"/>
      <c r="D30" s="343"/>
      <c r="E30" s="342"/>
      <c r="F30" s="343"/>
      <c r="G30" s="133"/>
    </row>
    <row r="31" spans="1:7" ht="15.75">
      <c r="A31" s="219"/>
      <c r="B31" s="218"/>
      <c r="C31" s="342"/>
      <c r="D31" s="343"/>
      <c r="E31" s="342"/>
      <c r="F31" s="343"/>
      <c r="G31" s="133"/>
    </row>
    <row r="32" spans="1:7" ht="15.75">
      <c r="A32" s="217"/>
      <c r="B32" s="218"/>
      <c r="C32" s="342"/>
      <c r="D32" s="343"/>
      <c r="E32" s="342"/>
      <c r="F32" s="343"/>
      <c r="G32" s="133"/>
    </row>
    <row r="33" spans="1:7" ht="15.75">
      <c r="A33" s="217"/>
      <c r="B33" s="218"/>
      <c r="C33" s="342"/>
      <c r="D33" s="343"/>
      <c r="E33" s="342"/>
      <c r="F33" s="343"/>
      <c r="G33" s="133"/>
    </row>
    <row r="34" spans="1:7" ht="15.75">
      <c r="A34" s="219"/>
      <c r="B34" s="218"/>
      <c r="C34" s="342"/>
      <c r="D34" s="343"/>
      <c r="E34" s="342"/>
      <c r="F34" s="343"/>
      <c r="G34" s="133"/>
    </row>
    <row r="35" spans="1:7" ht="15.75">
      <c r="A35" s="219"/>
      <c r="B35" s="218"/>
      <c r="C35" s="342"/>
      <c r="D35" s="343"/>
      <c r="E35" s="342"/>
      <c r="F35" s="343"/>
      <c r="G35" s="133"/>
    </row>
    <row r="36" spans="1:7" ht="15.75">
      <c r="A36" s="217"/>
      <c r="B36" s="218"/>
      <c r="C36" s="342"/>
      <c r="D36" s="343"/>
      <c r="E36" s="342"/>
      <c r="F36" s="343"/>
      <c r="G36" s="133"/>
    </row>
    <row r="37" spans="1:7" ht="15.75">
      <c r="A37" s="219"/>
      <c r="B37" s="218"/>
      <c r="C37" s="342"/>
      <c r="D37" s="343"/>
      <c r="E37" s="342"/>
      <c r="F37" s="343"/>
      <c r="G37" s="133"/>
    </row>
    <row r="38" spans="1:7" ht="15.75">
      <c r="A38" s="216" t="s">
        <v>133</v>
      </c>
      <c r="B38" s="221"/>
      <c r="C38" s="342">
        <v>16</v>
      </c>
      <c r="D38" s="343"/>
      <c r="E38" s="342">
        <v>14</v>
      </c>
      <c r="F38" s="343"/>
      <c r="G38" s="289">
        <f>nhood!E6</f>
        <v>35</v>
      </c>
    </row>
    <row r="39" spans="1:7" ht="15.75">
      <c r="A39" s="216" t="s">
        <v>131</v>
      </c>
      <c r="B39" s="221"/>
      <c r="C39" s="342">
        <v>0</v>
      </c>
      <c r="D39" s="343"/>
      <c r="E39" s="342">
        <v>0</v>
      </c>
      <c r="F39" s="343"/>
      <c r="G39" s="214">
        <v>0</v>
      </c>
    </row>
    <row r="40" spans="1:7" ht="15.75">
      <c r="A40" s="216" t="s">
        <v>134</v>
      </c>
      <c r="B40" s="221"/>
      <c r="C40" s="349">
        <f>IF(C41*0.1&lt;C39,"Exceed 10% Rule","")</f>
      </c>
      <c r="D40" s="350"/>
      <c r="E40" s="349">
        <f>IF(E41*0.1&lt;E39,"Exceed 10% Rule","")</f>
      </c>
      <c r="F40" s="350"/>
      <c r="G40" s="222">
        <f>IF(G41*0.1&lt;G39,"Exceed 10% Rule","")</f>
      </c>
    </row>
    <row r="41" spans="1:7" ht="15.75">
      <c r="A41" s="95" t="s">
        <v>181</v>
      </c>
      <c r="B41" s="81"/>
      <c r="C41" s="344">
        <f>SUM(C27:D37,C38:D39)</f>
        <v>2525</v>
      </c>
      <c r="D41" s="345"/>
      <c r="E41" s="344">
        <f>SUM(E27:F37,E38:F39)</f>
        <v>2514</v>
      </c>
      <c r="F41" s="345"/>
      <c r="G41" s="224">
        <f>SUM(G27:G37,G38:G39)</f>
        <v>10035</v>
      </c>
    </row>
    <row r="42" spans="1:7" s="160" customFormat="1" ht="15.75">
      <c r="A42" s="95" t="s">
        <v>60</v>
      </c>
      <c r="B42" s="266"/>
      <c r="C42" s="344">
        <f>C25-C41</f>
        <v>7292</v>
      </c>
      <c r="D42" s="345"/>
      <c r="E42" s="344">
        <f>E25-E41</f>
        <v>7426</v>
      </c>
      <c r="F42" s="345"/>
      <c r="G42" s="267" t="s">
        <v>152</v>
      </c>
    </row>
    <row r="43" spans="1:8" ht="15.75">
      <c r="A43" s="113" t="str">
        <f>CONCATENATE("",G1-2,"/",G1-1," Budget Authority Amount:")</f>
        <v>2010/2011 Budget Authority Amount:</v>
      </c>
      <c r="B43" s="225">
        <f>inputOth!B79</f>
        <v>7020</v>
      </c>
      <c r="C43" s="69">
        <f>inputPrYr!D20</f>
        <v>9547</v>
      </c>
      <c r="D43" s="353" t="s">
        <v>123</v>
      </c>
      <c r="E43" s="354"/>
      <c r="F43" s="355"/>
      <c r="G43" s="133"/>
      <c r="H43" s="226">
        <f>IF(G41/0.95-G41&lt;G43,"Exceeds 5%","")</f>
      </c>
    </row>
    <row r="44" spans="1:7" ht="15.75">
      <c r="A44" s="113"/>
      <c r="B44" s="258">
        <f>IF(C41&gt;B43,"See Tab A","")</f>
      </c>
      <c r="C44" s="227">
        <f>IF(E41&gt;C43,"See Tab C","")</f>
      </c>
      <c r="D44" s="66"/>
      <c r="E44" s="351" t="s">
        <v>124</v>
      </c>
      <c r="F44" s="352"/>
      <c r="G44" s="198">
        <f>G41+G43</f>
        <v>10035</v>
      </c>
    </row>
    <row r="45" spans="1:7" ht="15.75">
      <c r="A45" s="113"/>
      <c r="B45" s="227">
        <f>IF(C42&lt;0,"See Tab B","")</f>
      </c>
      <c r="C45" s="227">
        <f>IF(E42&lt;0,"See Tab D","")</f>
      </c>
      <c r="D45" s="66"/>
      <c r="E45" s="351" t="s">
        <v>182</v>
      </c>
      <c r="F45" s="352"/>
      <c r="G45" s="144">
        <f>IF(G44-G25&gt;0,G44-G25,0)</f>
        <v>1588</v>
      </c>
    </row>
    <row r="46" spans="1:7" ht="15.75">
      <c r="A46" s="175"/>
      <c r="B46" s="175"/>
      <c r="C46" s="175"/>
      <c r="D46" s="356" t="s">
        <v>125</v>
      </c>
      <c r="E46" s="357"/>
      <c r="F46" s="228">
        <f>inputOth!$E$73</f>
        <v>0</v>
      </c>
      <c r="G46" s="198">
        <f>ROUND(IF(F46&gt;0,(G45*F46),0),0)</f>
        <v>0</v>
      </c>
    </row>
    <row r="47" spans="1:7" ht="15.75">
      <c r="A47" s="66"/>
      <c r="B47" s="66"/>
      <c r="C47" s="346" t="str">
        <f>CONCATENATE("Amount of  ",$G$1-1," Ad Valorem Tax")</f>
        <v>Amount of  2011 Ad Valorem Tax</v>
      </c>
      <c r="D47" s="347"/>
      <c r="E47" s="347"/>
      <c r="F47" s="348"/>
      <c r="G47" s="224">
        <f>G45+G46</f>
        <v>1588</v>
      </c>
    </row>
    <row r="48" spans="1:7" ht="15.75">
      <c r="A48" s="66"/>
      <c r="B48" s="66"/>
      <c r="C48" s="66"/>
      <c r="D48" s="66"/>
      <c r="E48" s="66"/>
      <c r="F48" s="66"/>
      <c r="G48" s="66"/>
    </row>
    <row r="49" spans="1:7" s="229" customFormat="1" ht="15.75">
      <c r="A49" s="72"/>
      <c r="B49" s="72"/>
      <c r="C49" s="72"/>
      <c r="D49" s="72"/>
      <c r="E49" s="205"/>
      <c r="F49" s="205"/>
      <c r="G49" s="72"/>
    </row>
    <row r="50" spans="1:7" s="230" customFormat="1" ht="15.75">
      <c r="A50" s="66"/>
      <c r="B50" s="66"/>
      <c r="C50" s="66"/>
      <c r="D50" s="66"/>
      <c r="E50" s="152"/>
      <c r="F50" s="152"/>
      <c r="G50" s="66"/>
    </row>
    <row r="51" spans="1:7" ht="15.75">
      <c r="A51" s="175" t="s">
        <v>166</v>
      </c>
      <c r="B51" s="231">
        <v>4</v>
      </c>
      <c r="C51" s="66"/>
      <c r="D51" s="66"/>
      <c r="E51" s="66"/>
      <c r="F51" s="66"/>
      <c r="G51" s="66"/>
    </row>
    <row r="53" ht="15.75">
      <c r="A53" s="105"/>
    </row>
  </sheetData>
  <sheetProtection/>
  <mergeCells count="83">
    <mergeCell ref="E4:F4"/>
    <mergeCell ref="E5:F5"/>
    <mergeCell ref="E6:F6"/>
    <mergeCell ref="E7:F7"/>
    <mergeCell ref="C8:D8"/>
    <mergeCell ref="C4:D4"/>
    <mergeCell ref="C5:D5"/>
    <mergeCell ref="C6:D6"/>
    <mergeCell ref="C7:D7"/>
    <mergeCell ref="C35:D35"/>
    <mergeCell ref="C36:D36"/>
    <mergeCell ref="E35:F35"/>
    <mergeCell ref="C9:D9"/>
    <mergeCell ref="C10:D10"/>
    <mergeCell ref="C18:D18"/>
    <mergeCell ref="C11:D11"/>
    <mergeCell ref="C12:D12"/>
    <mergeCell ref="E16:F16"/>
    <mergeCell ref="E15:F15"/>
    <mergeCell ref="E8:F8"/>
    <mergeCell ref="E13:F13"/>
    <mergeCell ref="C33:D33"/>
    <mergeCell ref="C26:D26"/>
    <mergeCell ref="C19:D19"/>
    <mergeCell ref="E14:F14"/>
    <mergeCell ref="C29:D29"/>
    <mergeCell ref="C30:D30"/>
    <mergeCell ref="C23:D23"/>
    <mergeCell ref="C24:D24"/>
    <mergeCell ref="E23:F23"/>
    <mergeCell ref="E17:F17"/>
    <mergeCell ref="C39:D39"/>
    <mergeCell ref="C20:D20"/>
    <mergeCell ref="E39:F39"/>
    <mergeCell ref="C31:D31"/>
    <mergeCell ref="E22:F22"/>
    <mergeCell ref="E24:F24"/>
    <mergeCell ref="C22:D22"/>
    <mergeCell ref="E26:F26"/>
    <mergeCell ref="D46:E46"/>
    <mergeCell ref="C40:D40"/>
    <mergeCell ref="C41:D41"/>
    <mergeCell ref="C42:D42"/>
    <mergeCell ref="E41:F41"/>
    <mergeCell ref="E44:F44"/>
    <mergeCell ref="C47:F47"/>
    <mergeCell ref="C13:D13"/>
    <mergeCell ref="C14:D14"/>
    <mergeCell ref="C15:D15"/>
    <mergeCell ref="C16:D16"/>
    <mergeCell ref="C17:D17"/>
    <mergeCell ref="E40:F40"/>
    <mergeCell ref="E45:F45"/>
    <mergeCell ref="E42:F42"/>
    <mergeCell ref="D43:F43"/>
    <mergeCell ref="E18:F18"/>
    <mergeCell ref="E19:F19"/>
    <mergeCell ref="E20:F20"/>
    <mergeCell ref="E21:F21"/>
    <mergeCell ref="E9:F9"/>
    <mergeCell ref="E10:F10"/>
    <mergeCell ref="E11:F11"/>
    <mergeCell ref="E12:F12"/>
    <mergeCell ref="C21:D21"/>
    <mergeCell ref="E25:F25"/>
    <mergeCell ref="E34:F34"/>
    <mergeCell ref="E38:F38"/>
    <mergeCell ref="C25:D25"/>
    <mergeCell ref="C37:D37"/>
    <mergeCell ref="C27:D27"/>
    <mergeCell ref="C28:D28"/>
    <mergeCell ref="E36:F36"/>
    <mergeCell ref="E37:F37"/>
    <mergeCell ref="C38:D38"/>
    <mergeCell ref="E27:F27"/>
    <mergeCell ref="E32:F32"/>
    <mergeCell ref="E33:F33"/>
    <mergeCell ref="E28:F28"/>
    <mergeCell ref="E29:F29"/>
    <mergeCell ref="E30:F30"/>
    <mergeCell ref="E31:F31"/>
    <mergeCell ref="C34:D34"/>
    <mergeCell ref="C32:D32"/>
  </mergeCells>
  <conditionalFormatting sqref="G43">
    <cfRule type="cellIs" priority="4" dxfId="13" operator="greaterThan" stopIfTrue="1">
      <formula>$G$41/0.95-$G$41</formula>
    </cfRule>
  </conditionalFormatting>
  <conditionalFormatting sqref="G39">
    <cfRule type="cellIs" priority="5" dxfId="13" operator="greaterThan" stopIfTrue="1">
      <formula>$G$41*0.1</formula>
    </cfRule>
  </conditionalFormatting>
  <conditionalFormatting sqref="E39:F39">
    <cfRule type="cellIs" priority="6" dxfId="13" operator="greaterThan" stopIfTrue="1">
      <formula>$E$41*0.1</formula>
    </cfRule>
  </conditionalFormatting>
  <conditionalFormatting sqref="C39:D39">
    <cfRule type="cellIs" priority="7" dxfId="13" operator="greaterThan" stopIfTrue="1">
      <formula>$C$41*0.1</formula>
    </cfRule>
  </conditionalFormatting>
  <conditionalFormatting sqref="C41:D41">
    <cfRule type="cellIs" priority="8" dxfId="13" operator="greaterThan" stopIfTrue="1">
      <formula>$B$43</formula>
    </cfRule>
  </conditionalFormatting>
  <conditionalFormatting sqref="C42:D42">
    <cfRule type="cellIs" priority="9" dxfId="13" operator="lessThan" stopIfTrue="1">
      <formula>0</formula>
    </cfRule>
  </conditionalFormatting>
  <conditionalFormatting sqref="E41:F41">
    <cfRule type="cellIs" priority="10" dxfId="0" operator="greaterThan" stopIfTrue="1">
      <formula>$C$43</formula>
    </cfRule>
  </conditionalFormatting>
  <conditionalFormatting sqref="E42:F42">
    <cfRule type="cellIs" priority="1" dxfId="3" operator="lessThan" stopIfTrue="1">
      <formula>0</formula>
    </cfRule>
  </conditionalFormatting>
  <conditionalFormatting sqref="C22:D22">
    <cfRule type="cellIs" priority="2" dxfId="13" operator="greaterThan" stopIfTrue="1">
      <formula>$C$24*0.1</formula>
    </cfRule>
  </conditionalFormatting>
  <conditionalFormatting sqref="E22:F22">
    <cfRule type="cellIs" priority="3" dxfId="13" operator="greaterThan" stopIfTrue="1">
      <formula>$E$24*0.1</formula>
    </cfRule>
  </conditionalFormatting>
  <conditionalFormatting sqref="G22">
    <cfRule type="cellIs" priority="14" dxfId="13" operator="greaterThan" stopIfTrue="1">
      <formula>$G$24*0.1+$G$47</formula>
    </cfRule>
  </conditionalFormatting>
  <printOptions/>
  <pageMargins left="0.52" right="0.9" top="0.96" bottom="0.5" header="0.41" footer="0.3"/>
  <pageSetup blackAndWhite="1" fitToHeight="1" fitToWidth="1" horizontalDpi="300" verticalDpi="300" orientation="portrait" scale="85" r:id="rId1"/>
  <headerFooter alignWithMargins="0">
    <oddHeader>&amp;RState of Kansas
Township
</oddHeader>
    <oddFooter>&amp;Lrevised 8/21/09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00"/>
  <sheetViews>
    <sheetView zoomScalePageLayoutView="0" workbookViewId="0" topLeftCell="A1">
      <selection activeCell="D22" sqref="D22"/>
    </sheetView>
  </sheetViews>
  <sheetFormatPr defaultColWidth="8.796875" defaultRowHeight="15.75"/>
  <cols>
    <col min="1" max="1" width="20.69921875" style="118" customWidth="1"/>
    <col min="2" max="2" width="12.69921875" style="118" customWidth="1"/>
    <col min="3" max="3" width="9.69921875" style="118" customWidth="1"/>
    <col min="4" max="4" width="12.69921875" style="118" customWidth="1"/>
    <col min="5" max="5" width="9.69921875" style="118" customWidth="1"/>
    <col min="6" max="6" width="12.69921875" style="118" customWidth="1"/>
    <col min="7" max="7" width="10.69921875" style="118" customWidth="1"/>
    <col min="8" max="8" width="9.69921875" style="118" customWidth="1"/>
    <col min="9" max="16384" width="8.796875" style="118" customWidth="1"/>
  </cols>
  <sheetData>
    <row r="1" spans="1:8" ht="15.75">
      <c r="A1" s="123" t="s">
        <v>22</v>
      </c>
      <c r="B1" s="67"/>
      <c r="C1" s="67"/>
      <c r="D1" s="67"/>
      <c r="E1" s="67"/>
      <c r="F1" s="67"/>
      <c r="G1" s="67"/>
      <c r="H1" s="67">
        <f>inputPrYr!D9</f>
        <v>2012</v>
      </c>
    </row>
    <row r="2" spans="1:8" ht="15.75">
      <c r="A2" s="66"/>
      <c r="B2" s="66"/>
      <c r="C2" s="66"/>
      <c r="D2" s="66"/>
      <c r="E2" s="66"/>
      <c r="F2" s="73" t="s">
        <v>184</v>
      </c>
      <c r="G2" s="73" t="s">
        <v>185</v>
      </c>
      <c r="H2" s="66"/>
    </row>
    <row r="3" spans="1:8" ht="15.75">
      <c r="A3" s="327" t="s">
        <v>186</v>
      </c>
      <c r="B3" s="327"/>
      <c r="C3" s="327"/>
      <c r="D3" s="327"/>
      <c r="E3" s="327"/>
      <c r="F3" s="327"/>
      <c r="G3" s="327"/>
      <c r="H3" s="327"/>
    </row>
    <row r="4" spans="1:8" ht="15.75">
      <c r="A4" s="373" t="str">
        <f>inputPrYr!D3</f>
        <v>Cedar Township</v>
      </c>
      <c r="B4" s="373"/>
      <c r="C4" s="373"/>
      <c r="D4" s="373"/>
      <c r="E4" s="373"/>
      <c r="F4" s="373"/>
      <c r="G4" s="373"/>
      <c r="H4" s="373"/>
    </row>
    <row r="5" spans="1:8" ht="15.75">
      <c r="A5" s="373" t="str">
        <f>inputPrYr!D4</f>
        <v>Smith County</v>
      </c>
      <c r="B5" s="373"/>
      <c r="C5" s="373"/>
      <c r="D5" s="373"/>
      <c r="E5" s="373"/>
      <c r="F5" s="373"/>
      <c r="G5" s="373"/>
      <c r="H5" s="373"/>
    </row>
    <row r="6" spans="1:8" ht="15.75">
      <c r="A6" s="372" t="str">
        <f>CONCATENATE("will meet on ",inputBudSum!B5," at ",inputBudSum!B7," at ",inputBudSum!B9," for the purpose of hearing and")</f>
        <v>will meet on _____________ at _________ at _____________ for the purpose of hearing and</v>
      </c>
      <c r="B6" s="372"/>
      <c r="C6" s="372"/>
      <c r="D6" s="372"/>
      <c r="E6" s="372"/>
      <c r="F6" s="372"/>
      <c r="G6" s="372"/>
      <c r="H6" s="372"/>
    </row>
    <row r="7" spans="1:8" ht="15.75">
      <c r="A7" s="70" t="s">
        <v>1</v>
      </c>
      <c r="B7" s="67"/>
      <c r="C7" s="67"/>
      <c r="D7" s="67"/>
      <c r="E7" s="67"/>
      <c r="F7" s="67"/>
      <c r="G7" s="67"/>
      <c r="H7" s="67"/>
    </row>
    <row r="8" spans="1:8" ht="15.75">
      <c r="A8" s="332" t="str">
        <f>CONCATENATE("Detailed budget information is available at ",inputBudSum!B12," and will be available at this hearing.")</f>
        <v>Detailed budget information is available at  and will be available at this hearing.</v>
      </c>
      <c r="B8" s="318"/>
      <c r="C8" s="318"/>
      <c r="D8" s="318"/>
      <c r="E8" s="318"/>
      <c r="F8" s="318"/>
      <c r="G8" s="318"/>
      <c r="H8" s="318"/>
    </row>
    <row r="9" spans="1:8" ht="15.75">
      <c r="A9" s="123" t="s">
        <v>23</v>
      </c>
      <c r="B9" s="124"/>
      <c r="C9" s="124"/>
      <c r="D9" s="124"/>
      <c r="E9" s="124"/>
      <c r="F9" s="124"/>
      <c r="G9" s="124"/>
      <c r="H9" s="12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161"/>
    </row>
    <row r="13" spans="1:9" ht="15.75">
      <c r="A13" s="66"/>
      <c r="B13" s="162" t="str">
        <f>CONCATENATE("Prior Year Actual ",H1-2,"")</f>
        <v>Prior Year Actual 2010</v>
      </c>
      <c r="C13" s="163"/>
      <c r="D13" s="162" t="str">
        <f>CONCATENATE("Current Year Estimate ",H1-1,"")</f>
        <v>Current Year Estimate 2011</v>
      </c>
      <c r="E13" s="164"/>
      <c r="F13" s="165" t="str">
        <f>CONCATENATE("Proposed Budget ",H1,"")</f>
        <v>Proposed Budget 2012</v>
      </c>
      <c r="G13" s="166"/>
      <c r="H13" s="164"/>
      <c r="I13" s="161"/>
    </row>
    <row r="14" spans="1:9" ht="22.5" customHeight="1">
      <c r="A14" s="66"/>
      <c r="B14" s="167"/>
      <c r="C14" s="75" t="s">
        <v>183</v>
      </c>
      <c r="D14" s="75"/>
      <c r="E14" s="75" t="s">
        <v>183</v>
      </c>
      <c r="F14" s="168"/>
      <c r="G14" s="324" t="str">
        <f>CONCATENATE("Amount of ",H1-1," Ad Valorem Tax")</f>
        <v>Amount of 2011 Ad Valorem Tax</v>
      </c>
      <c r="H14" s="75" t="s">
        <v>187</v>
      </c>
      <c r="I14" s="161"/>
    </row>
    <row r="15" spans="1:9" ht="15.75">
      <c r="A15" s="66"/>
      <c r="B15" s="76"/>
      <c r="C15" s="76" t="s">
        <v>188</v>
      </c>
      <c r="D15" s="76"/>
      <c r="E15" s="76" t="s">
        <v>188</v>
      </c>
      <c r="F15" s="76" t="s">
        <v>119</v>
      </c>
      <c r="G15" s="370"/>
      <c r="H15" s="76" t="s">
        <v>188</v>
      </c>
      <c r="I15" s="161"/>
    </row>
    <row r="16" spans="1:9" ht="15.75">
      <c r="A16" s="169" t="s">
        <v>149</v>
      </c>
      <c r="B16" s="79" t="s">
        <v>189</v>
      </c>
      <c r="C16" s="79" t="s">
        <v>190</v>
      </c>
      <c r="D16" s="79" t="s">
        <v>189</v>
      </c>
      <c r="E16" s="79" t="s">
        <v>190</v>
      </c>
      <c r="F16" s="79" t="s">
        <v>215</v>
      </c>
      <c r="G16" s="371"/>
      <c r="H16" s="79" t="s">
        <v>190</v>
      </c>
      <c r="I16" s="161"/>
    </row>
    <row r="17" spans="1:9" ht="15.75">
      <c r="A17" s="90" t="str">
        <f>inputPrYr!B20</f>
        <v>General</v>
      </c>
      <c r="B17" s="90">
        <f>IF(gen!$C$41&lt;&gt;0,gen!$C$41,"  ")</f>
        <v>2525</v>
      </c>
      <c r="C17" s="286">
        <f>IF(inputPrYr!D45&gt;0,inputPrYr!D45,"0.000")</f>
        <v>0.544</v>
      </c>
      <c r="D17" s="90">
        <f>IF(gen!$E$41&lt;&gt;0,gen!$E$41,"  ")</f>
        <v>2514</v>
      </c>
      <c r="E17" s="286">
        <f>IF(inputOth!D37&gt;0,inputOth!D37,"0.000")</f>
        <v>0.552</v>
      </c>
      <c r="F17" s="90">
        <f>IF(gen!$G$41&lt;&gt;0,gen!$G$41,"  ")</f>
        <v>10035</v>
      </c>
      <c r="G17" s="291">
        <f>IF(gen!$G$47&lt;&gt;0,gen!$G$47,"0")</f>
        <v>1588</v>
      </c>
      <c r="H17" s="286">
        <f>IF(gen!G47&gt;0,ROUND(G17/F27*1000,3),"0.000")</f>
        <v>0.552</v>
      </c>
      <c r="I17" s="161"/>
    </row>
    <row r="18" spans="1:8" ht="15.75">
      <c r="A18" s="90"/>
      <c r="B18" s="90"/>
      <c r="C18" s="286"/>
      <c r="D18" s="90"/>
      <c r="E18" s="286"/>
      <c r="F18" s="90"/>
      <c r="G18" s="282"/>
      <c r="H18" s="286"/>
    </row>
    <row r="19" spans="1:8" ht="15.75">
      <c r="A19" s="90"/>
      <c r="B19" s="90"/>
      <c r="C19" s="286"/>
      <c r="D19" s="90"/>
      <c r="E19" s="286"/>
      <c r="F19" s="90"/>
      <c r="G19" s="282"/>
      <c r="H19" s="286"/>
    </row>
    <row r="20" spans="1:8" ht="15.75">
      <c r="A20" s="90" t="str">
        <f>IF(inputPrYr!$B23&gt;"  ",inputPrYr!$B23,"  ")</f>
        <v>  </v>
      </c>
      <c r="B20" s="90"/>
      <c r="C20" s="287"/>
      <c r="D20" s="90"/>
      <c r="E20" s="287"/>
      <c r="F20" s="90"/>
      <c r="G20" s="90"/>
      <c r="H20" s="287"/>
    </row>
    <row r="21" spans="1:8" ht="15.75">
      <c r="A21" s="90" t="str">
        <f>IF(inputPrYr!$B24&gt;"  ",inputPrYr!$B24,"  ")</f>
        <v>  </v>
      </c>
      <c r="B21" s="90"/>
      <c r="C21" s="287"/>
      <c r="D21" s="90"/>
      <c r="E21" s="287"/>
      <c r="F21" s="90"/>
      <c r="G21" s="90"/>
      <c r="H21" s="287"/>
    </row>
    <row r="22" spans="1:8" ht="15.75">
      <c r="A22" s="90" t="str">
        <f>IF(inputPrYr!$B25&gt;"  ",inputPrYr!$B25,"  ")</f>
        <v>  </v>
      </c>
      <c r="B22" s="90"/>
      <c r="C22" s="287"/>
      <c r="D22" s="90"/>
      <c r="E22" s="287"/>
      <c r="F22" s="90"/>
      <c r="G22" s="90"/>
      <c r="H22" s="287"/>
    </row>
    <row r="23" spans="1:8" s="160" customFormat="1" ht="15.75">
      <c r="A23" s="232" t="s">
        <v>151</v>
      </c>
      <c r="B23" s="268">
        <f aca="true" t="shared" si="0" ref="B23:H23">SUM(B17:B22)</f>
        <v>2525</v>
      </c>
      <c r="C23" s="288">
        <f t="shared" si="0"/>
        <v>0.544</v>
      </c>
      <c r="D23" s="268">
        <f t="shared" si="0"/>
        <v>2514</v>
      </c>
      <c r="E23" s="288">
        <f t="shared" si="0"/>
        <v>0.552</v>
      </c>
      <c r="F23" s="268">
        <f t="shared" si="0"/>
        <v>10035</v>
      </c>
      <c r="G23" s="268">
        <f t="shared" si="0"/>
        <v>1588</v>
      </c>
      <c r="H23" s="288">
        <f t="shared" si="0"/>
        <v>0.552</v>
      </c>
    </row>
    <row r="24" spans="1:8" ht="15.75">
      <c r="A24" s="101" t="s">
        <v>191</v>
      </c>
      <c r="B24" s="90">
        <v>0</v>
      </c>
      <c r="C24" s="66"/>
      <c r="D24" s="90">
        <v>0</v>
      </c>
      <c r="E24" s="171"/>
      <c r="F24" s="90">
        <v>0</v>
      </c>
      <c r="G24" s="66"/>
      <c r="H24" s="66"/>
    </row>
    <row r="25" spans="1:8" ht="15.75">
      <c r="A25" s="101" t="s">
        <v>192</v>
      </c>
      <c r="B25" s="139">
        <f>B23-B24</f>
        <v>2525</v>
      </c>
      <c r="C25" s="66"/>
      <c r="D25" s="139">
        <f>D23-D24</f>
        <v>2514</v>
      </c>
      <c r="E25" s="66"/>
      <c r="F25" s="139">
        <f>F23-F24</f>
        <v>10035</v>
      </c>
      <c r="G25" s="66"/>
      <c r="H25" s="66"/>
    </row>
    <row r="26" spans="1:8" ht="15.75">
      <c r="A26" s="101" t="s">
        <v>11</v>
      </c>
      <c r="B26" s="90">
        <f>inputPrYr!E54</f>
        <v>1514</v>
      </c>
      <c r="C26" s="171"/>
      <c r="D26" s="90">
        <f>inputPrYr!E28</f>
        <v>1579</v>
      </c>
      <c r="E26" s="66"/>
      <c r="F26" s="172" t="s">
        <v>152</v>
      </c>
      <c r="G26" s="66"/>
      <c r="H26" s="66"/>
    </row>
    <row r="27" spans="1:8" ht="15.75">
      <c r="A27" s="101" t="s">
        <v>122</v>
      </c>
      <c r="B27" s="90">
        <f>inputPrYr!E55</f>
        <v>1276619</v>
      </c>
      <c r="C27" s="171"/>
      <c r="D27" s="90">
        <f>inputOth!E50</f>
        <v>1283197</v>
      </c>
      <c r="E27" s="171"/>
      <c r="F27" s="90">
        <f>inputOth!E11</f>
        <v>2879082</v>
      </c>
      <c r="G27" s="66"/>
      <c r="H27" s="66"/>
    </row>
    <row r="28" spans="1:8" ht="15.75">
      <c r="A28" s="80" t="s">
        <v>135</v>
      </c>
      <c r="B28" s="173"/>
      <c r="C28" s="66"/>
      <c r="D28" s="140"/>
      <c r="E28" s="66"/>
      <c r="F28" s="90">
        <f>inputOth!E8</f>
        <v>1313663</v>
      </c>
      <c r="G28" s="66"/>
      <c r="H28" s="66"/>
    </row>
    <row r="29" spans="1:8" ht="15.75">
      <c r="A29" s="104"/>
      <c r="B29" s="140"/>
      <c r="C29" s="66"/>
      <c r="D29" s="140"/>
      <c r="E29" s="66"/>
      <c r="F29" s="140"/>
      <c r="G29" s="66"/>
      <c r="H29" s="66"/>
    </row>
    <row r="30" spans="1:8" ht="15.75">
      <c r="A30" s="73" t="s">
        <v>12</v>
      </c>
      <c r="B30" s="66"/>
      <c r="C30" s="66"/>
      <c r="D30" s="66"/>
      <c r="E30" s="66"/>
      <c r="F30" s="66"/>
      <c r="G30" s="66"/>
      <c r="H30" s="66"/>
    </row>
    <row r="31" spans="1:8" ht="15.75">
      <c r="A31" s="73" t="s">
        <v>13</v>
      </c>
      <c r="B31" s="174">
        <f>H1-3</f>
        <v>2009</v>
      </c>
      <c r="C31" s="66"/>
      <c r="D31" s="174">
        <f>H1-2</f>
        <v>2010</v>
      </c>
      <c r="E31" s="66"/>
      <c r="F31" s="174">
        <f>H1-1</f>
        <v>2011</v>
      </c>
      <c r="G31" s="66"/>
      <c r="H31" s="66"/>
    </row>
    <row r="32" spans="1:8" ht="15.75">
      <c r="A32" s="73" t="s">
        <v>14</v>
      </c>
      <c r="B32" s="283">
        <f>inputPrYr!D58</f>
        <v>0</v>
      </c>
      <c r="C32" s="113"/>
      <c r="D32" s="283">
        <f>inputPrYr!E58</f>
        <v>0</v>
      </c>
      <c r="E32" s="113"/>
      <c r="F32" s="283">
        <v>0</v>
      </c>
      <c r="G32" s="66"/>
      <c r="H32" s="66"/>
    </row>
    <row r="33" spans="1:8" ht="15.75">
      <c r="A33" s="73" t="s">
        <v>177</v>
      </c>
      <c r="B33" s="283">
        <f>inputPrYr!D59</f>
        <v>0</v>
      </c>
      <c r="C33" s="113"/>
      <c r="D33" s="283">
        <f>inputPrYr!E59</f>
        <v>0</v>
      </c>
      <c r="E33" s="113"/>
      <c r="F33" s="283">
        <v>0</v>
      </c>
      <c r="G33" s="66"/>
      <c r="H33" s="66"/>
    </row>
    <row r="34" spans="1:8" ht="15.75">
      <c r="A34" s="73" t="s">
        <v>15</v>
      </c>
      <c r="B34" s="283">
        <f>inputPrYr!D60</f>
        <v>0</v>
      </c>
      <c r="C34" s="113"/>
      <c r="D34" s="283">
        <f>inputPrYr!E60</f>
        <v>0</v>
      </c>
      <c r="E34" s="113"/>
      <c r="F34" s="283">
        <v>0</v>
      </c>
      <c r="G34" s="66"/>
      <c r="H34" s="66"/>
    </row>
    <row r="35" spans="1:8" s="160" customFormat="1" ht="16.5" thickBot="1">
      <c r="A35" s="119" t="s">
        <v>16</v>
      </c>
      <c r="B35" s="284">
        <f>SUM(B32:B34)</f>
        <v>0</v>
      </c>
      <c r="C35" s="285"/>
      <c r="D35" s="284">
        <f>SUM(D32:D34)</f>
        <v>0</v>
      </c>
      <c r="E35" s="285"/>
      <c r="F35" s="284">
        <f>SUM(F32:F34)</f>
        <v>0</v>
      </c>
      <c r="G35" s="121"/>
      <c r="H35" s="121"/>
    </row>
    <row r="36" spans="1:8" ht="16.5" thickTop="1">
      <c r="A36" s="73" t="s">
        <v>17</v>
      </c>
      <c r="B36" s="66"/>
      <c r="C36" s="66"/>
      <c r="D36" s="66"/>
      <c r="E36" s="66"/>
      <c r="F36" s="66"/>
      <c r="G36" s="66"/>
      <c r="H36" s="66"/>
    </row>
    <row r="37" spans="1:8" ht="15.75">
      <c r="A37" s="66"/>
      <c r="B37" s="66"/>
      <c r="C37" s="66"/>
      <c r="D37" s="66"/>
      <c r="E37" s="66"/>
      <c r="F37" s="66"/>
      <c r="G37" s="66"/>
      <c r="H37" s="66"/>
    </row>
    <row r="38" spans="1:8" ht="15.75">
      <c r="A38" s="106"/>
      <c r="B38" s="106"/>
      <c r="C38" s="66"/>
      <c r="D38" s="66"/>
      <c r="E38" s="66"/>
      <c r="F38" s="66"/>
      <c r="G38" s="66"/>
      <c r="H38" s="66"/>
    </row>
    <row r="39" spans="1:8" ht="15.75">
      <c r="A39" s="70" t="s">
        <v>18</v>
      </c>
      <c r="B39" s="67"/>
      <c r="C39" s="66"/>
      <c r="D39" s="66"/>
      <c r="E39" s="66"/>
      <c r="F39" s="66"/>
      <c r="G39" s="66"/>
      <c r="H39" s="66"/>
    </row>
    <row r="40" spans="1:8" ht="15.75">
      <c r="A40" s="66"/>
      <c r="B40" s="66"/>
      <c r="C40" s="66"/>
      <c r="D40" s="66"/>
      <c r="E40" s="66"/>
      <c r="F40" s="66"/>
      <c r="G40" s="66"/>
      <c r="H40" s="66"/>
    </row>
    <row r="41" spans="1:8" ht="15.75">
      <c r="A41" s="66"/>
      <c r="B41" s="175" t="s">
        <v>166</v>
      </c>
      <c r="C41" s="176">
        <v>6</v>
      </c>
      <c r="D41" s="66"/>
      <c r="E41" s="66"/>
      <c r="F41" s="66"/>
      <c r="G41" s="66"/>
      <c r="H41" s="66"/>
    </row>
    <row r="42" spans="1:3" ht="15.75">
      <c r="A42" s="109"/>
      <c r="B42" s="109"/>
      <c r="C42" s="109"/>
    </row>
    <row r="44" spans="1:7" ht="15.75">
      <c r="A44" s="109"/>
      <c r="B44" s="109"/>
      <c r="C44" s="109"/>
      <c r="D44" s="109"/>
      <c r="E44" s="109"/>
      <c r="F44" s="109"/>
      <c r="G44" s="109"/>
    </row>
    <row r="45" ht="15.75">
      <c r="H45" s="109"/>
    </row>
    <row r="66" spans="1:6" ht="15.75">
      <c r="A66" s="109"/>
      <c r="B66" s="109"/>
      <c r="C66" s="109"/>
      <c r="D66" s="109"/>
      <c r="E66" s="109"/>
      <c r="F66" s="109"/>
    </row>
    <row r="73" spans="1:7" ht="15.75">
      <c r="A73" s="109"/>
      <c r="B73" s="109"/>
      <c r="C73" s="109"/>
      <c r="D73" s="109"/>
      <c r="E73" s="109"/>
      <c r="F73" s="109"/>
      <c r="G73" s="109"/>
    </row>
    <row r="74" ht="15.75">
      <c r="H74" s="109"/>
    </row>
    <row r="79" spans="1:7" ht="15.75">
      <c r="A79" s="109"/>
      <c r="B79" s="109"/>
      <c r="C79" s="109"/>
      <c r="D79" s="109"/>
      <c r="E79" s="109"/>
      <c r="F79" s="109"/>
      <c r="G79" s="109"/>
    </row>
    <row r="80" ht="15.75">
      <c r="H80" s="109"/>
    </row>
    <row r="100" spans="1:7" ht="15.75">
      <c r="A100" s="109"/>
      <c r="B100" s="109"/>
      <c r="C100" s="109"/>
      <c r="D100" s="109"/>
      <c r="E100" s="109"/>
      <c r="F100" s="109"/>
      <c r="G100" s="109"/>
    </row>
  </sheetData>
  <sheetProtection/>
  <mergeCells count="6">
    <mergeCell ref="A3:H3"/>
    <mergeCell ref="G14:G16"/>
    <mergeCell ref="A6:H6"/>
    <mergeCell ref="A5:H5"/>
    <mergeCell ref="A4:H4"/>
    <mergeCell ref="A8:H8"/>
  </mergeCells>
  <printOptions/>
  <pageMargins left="0.51" right="0.58" top="0.96" bottom="0.5" header="0.41" footer="0.3"/>
  <pageSetup blackAndWhite="1" fitToHeight="1" fitToWidth="1" horizontalDpi="300" verticalDpi="300" orientation="portrait" scale="74" r:id="rId1"/>
  <headerFooter alignWithMargins="0">
    <oddHeader>&amp;RState of Kansas
Township
</oddHeader>
    <oddFooter>&amp;Lrevised 12/08/09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D22" sqref="D22"/>
    </sheetView>
  </sheetViews>
  <sheetFormatPr defaultColWidth="8.796875" defaultRowHeight="15.75"/>
  <cols>
    <col min="1" max="1" width="10.59765625" style="105" customWidth="1"/>
    <col min="2" max="2" width="13.69921875" style="105" customWidth="1"/>
    <col min="3" max="5" width="12.69921875" style="105" customWidth="1"/>
    <col min="6" max="16384" width="8.796875" style="105" customWidth="1"/>
  </cols>
  <sheetData>
    <row r="1" spans="1:6" ht="15.75">
      <c r="A1" s="275" t="str">
        <f>inputPrYr!D3</f>
        <v>Cedar Township</v>
      </c>
      <c r="B1" s="66"/>
      <c r="C1" s="66"/>
      <c r="D1" s="66"/>
      <c r="E1" s="66"/>
      <c r="F1" s="66">
        <f>inputPrYr!D9</f>
        <v>2012</v>
      </c>
    </row>
    <row r="2" spans="1:6" ht="15.75">
      <c r="A2" s="66"/>
      <c r="B2" s="66"/>
      <c r="C2" s="66"/>
      <c r="D2" s="66"/>
      <c r="E2" s="66"/>
      <c r="F2" s="66"/>
    </row>
    <row r="3" spans="1:6" ht="15.75">
      <c r="A3" s="66"/>
      <c r="B3" s="323" t="str">
        <f>CONCATENATE("",F1," Neighborhood Revitalization Rebate")</f>
        <v>2012 Neighborhood Revitalization Rebate</v>
      </c>
      <c r="C3" s="328"/>
      <c r="D3" s="328"/>
      <c r="E3" s="328"/>
      <c r="F3" s="66"/>
    </row>
    <row r="4" spans="1:6" ht="15.75">
      <c r="A4" s="66"/>
      <c r="B4" s="66"/>
      <c r="C4" s="66"/>
      <c r="D4" s="66"/>
      <c r="E4" s="66"/>
      <c r="F4" s="66"/>
    </row>
    <row r="5" spans="1:6" ht="51" customHeight="1">
      <c r="A5" s="66"/>
      <c r="B5" s="235" t="str">
        <f>CONCATENATE("Budgeted Funds                            for ",F1,"")</f>
        <v>Budgeted Funds                            for 2012</v>
      </c>
      <c r="C5" s="235" t="str">
        <f>CONCATENATE("",F1-1," Ad Valorem before Rebate**")</f>
        <v>2011 Ad Valorem before Rebate**</v>
      </c>
      <c r="D5" s="236" t="str">
        <f>CONCATENATE("",F1-1," Mil Rate before Rebate")</f>
        <v>2011 Mil Rate before Rebate</v>
      </c>
      <c r="E5" s="237" t="str">
        <f>CONCATENATE("Estimate ",F1," NR Rebate")</f>
        <v>Estimate 2012 NR Rebate</v>
      </c>
      <c r="F5" s="154"/>
    </row>
    <row r="6" spans="1:6" ht="15.75">
      <c r="A6" s="66"/>
      <c r="B6" s="101" t="str">
        <f>IF(inputPrYr!B20&gt;0,inputPrYr!B20,"")</f>
        <v>General</v>
      </c>
      <c r="C6" s="238">
        <v>1553</v>
      </c>
      <c r="D6" s="239">
        <f>IF(C6&gt;0,C6/$D$18,"0.000")</f>
        <v>0.5394080474262283</v>
      </c>
      <c r="E6" s="234">
        <f>IF(C6&gt;0,ROUND(D6*$D$22,0),"0")</f>
        <v>35</v>
      </c>
      <c r="F6" s="154"/>
    </row>
    <row r="7" spans="1:6" ht="15.75">
      <c r="A7" s="66"/>
      <c r="B7" s="101"/>
      <c r="C7" s="238"/>
      <c r="D7" s="239"/>
      <c r="E7" s="234"/>
      <c r="F7" s="154"/>
    </row>
    <row r="8" spans="1:6" ht="15.75">
      <c r="A8" s="66"/>
      <c r="B8" s="101"/>
      <c r="C8" s="240"/>
      <c r="D8" s="239"/>
      <c r="E8" s="234"/>
      <c r="F8" s="154"/>
    </row>
    <row r="9" spans="1:6" ht="15.75">
      <c r="A9" s="66"/>
      <c r="B9" s="101"/>
      <c r="C9" s="240"/>
      <c r="D9" s="239"/>
      <c r="E9" s="234"/>
      <c r="F9" s="154"/>
    </row>
    <row r="10" spans="1:6" ht="15.75">
      <c r="A10" s="66"/>
      <c r="B10" s="101">
        <f>IF(inputPrYr!B24&gt;0,inputPrYr!B24,"")</f>
      </c>
      <c r="C10" s="240"/>
      <c r="D10" s="239">
        <f>IF(C10&gt;0,C10/$D$18,"")</f>
      </c>
      <c r="E10" s="234">
        <f>IF(C10&gt;0,ROUND(D10*$D$22,0),"")</f>
      </c>
      <c r="F10" s="154"/>
    </row>
    <row r="11" spans="1:6" ht="15.75">
      <c r="A11" s="66"/>
      <c r="B11" s="101">
        <f>IF(inputPrYr!B25&gt;0,inputPrYr!B25,"")</f>
      </c>
      <c r="C11" s="240"/>
      <c r="D11" s="239">
        <f>IF(C11&gt;0,C11/$D$18,"")</f>
      </c>
      <c r="E11" s="234">
        <f>IF(C11&gt;0,ROUND(D11*$D$22,0),"")</f>
      </c>
      <c r="F11" s="154"/>
    </row>
    <row r="12" spans="1:6" ht="15.75">
      <c r="A12" s="66"/>
      <c r="B12" s="101">
        <f>IF(inputPrYr!B27&gt;0,inputPrYr!B27,"")</f>
      </c>
      <c r="C12" s="240"/>
      <c r="D12" s="239">
        <f>IF(C12&gt;0,C12/$D$18,"")</f>
      </c>
      <c r="E12" s="234">
        <f>IF(C12&gt;0,ROUND(D12*$D$22,0),"")</f>
      </c>
      <c r="F12" s="154"/>
    </row>
    <row r="13" spans="1:6" s="274" customFormat="1" ht="17.25" thickBot="1">
      <c r="A13" s="121"/>
      <c r="B13" s="270" t="s">
        <v>130</v>
      </c>
      <c r="C13" s="271">
        <f>SUM(C6:C12)</f>
        <v>1553</v>
      </c>
      <c r="D13" s="272">
        <f>SUM(D6:D12)</f>
        <v>0.5394080474262283</v>
      </c>
      <c r="E13" s="271">
        <f>SUM(E6:E12)</f>
        <v>35</v>
      </c>
      <c r="F13" s="273"/>
    </row>
    <row r="14" spans="1:6" ht="16.5" thickTop="1">
      <c r="A14" s="66"/>
      <c r="B14" s="66"/>
      <c r="C14" s="66"/>
      <c r="D14" s="66"/>
      <c r="E14" s="66"/>
      <c r="F14" s="154"/>
    </row>
    <row r="15" spans="1:6" ht="15.75">
      <c r="A15" s="66"/>
      <c r="B15" s="66"/>
      <c r="C15" s="66"/>
      <c r="D15" s="66"/>
      <c r="E15" s="66"/>
      <c r="F15" s="154"/>
    </row>
    <row r="16" spans="1:6" ht="15.75">
      <c r="A16" s="376" t="str">
        <f>CONCATENATE("",F1-1," July 1 Valuation:")</f>
        <v>2011 July 1 Valuation:</v>
      </c>
      <c r="B16" s="375"/>
      <c r="C16" s="376"/>
      <c r="D16" s="241">
        <f>inputOth!E11</f>
        <v>2879082</v>
      </c>
      <c r="E16" s="66"/>
      <c r="F16" s="154"/>
    </row>
    <row r="17" spans="1:6" ht="15.75">
      <c r="A17" s="66"/>
      <c r="B17" s="66"/>
      <c r="C17" s="66"/>
      <c r="D17" s="66"/>
      <c r="E17" s="66"/>
      <c r="F17" s="154"/>
    </row>
    <row r="18" spans="1:6" ht="15.75">
      <c r="A18" s="66"/>
      <c r="B18" s="376" t="s">
        <v>196</v>
      </c>
      <c r="C18" s="376"/>
      <c r="D18" s="242">
        <f>IF(D16&gt;0,(D16*0.001),"")</f>
        <v>2879.082</v>
      </c>
      <c r="E18" s="66"/>
      <c r="F18" s="154"/>
    </row>
    <row r="19" spans="1:6" ht="15.75">
      <c r="A19" s="66"/>
      <c r="B19" s="113"/>
      <c r="C19" s="113"/>
      <c r="D19" s="243"/>
      <c r="E19" s="66"/>
      <c r="F19" s="154"/>
    </row>
    <row r="20" spans="1:6" ht="15.75">
      <c r="A20" s="374" t="s">
        <v>197</v>
      </c>
      <c r="B20" s="318"/>
      <c r="C20" s="318"/>
      <c r="D20" s="244">
        <f>inputOth!E33</f>
        <v>64410</v>
      </c>
      <c r="E20" s="141"/>
      <c r="F20" s="141"/>
    </row>
    <row r="21" spans="1:6" ht="15.75">
      <c r="A21" s="141"/>
      <c r="B21" s="141"/>
      <c r="C21" s="141"/>
      <c r="D21" s="245"/>
      <c r="E21" s="141"/>
      <c r="F21" s="141"/>
    </row>
    <row r="22" spans="1:6" ht="15.75">
      <c r="A22" s="141"/>
      <c r="B22" s="374" t="s">
        <v>198</v>
      </c>
      <c r="C22" s="375"/>
      <c r="D22" s="246">
        <f>IF(D20&gt;0,(D20*0.001),"")</f>
        <v>64.41</v>
      </c>
      <c r="E22" s="141"/>
      <c r="F22" s="141"/>
    </row>
    <row r="23" spans="1:6" ht="15.75">
      <c r="A23" s="141"/>
      <c r="B23" s="141"/>
      <c r="C23" s="141"/>
      <c r="D23" s="141"/>
      <c r="E23" s="141"/>
      <c r="F23" s="141"/>
    </row>
    <row r="24" spans="1:6" ht="15.75">
      <c r="A24" s="141"/>
      <c r="B24" s="141"/>
      <c r="C24" s="141"/>
      <c r="D24" s="141"/>
      <c r="E24" s="141"/>
      <c r="F24" s="141"/>
    </row>
    <row r="25" spans="1:6" ht="15.75">
      <c r="A25" s="141"/>
      <c r="B25" s="141"/>
      <c r="C25" s="141"/>
      <c r="D25" s="141"/>
      <c r="E25" s="141"/>
      <c r="F25" s="141"/>
    </row>
    <row r="26" spans="1:6" ht="15.75">
      <c r="A26" s="30" t="str">
        <f>CONCATENATE("**This information comes from the ",F1," Budget Summary page.  See instructions tab #11 for completing")</f>
        <v>**This information comes from the 2012 Budget Summary page.  See instructions tab #11 for completing</v>
      </c>
      <c r="B26" s="141"/>
      <c r="C26" s="141"/>
      <c r="D26" s="141"/>
      <c r="E26" s="141"/>
      <c r="F26" s="141"/>
    </row>
    <row r="27" spans="1:6" ht="15.75">
      <c r="A27" s="30" t="s">
        <v>2</v>
      </c>
      <c r="B27" s="141"/>
      <c r="C27" s="141"/>
      <c r="D27" s="141"/>
      <c r="E27" s="141"/>
      <c r="F27" s="141"/>
    </row>
    <row r="28" spans="1:6" ht="15.75">
      <c r="A28" s="30"/>
      <c r="B28" s="141"/>
      <c r="C28" s="141"/>
      <c r="D28" s="141"/>
      <c r="E28" s="141"/>
      <c r="F28" s="141"/>
    </row>
    <row r="29" spans="1:6" ht="15.75">
      <c r="A29" s="30"/>
      <c r="B29" s="141"/>
      <c r="C29" s="141"/>
      <c r="D29" s="141"/>
      <c r="E29" s="141"/>
      <c r="F29" s="141"/>
    </row>
    <row r="30" spans="1:6" ht="15.75">
      <c r="A30" s="30"/>
      <c r="B30" s="141"/>
      <c r="C30" s="141"/>
      <c r="D30" s="141"/>
      <c r="E30" s="141"/>
      <c r="F30" s="141"/>
    </row>
    <row r="31" spans="1:6" ht="15.75">
      <c r="A31" s="30"/>
      <c r="B31" s="141"/>
      <c r="C31" s="141"/>
      <c r="D31" s="141"/>
      <c r="E31" s="141"/>
      <c r="F31" s="141"/>
    </row>
    <row r="32" spans="1:6" ht="15.75">
      <c r="A32" s="30"/>
      <c r="B32" s="141"/>
      <c r="C32" s="141"/>
      <c r="D32" s="141"/>
      <c r="E32" s="141"/>
      <c r="F32" s="141"/>
    </row>
    <row r="33" spans="1:6" ht="15.75">
      <c r="A33" s="30"/>
      <c r="B33" s="141"/>
      <c r="C33" s="141"/>
      <c r="D33" s="141"/>
      <c r="E33" s="141"/>
      <c r="F33" s="141"/>
    </row>
    <row r="34" spans="1:6" ht="15.75">
      <c r="A34" s="141"/>
      <c r="B34" s="141"/>
      <c r="C34" s="141"/>
      <c r="D34" s="141"/>
      <c r="E34" s="141"/>
      <c r="F34" s="141"/>
    </row>
    <row r="35" spans="1:6" ht="15.75">
      <c r="A35" s="141"/>
      <c r="B35" s="115" t="s">
        <v>166</v>
      </c>
      <c r="C35" s="116">
        <v>7</v>
      </c>
      <c r="D35" s="141"/>
      <c r="E35" s="141"/>
      <c r="F35" s="141"/>
    </row>
    <row r="36" spans="1:6" ht="15.75">
      <c r="A36" s="154"/>
      <c r="B36" s="66"/>
      <c r="C36" s="66"/>
      <c r="D36" s="247"/>
      <c r="E36" s="154"/>
      <c r="F36" s="15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2011-07-26T16:41:53Z</cp:lastPrinted>
  <dcterms:created xsi:type="dcterms:W3CDTF">1998-08-26T16:30:41Z</dcterms:created>
  <dcterms:modified xsi:type="dcterms:W3CDTF">2011-12-08T16:35:46Z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C</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