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1.xml" ContentType="application/vnd.openxmlformats-officedocument.drawing+xml"/>
  <Override PartName="/xl/worksheets/sheet1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5160" tabRatio="850" firstSheet="1" activeTab="11"/>
  </bookViews>
  <sheets>
    <sheet name="inputPrYr" sheetId="1" r:id="rId1"/>
    <sheet name="inputOth" sheetId="2" r:id="rId2"/>
    <sheet name="inputBudSum" sheetId="3" r:id="rId3"/>
    <sheet name="cert" sheetId="4" r:id="rId4"/>
    <sheet name="computation" sheetId="5" r:id="rId5"/>
    <sheet name="mvalloc" sheetId="6" r:id="rId6"/>
    <sheet name="gen" sheetId="7" r:id="rId7"/>
    <sheet name="summ" sheetId="8" r:id="rId8"/>
    <sheet name="nhood" sheetId="9" r:id="rId9"/>
    <sheet name="Resolution" sheetId="10" r:id="rId10"/>
    <sheet name="Signature" sheetId="11" r:id="rId11"/>
    <sheet name="Publication" sheetId="12" r:id="rId12"/>
  </sheets>
  <definedNames>
    <definedName name="_xlnm.Print_Area" localSheetId="6">'gen'!$A$1:$G$51</definedName>
    <definedName name="_xlnm.Print_Area" localSheetId="0">'inputPrYr'!$A$1:$E$79</definedName>
  </definedNames>
  <calcPr fullCalcOnLoad="1"/>
</workbook>
</file>

<file path=xl/sharedStrings.xml><?xml version="1.0" encoding="utf-8"?>
<sst xmlns="http://schemas.openxmlformats.org/spreadsheetml/2006/main" count="253" uniqueCount="209">
  <si>
    <t>answering objections of taxpayers relating to the proposed use of all funds and the amount of ad valorem tax.</t>
  </si>
  <si>
    <t>the Neighborhood Revitalization Rebate table.</t>
  </si>
  <si>
    <t>a</t>
  </si>
  <si>
    <t>b</t>
  </si>
  <si>
    <t>c</t>
  </si>
  <si>
    <t>d</t>
  </si>
  <si>
    <t>e</t>
  </si>
  <si>
    <t>Smith County</t>
  </si>
  <si>
    <t>______________</t>
  </si>
  <si>
    <t>_________</t>
  </si>
  <si>
    <t>ADAMS, BROWN, BERAN</t>
  </si>
  <si>
    <t>&amp; BALL, CHTD.</t>
  </si>
  <si>
    <t>PO BOX 1186</t>
  </si>
  <si>
    <t>HAYS, KS 67601</t>
  </si>
  <si>
    <t>Special Road Election held ___________ for ___Mills for ___ years.</t>
  </si>
  <si>
    <t>First levy in ______.</t>
  </si>
  <si>
    <t>with the IRS.</t>
  </si>
  <si>
    <t>$</t>
  </si>
  <si>
    <t>Rate</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</si>
  <si>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</si>
  <si>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</si>
  <si>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</si>
  <si>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</si>
  <si>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</si>
  <si>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</si>
  <si>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</si>
  <si>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</si>
  <si>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</si>
  <si>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t>
  </si>
  <si>
    <t>Ad Valorem Tax</t>
  </si>
  <si>
    <t>Delinquent Tax</t>
  </si>
  <si>
    <t>Motor Vehicle Tax</t>
  </si>
  <si>
    <t>Recreational Vehicle Tax</t>
  </si>
  <si>
    <t>Gross Earnings (Intangibles) Tax</t>
  </si>
  <si>
    <t>Other</t>
  </si>
  <si>
    <t>Total Receipts</t>
  </si>
  <si>
    <t>Resources Available:</t>
  </si>
  <si>
    <t>Expenditures:</t>
  </si>
  <si>
    <t>Total Expenditures</t>
  </si>
  <si>
    <t>Tax Required</t>
  </si>
  <si>
    <t>Actual</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</si>
  <si>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</si>
  <si>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</si>
  <si>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</si>
  <si>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</si>
  <si>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</si>
  <si>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</si>
  <si>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</si>
  <si>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</si>
  <si>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</si>
  <si>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</si>
  <si>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</si>
  <si>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</si>
  <si>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Outstanding Indebtedness,</t>
  </si>
  <si>
    <t xml:space="preserve">  Jan 1</t>
  </si>
  <si>
    <t>G.O. Bonds</t>
  </si>
  <si>
    <t>Lease Pur Princ</t>
  </si>
  <si>
    <t xml:space="preserve">     Total</t>
  </si>
  <si>
    <t xml:space="preserve">  *Tax rates are expressed in mills.</t>
  </si>
  <si>
    <t>Township Officer</t>
  </si>
  <si>
    <t>16/20 M Vehicle Tax</t>
  </si>
  <si>
    <t>CERTIFICATE</t>
  </si>
  <si>
    <t>FUND PAGE - GENERAL</t>
  </si>
  <si>
    <t>NOTICE OF BUDGET HEARING</t>
  </si>
  <si>
    <t>BUDGET SUMMARY</t>
  </si>
  <si>
    <t>County Treasurer's 16/20M Vehicle Estimate</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</si>
  <si>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</si>
  <si>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</si>
  <si>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</si>
  <si>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</si>
  <si>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</si>
  <si>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</si>
  <si>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</si>
  <si>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</si>
  <si>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</si>
  <si>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</si>
  <si>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</si>
  <si>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</si>
  <si>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</si>
  <si>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</si>
  <si>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</si>
  <si>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</si>
  <si>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</si>
  <si>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</si>
  <si>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</si>
  <si>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</si>
  <si>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</si>
  <si>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</si>
  <si>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</si>
  <si>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Special Highway/Gasoline Tax</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</si>
  <si>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</si>
  <si>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</si>
  <si>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</si>
  <si>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</si>
  <si>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</si>
  <si>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</si>
  <si>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</si>
  <si>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</si>
  <si>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</si>
  <si>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</si>
  <si>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</si>
  <si>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</si>
  <si>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</si>
  <si>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</si>
  <si>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</si>
  <si>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November 1st Valuation</t>
  </si>
  <si>
    <t>County Clerk's Use Only</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</si>
  <si>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</si>
  <si>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</si>
  <si>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</si>
  <si>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</si>
  <si>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</si>
  <si>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</si>
  <si>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</si>
  <si>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</si>
  <si>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</si>
  <si>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</si>
  <si>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</si>
  <si>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</si>
  <si>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Other Fund Names:</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</si>
  <si>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</si>
  <si>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</si>
  <si>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</si>
  <si>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</si>
  <si>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</si>
  <si>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</si>
  <si>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</si>
  <si>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</si>
  <si>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Resolution</t>
  </si>
  <si>
    <t>Is a Resolution required?</t>
  </si>
  <si>
    <t>Note:  All amounts are to be entered in as whole numbers only.</t>
  </si>
  <si>
    <t>Motor Vehicle Tax Estimate</t>
  </si>
  <si>
    <t>16\20 M Vehicle Tax</t>
  </si>
  <si>
    <t>LAVTR</t>
  </si>
  <si>
    <t>Slider</t>
  </si>
  <si>
    <t xml:space="preserve">   </t>
  </si>
  <si>
    <t>Computation of Delinquency</t>
  </si>
  <si>
    <t>Rate used in this budget-this will be shown on all fund pages with a tax levy**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</si>
  <si>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</si>
  <si>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</si>
  <si>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</si>
  <si>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</si>
  <si>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</si>
  <si>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forms in the appropriate locations.  If any of the numbers are wrong, change them on this input sheet.</t>
  </si>
  <si>
    <t>Outstanding Indebtedness, January 1:</t>
  </si>
  <si>
    <t>County Treasurer's Slider Estimate</t>
  </si>
  <si>
    <t>Slider Factor</t>
  </si>
  <si>
    <t>Alloc of MVT, RVT, 16/20M Vehicles &amp; Slider</t>
  </si>
  <si>
    <t>Funds</t>
  </si>
  <si>
    <t>Budget Authority</t>
  </si>
  <si>
    <t xml:space="preserve">expenditure amounts should reflect the amended </t>
  </si>
  <si>
    <t>expenditure amounts.</t>
  </si>
  <si>
    <t>TOTAL</t>
  </si>
  <si>
    <t>Miscellaneous</t>
  </si>
  <si>
    <t>Does miscellaneous exceed 10% of Total Receipts</t>
  </si>
  <si>
    <t>Does miscellaneous exceed 10% of Total Expenditures</t>
  </si>
  <si>
    <t>Neighborhood Revitalization Rebate</t>
  </si>
  <si>
    <t>Enter County Name followed by 'County"</t>
  </si>
  <si>
    <t>Enter Township Name followed by 'Township'</t>
  </si>
  <si>
    <t>Allocation of Motor, Recreational, and 16/20M Vehicle Tax and Slider</t>
  </si>
  <si>
    <t>Non-Appr Bal</t>
  </si>
  <si>
    <t>Tot Exp/Non-Appr Bal</t>
  </si>
  <si>
    <t>Del Comp Rate:</t>
  </si>
  <si>
    <t>Input sheet for Township budget form</t>
  </si>
  <si>
    <t>Statute</t>
  </si>
  <si>
    <t>Fund name for all funds with a tax levy:</t>
  </si>
  <si>
    <t>General</t>
  </si>
  <si>
    <t>79-1962</t>
  </si>
  <si>
    <t>Total</t>
  </si>
  <si>
    <t>Recreational Vehicle Tax Estimate</t>
  </si>
  <si>
    <t xml:space="preserve"> </t>
  </si>
  <si>
    <t>County</t>
  </si>
  <si>
    <t>Page</t>
  </si>
  <si>
    <t>Clerk's</t>
  </si>
  <si>
    <t>Table of Contents:</t>
  </si>
  <si>
    <t>No.</t>
  </si>
  <si>
    <t>Use Only</t>
  </si>
  <si>
    <t>Fund</t>
  </si>
  <si>
    <t>K.S.A.</t>
  </si>
  <si>
    <t>Totals</t>
  </si>
  <si>
    <t>x</t>
  </si>
  <si>
    <t xml:space="preserve">         </t>
  </si>
  <si>
    <t>Assisted by:</t>
  </si>
  <si>
    <t xml:space="preserve">    Governing Body</t>
  </si>
  <si>
    <t>County Clerk</t>
  </si>
  <si>
    <r>
      <rPr>
        <b/>
        <sz val="12"/>
        <color indexed="10"/>
        <rFont val="Times New Roman"/>
        <family val="1"/>
      </rPr>
      <t>*</t>
    </r>
    <r>
      <rPr>
        <b/>
        <sz val="12"/>
        <rFont val="Times New Roman"/>
        <family val="1"/>
      </rPr>
      <t>If amended, then use the amended figures.</t>
    </r>
    <r>
      <rPr>
        <b/>
        <sz val="12"/>
        <color indexed="10"/>
        <rFont val="Times New Roman"/>
        <family val="1"/>
      </rPr>
      <t>*</t>
    </r>
  </si>
  <si>
    <t>Non-budgeted funds:</t>
  </si>
  <si>
    <r>
      <rPr>
        <sz val="12"/>
        <color indexed="10"/>
        <rFont val="Times New Roman"/>
        <family val="1"/>
      </rPr>
      <t>*</t>
    </r>
    <r>
      <rPr>
        <sz val="12"/>
        <rFont val="Times New Roman"/>
        <family val="1"/>
      </rPr>
      <t>Expenditures</t>
    </r>
    <r>
      <rPr>
        <sz val="12"/>
        <color indexed="10"/>
        <rFont val="Times New Roman"/>
        <family val="1"/>
      </rPr>
      <t>*</t>
    </r>
  </si>
  <si>
    <t>Valuation Factor:</t>
  </si>
  <si>
    <t>Neighborhood Revitalization Subj to Rebate:</t>
  </si>
  <si>
    <t>Neighborhood Revitalization factor:</t>
  </si>
  <si>
    <t>This tab will put the date and time and location of the budget hearing on the Budget Summary page.  Also, provide the location where as the budget can be reveiwed.  Please input information in the green areas.</t>
  </si>
  <si>
    <t>Date:</t>
  </si>
  <si>
    <t>Must be at least 10 days between date published and hearing held.</t>
  </si>
  <si>
    <t>Time:</t>
  </si>
  <si>
    <t>Location:</t>
  </si>
  <si>
    <t>Available at:</t>
  </si>
  <si>
    <t>Examples</t>
  </si>
  <si>
    <t>August 12, 2010</t>
  </si>
  <si>
    <t>7:00 PM or 7:00 AM</t>
  </si>
  <si>
    <t>Shawnee County Clerk's Office</t>
  </si>
  <si>
    <t>John Boy's residence 2310 S Highway, Ike City</t>
  </si>
  <si>
    <t>Administratin - Per Diem</t>
  </si>
  <si>
    <t>General Expense</t>
  </si>
  <si>
    <t>Fire Protection</t>
  </si>
  <si>
    <t>for Expenditures</t>
  </si>
  <si>
    <t>Blaine Township</t>
  </si>
  <si>
    <t>Cemetery Operations</t>
  </si>
  <si>
    <t>Interest</t>
  </si>
</sst>
</file>

<file path=xl/styles.xml><?xml version="1.0" encoding="utf-8"?>
<styleSheet xmlns="http://schemas.openxmlformats.org/spreadsheetml/2006/main">
  <numFmts count="3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mmmm\ d\,\ yyyy;@"/>
    <numFmt numFmtId="183" formatCode="[$-409]h:mm\ AM/PM;@"/>
    <numFmt numFmtId="184" formatCode="#,##0.00000_);\(#,##0.00000\)"/>
    <numFmt numFmtId="185" formatCode="[$-409]dddd\,\ mmmm\ dd\,\ yyyy"/>
    <numFmt numFmtId="186" formatCode="_(* #,##0.000_);_(* \(#,##0.000\);_(* &quot;-&quot;??_);_(@_)"/>
    <numFmt numFmtId="187" formatCode="_(* #,##0.0_);_(* \(#,##0.0\);_(* &quot;-&quot;??_);_(@_)"/>
  </numFmts>
  <fonts count="59">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color indexed="10"/>
      <name val="Times New Roman"/>
      <family val="1"/>
    </font>
    <font>
      <b/>
      <sz val="12"/>
      <name val="Courier"/>
      <family val="3"/>
    </font>
    <font>
      <sz val="12"/>
      <color indexed="10"/>
      <name val="Courier"/>
      <family val="3"/>
    </font>
    <font>
      <sz val="8"/>
      <name val="Times New Roman"/>
      <family val="1"/>
    </font>
    <font>
      <u val="single"/>
      <sz val="12"/>
      <color indexed="12"/>
      <name val="Courier"/>
      <family val="3"/>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13"/>
        <bgColor indexed="64"/>
      </patternFill>
    </fill>
    <fill>
      <patternFill patternType="solid">
        <fgColor indexed="43"/>
        <bgColor indexed="64"/>
      </patternFill>
    </fill>
    <fill>
      <patternFill patternType="solid">
        <fgColor indexed="15"/>
        <bgColor indexed="64"/>
      </patternFill>
    </fill>
    <fill>
      <patternFill patternType="solid">
        <fgColor indexed="35"/>
        <bgColor indexed="64"/>
      </patternFill>
    </fill>
    <fill>
      <patternFill patternType="solid">
        <fgColor indexed="10"/>
        <bgColor indexed="64"/>
      </patternFill>
    </fill>
    <fill>
      <patternFill patternType="solid">
        <fgColor indexed="41"/>
        <bgColor indexed="64"/>
      </patternFill>
    </fill>
    <fill>
      <patternFill patternType="solid">
        <fgColor indexed="34"/>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color indexed="63"/>
      </left>
      <right style="thin"/>
      <top style="thin"/>
      <bottom>
        <color indexed="63"/>
      </bottom>
    </border>
    <border>
      <left>
        <color indexed="63"/>
      </left>
      <right>
        <color indexed="63"/>
      </right>
      <top style="thin"/>
      <bottom style="thin"/>
    </border>
    <border>
      <left style="thin"/>
      <right style="thin"/>
      <top>
        <color indexed="63"/>
      </top>
      <bottom>
        <color indexed="63"/>
      </bottom>
    </border>
    <border>
      <left>
        <color indexed="63"/>
      </left>
      <right>
        <color indexed="63"/>
      </right>
      <top style="thin"/>
      <bottom>
        <color indexed="63"/>
      </bottom>
    </border>
    <border>
      <left>
        <color indexed="63"/>
      </left>
      <right>
        <color indexed="63"/>
      </right>
      <top>
        <color indexed="63"/>
      </top>
      <bottom style="double"/>
    </border>
    <border>
      <left>
        <color indexed="63"/>
      </left>
      <right style="thin"/>
      <top>
        <color indexed="63"/>
      </top>
      <bottom>
        <color indexed="63"/>
      </bottom>
    </border>
    <border>
      <left style="thin"/>
      <right>
        <color indexed="63"/>
      </right>
      <top>
        <color indexed="63"/>
      </top>
      <bottom style="thin"/>
    </border>
    <border>
      <left style="thin"/>
      <right>
        <color indexed="63"/>
      </right>
      <top style="thin"/>
      <bottom>
        <color indexed="63"/>
      </bottom>
    </border>
    <border>
      <left style="thin"/>
      <right style="thin"/>
      <top style="thin"/>
      <bottom style="double"/>
    </border>
    <border>
      <left style="thin"/>
      <right>
        <color indexed="63"/>
      </right>
      <top>
        <color indexed="63"/>
      </top>
      <bottom>
        <color indexed="63"/>
      </bottom>
    </border>
  </borders>
  <cellStyleXfs count="29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13"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12"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359">
    <xf numFmtId="0" fontId="0" fillId="0" borderId="0" xfId="0" applyAlignment="1">
      <alignment/>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0" borderId="0" xfId="0" applyFont="1" applyAlignment="1">
      <alignment horizontal="right"/>
    </xf>
    <xf numFmtId="0" fontId="0" fillId="33" borderId="0" xfId="0" applyFill="1" applyAlignment="1" applyProtection="1">
      <alignment/>
      <protection locked="0"/>
    </xf>
    <xf numFmtId="0" fontId="0" fillId="0" borderId="0" xfId="0" applyAlignment="1">
      <alignment vertical="center"/>
    </xf>
    <xf numFmtId="37" fontId="6" fillId="34" borderId="0" xfId="0" applyNumberFormat="1" applyFont="1" applyFill="1" applyAlignment="1" applyProtection="1">
      <alignment vertical="center"/>
      <protection/>
    </xf>
    <xf numFmtId="0" fontId="6" fillId="34" borderId="0" xfId="0" applyFont="1" applyFill="1" applyAlignment="1" applyProtection="1">
      <alignment vertical="center"/>
      <protection/>
    </xf>
    <xf numFmtId="0" fontId="6" fillId="34" borderId="0" xfId="0" applyNumberFormat="1" applyFont="1" applyFill="1" applyAlignment="1" applyProtection="1">
      <alignment horizontal="right" vertical="center"/>
      <protection/>
    </xf>
    <xf numFmtId="0" fontId="6" fillId="0" borderId="0" xfId="0" applyFont="1" applyAlignment="1" applyProtection="1">
      <alignment vertical="center"/>
      <protection locked="0"/>
    </xf>
    <xf numFmtId="0" fontId="5" fillId="34" borderId="0" xfId="0" applyFont="1" applyFill="1" applyAlignment="1" applyProtection="1">
      <alignment vertical="center"/>
      <protection/>
    </xf>
    <xf numFmtId="164" fontId="6" fillId="34" borderId="0" xfId="0" applyNumberFormat="1" applyFont="1" applyFill="1" applyAlignment="1" applyProtection="1">
      <alignment horizontal="right" vertical="center"/>
      <protection/>
    </xf>
    <xf numFmtId="0" fontId="6" fillId="34" borderId="0" xfId="0" applyFont="1" applyFill="1" applyBorder="1" applyAlignment="1" applyProtection="1">
      <alignment vertical="center"/>
      <protection/>
    </xf>
    <xf numFmtId="0" fontId="6" fillId="34" borderId="10" xfId="0" applyFont="1" applyFill="1" applyBorder="1" applyAlignment="1" applyProtection="1">
      <alignment vertical="center"/>
      <protection/>
    </xf>
    <xf numFmtId="37" fontId="6" fillId="34" borderId="10" xfId="0" applyNumberFormat="1" applyFont="1" applyFill="1" applyBorder="1" applyAlignment="1" applyProtection="1" quotePrefix="1">
      <alignment horizontal="right" vertical="center"/>
      <protection/>
    </xf>
    <xf numFmtId="37" fontId="6" fillId="34" borderId="0" xfId="0" applyNumberFormat="1" applyFont="1" applyFill="1" applyAlignment="1" applyProtection="1">
      <alignment horizontal="left" vertical="center"/>
      <protection/>
    </xf>
    <xf numFmtId="37" fontId="6" fillId="34" borderId="11" xfId="0" applyNumberFormat="1" applyFont="1" applyFill="1" applyBorder="1" applyAlignment="1" applyProtection="1">
      <alignment horizontal="center" vertical="center"/>
      <protection/>
    </xf>
    <xf numFmtId="37" fontId="6" fillId="34" borderId="0" xfId="0" applyNumberFormat="1" applyFont="1" applyFill="1" applyBorder="1" applyAlignment="1" applyProtection="1">
      <alignment vertical="center"/>
      <protection/>
    </xf>
    <xf numFmtId="37" fontId="6" fillId="34" borderId="0" xfId="0" applyNumberFormat="1" applyFont="1" applyFill="1" applyBorder="1" applyAlignment="1" applyProtection="1">
      <alignment horizontal="center" vertical="center"/>
      <protection/>
    </xf>
    <xf numFmtId="37" fontId="6" fillId="34" borderId="12" xfId="0" applyNumberFormat="1" applyFont="1" applyFill="1" applyBorder="1" applyAlignment="1" applyProtection="1">
      <alignment horizontal="center" vertical="center"/>
      <protection/>
    </xf>
    <xf numFmtId="37" fontId="6" fillId="34" borderId="13"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horizontal="left" vertical="center"/>
      <protection/>
    </xf>
    <xf numFmtId="0" fontId="6" fillId="34" borderId="15" xfId="0" applyFont="1" applyFill="1" applyBorder="1" applyAlignment="1" applyProtection="1">
      <alignment vertical="center"/>
      <protection/>
    </xf>
    <xf numFmtId="3" fontId="6" fillId="33" borderId="15" xfId="0" applyNumberFormat="1" applyFont="1" applyFill="1" applyBorder="1" applyAlignment="1" applyProtection="1">
      <alignment vertical="center"/>
      <protection locked="0"/>
    </xf>
    <xf numFmtId="3" fontId="6" fillId="34" borderId="15" xfId="0" applyNumberFormat="1" applyFont="1" applyFill="1" applyBorder="1" applyAlignment="1" applyProtection="1">
      <alignment vertical="center"/>
      <protection/>
    </xf>
    <xf numFmtId="3" fontId="6" fillId="34" borderId="16" xfId="0" applyNumberFormat="1" applyFont="1" applyFill="1" applyBorder="1" applyAlignment="1" applyProtection="1">
      <alignment vertical="center"/>
      <protection/>
    </xf>
    <xf numFmtId="3" fontId="6" fillId="34" borderId="16" xfId="0" applyNumberFormat="1" applyFont="1" applyFill="1" applyBorder="1" applyAlignment="1" applyProtection="1">
      <alignment horizontal="fill" vertical="center"/>
      <protection/>
    </xf>
    <xf numFmtId="3" fontId="6" fillId="33" borderId="16" xfId="0" applyNumberFormat="1" applyFont="1" applyFill="1" applyBorder="1" applyAlignment="1" applyProtection="1">
      <alignment vertical="center"/>
      <protection locked="0"/>
    </xf>
    <xf numFmtId="0" fontId="6" fillId="34" borderId="14" xfId="0" applyFont="1" applyFill="1" applyBorder="1" applyAlignment="1" applyProtection="1">
      <alignment vertical="center"/>
      <protection/>
    </xf>
    <xf numFmtId="3" fontId="6" fillId="33" borderId="16" xfId="0" applyNumberFormat="1" applyFont="1" applyFill="1" applyBorder="1" applyAlignment="1" applyProtection="1">
      <alignment vertical="center"/>
      <protection locked="0"/>
    </xf>
    <xf numFmtId="0" fontId="6" fillId="33" borderId="14" xfId="0" applyFont="1" applyFill="1" applyBorder="1" applyAlignment="1" applyProtection="1">
      <alignment vertical="center"/>
      <protection locked="0"/>
    </xf>
    <xf numFmtId="0" fontId="6" fillId="33" borderId="15" xfId="0" applyFont="1" applyFill="1" applyBorder="1" applyAlignment="1" applyProtection="1">
      <alignment vertical="center"/>
      <protection/>
    </xf>
    <xf numFmtId="37" fontId="6" fillId="33" borderId="14" xfId="0" applyNumberFormat="1" applyFont="1" applyFill="1" applyBorder="1" applyAlignment="1" applyProtection="1">
      <alignment horizontal="left" vertical="center"/>
      <protection locked="0"/>
    </xf>
    <xf numFmtId="37" fontId="6" fillId="34" borderId="14" xfId="0" applyNumberFormat="1" applyFont="1" applyFill="1" applyBorder="1" applyAlignment="1" applyProtection="1">
      <alignment horizontal="left" vertical="center"/>
      <protection locked="0"/>
    </xf>
    <xf numFmtId="37" fontId="6" fillId="34" borderId="15" xfId="0" applyNumberFormat="1" applyFont="1" applyFill="1" applyBorder="1" applyAlignment="1" applyProtection="1">
      <alignment horizontal="left" vertical="center"/>
      <protection/>
    </xf>
    <xf numFmtId="3" fontId="18" fillId="35" borderId="15" xfId="0" applyNumberFormat="1" applyFont="1" applyFill="1" applyBorder="1" applyAlignment="1" applyProtection="1">
      <alignment horizontal="center" vertical="center"/>
      <protection/>
    </xf>
    <xf numFmtId="0" fontId="5" fillId="34" borderId="14" xfId="0" applyFont="1" applyFill="1" applyBorder="1" applyAlignment="1" applyProtection="1">
      <alignment vertical="center"/>
      <protection/>
    </xf>
    <xf numFmtId="3" fontId="5" fillId="36" borderId="16" xfId="0" applyNumberFormat="1" applyFont="1" applyFill="1" applyBorder="1" applyAlignment="1" applyProtection="1">
      <alignment vertical="center"/>
      <protection/>
    </xf>
    <xf numFmtId="37" fontId="5" fillId="34" borderId="14" xfId="0" applyNumberFormat="1" applyFont="1" applyFill="1" applyBorder="1" applyAlignment="1" applyProtection="1">
      <alignment horizontal="left" vertical="center"/>
      <protection/>
    </xf>
    <xf numFmtId="3" fontId="6" fillId="36" borderId="16" xfId="0" applyNumberFormat="1" applyFont="1" applyFill="1" applyBorder="1" applyAlignment="1" applyProtection="1">
      <alignment vertical="center"/>
      <protection/>
    </xf>
    <xf numFmtId="3" fontId="5" fillId="34" borderId="16" xfId="0" applyNumberFormat="1" applyFont="1" applyFill="1" applyBorder="1" applyAlignment="1" applyProtection="1">
      <alignment vertical="center"/>
      <protection/>
    </xf>
    <xf numFmtId="0" fontId="6" fillId="34" borderId="0" xfId="0" applyFont="1" applyFill="1" applyAlignment="1" applyProtection="1">
      <alignment horizontal="right" vertical="center"/>
      <protection/>
    </xf>
    <xf numFmtId="3" fontId="6" fillId="34" borderId="0" xfId="0" applyNumberFormat="1" applyFont="1" applyFill="1" applyAlignment="1" applyProtection="1">
      <alignment horizontal="center" vertical="center"/>
      <protection/>
    </xf>
    <xf numFmtId="37" fontId="6" fillId="3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0" fontId="19" fillId="34" borderId="0" xfId="0" applyFont="1" applyFill="1" applyAlignment="1" applyProtection="1">
      <alignment horizontal="center" vertical="center"/>
      <protection/>
    </xf>
    <xf numFmtId="37" fontId="6" fillId="34" borderId="0" xfId="0" applyNumberFormat="1" applyFont="1" applyFill="1" applyAlignment="1" applyProtection="1">
      <alignment horizontal="right" vertical="center"/>
      <protection/>
    </xf>
    <xf numFmtId="178" fontId="6" fillId="34" borderId="0" xfId="0" applyNumberFormat="1" applyFont="1" applyFill="1" applyBorder="1" applyAlignment="1">
      <alignment horizontal="center" vertical="center"/>
    </xf>
    <xf numFmtId="3" fontId="6" fillId="34" borderId="0" xfId="0" applyNumberFormat="1" applyFont="1" applyFill="1" applyBorder="1" applyAlignment="1" applyProtection="1">
      <alignment vertical="center"/>
      <protection/>
    </xf>
    <xf numFmtId="0" fontId="6" fillId="0" borderId="0" xfId="0" applyFont="1" applyFill="1" applyBorder="1" applyAlignment="1" applyProtection="1">
      <alignment vertical="center"/>
      <protection locked="0"/>
    </xf>
    <xf numFmtId="3" fontId="6" fillId="34" borderId="0" xfId="0" applyNumberFormat="1" applyFont="1" applyFill="1" applyAlignment="1" applyProtection="1">
      <alignment vertical="center"/>
      <protection/>
    </xf>
    <xf numFmtId="0" fontId="6" fillId="0" borderId="0" xfId="0" applyFont="1" applyFill="1" applyAlignment="1" applyProtection="1">
      <alignment vertical="center"/>
      <protection locked="0"/>
    </xf>
    <xf numFmtId="164" fontId="6" fillId="33" borderId="0" xfId="0" applyNumberFormat="1" applyFont="1" applyFill="1" applyAlignment="1" applyProtection="1">
      <alignment horizontal="left" vertical="center"/>
      <protection locked="0"/>
    </xf>
    <xf numFmtId="3" fontId="6" fillId="0" borderId="0" xfId="0" applyNumberFormat="1" applyFont="1" applyAlignment="1" applyProtection="1">
      <alignment vertical="center"/>
      <protection locked="0"/>
    </xf>
    <xf numFmtId="3" fontId="6" fillId="0" borderId="0" xfId="0" applyNumberFormat="1" applyFont="1" applyFill="1" applyBorder="1" applyAlignment="1" applyProtection="1">
      <alignment vertical="center"/>
      <protection/>
    </xf>
    <xf numFmtId="0" fontId="19" fillId="34" borderId="0" xfId="0" applyFont="1" applyFill="1" applyAlignment="1" applyProtection="1">
      <alignment horizontal="center" vertical="center"/>
      <protection/>
    </xf>
    <xf numFmtId="164" fontId="6" fillId="34" borderId="0" xfId="0" applyNumberFormat="1" applyFont="1" applyFill="1" applyAlignment="1" applyProtection="1">
      <alignment vertical="center"/>
      <protection/>
    </xf>
    <xf numFmtId="37" fontId="6" fillId="34" borderId="0" xfId="0" applyNumberFormat="1" applyFont="1" applyFill="1" applyAlignment="1" applyProtection="1" quotePrefix="1">
      <alignment horizontal="right" vertical="center"/>
      <protection/>
    </xf>
    <xf numFmtId="0" fontId="6" fillId="33" borderId="0" xfId="0" applyFont="1" applyFill="1" applyAlignment="1" applyProtection="1">
      <alignment horizontal="left" vertical="center"/>
      <protection locked="0"/>
    </xf>
    <xf numFmtId="37" fontId="6" fillId="34" borderId="0" xfId="0" applyNumberFormat="1" applyFont="1" applyFill="1" applyBorder="1" applyAlignment="1" applyProtection="1">
      <alignment horizontal="fill" vertical="center"/>
      <protection/>
    </xf>
    <xf numFmtId="37" fontId="5" fillId="34" borderId="0" xfId="0" applyNumberFormat="1" applyFont="1" applyFill="1" applyAlignment="1" applyProtection="1">
      <alignment horizontal="left" vertical="center"/>
      <protection/>
    </xf>
    <xf numFmtId="1" fontId="6" fillId="34" borderId="11" xfId="0" applyNumberFormat="1"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left" vertical="center"/>
      <protection/>
    </xf>
    <xf numFmtId="37" fontId="6" fillId="34" borderId="16" xfId="0" applyNumberFormat="1" applyFont="1" applyFill="1" applyBorder="1" applyAlignment="1" applyProtection="1">
      <alignment horizontal="left" vertical="center"/>
      <protection/>
    </xf>
    <xf numFmtId="37" fontId="6" fillId="33" borderId="16" xfId="0" applyNumberFormat="1" applyFont="1" applyFill="1" applyBorder="1" applyAlignment="1" applyProtection="1">
      <alignment horizontal="left" vertical="center"/>
      <protection locked="0"/>
    </xf>
    <xf numFmtId="37" fontId="6" fillId="34" borderId="10" xfId="0" applyNumberFormat="1" applyFont="1" applyFill="1" applyBorder="1" applyAlignment="1" applyProtection="1">
      <alignment vertical="center"/>
      <protection/>
    </xf>
    <xf numFmtId="0" fontId="6" fillId="0" borderId="0" xfId="0" applyFont="1" applyAlignment="1">
      <alignment vertical="center"/>
    </xf>
    <xf numFmtId="0" fontId="6" fillId="33" borderId="0" xfId="0" applyFont="1" applyFill="1" applyAlignment="1" applyProtection="1">
      <alignment horizontal="left" vertical="center"/>
      <protection locked="0"/>
    </xf>
    <xf numFmtId="37" fontId="6" fillId="34" borderId="16" xfId="0" applyNumberFormat="1" applyFont="1" applyFill="1" applyBorder="1" applyAlignment="1" applyProtection="1">
      <alignment vertical="center"/>
      <protection/>
    </xf>
    <xf numFmtId="37" fontId="6" fillId="34" borderId="0" xfId="0" applyNumberFormat="1" applyFont="1" applyFill="1" applyAlignment="1">
      <alignment vertical="center"/>
    </xf>
    <xf numFmtId="0" fontId="6" fillId="34" borderId="0" xfId="0" applyFont="1" applyFill="1" applyAlignment="1">
      <alignment vertical="center"/>
    </xf>
    <xf numFmtId="0" fontId="6" fillId="34" borderId="16" xfId="0" applyFont="1" applyFill="1" applyBorder="1" applyAlignment="1">
      <alignment horizontal="center" vertical="center"/>
    </xf>
    <xf numFmtId="0" fontId="6" fillId="34" borderId="0" xfId="0" applyFont="1" applyFill="1" applyAlignment="1">
      <alignment horizontal="right" vertical="center"/>
    </xf>
    <xf numFmtId="0" fontId="5" fillId="34" borderId="0" xfId="0" applyFont="1" applyFill="1" applyAlignment="1" applyProtection="1">
      <alignment horizontal="center" vertical="center"/>
      <protection/>
    </xf>
    <xf numFmtId="0" fontId="6" fillId="34" borderId="11" xfId="0" applyFont="1" applyFill="1" applyBorder="1" applyAlignment="1" applyProtection="1">
      <alignment horizontal="center" vertical="center" wrapText="1"/>
      <protection/>
    </xf>
    <xf numFmtId="0" fontId="6" fillId="34" borderId="17" xfId="0" applyFont="1" applyFill="1" applyBorder="1" applyAlignment="1" applyProtection="1">
      <alignment horizontal="center" vertical="center" wrapText="1"/>
      <protection/>
    </xf>
    <xf numFmtId="0" fontId="6" fillId="34" borderId="16" xfId="0" applyFont="1" applyFill="1" applyBorder="1" applyAlignment="1" applyProtection="1">
      <alignment horizontal="center" vertical="center" wrapText="1"/>
      <protection/>
    </xf>
    <xf numFmtId="0" fontId="6" fillId="34" borderId="0" xfId="0" applyFont="1" applyFill="1" applyAlignment="1" applyProtection="1">
      <alignment vertical="center"/>
      <protection locked="0"/>
    </xf>
    <xf numFmtId="3" fontId="6" fillId="33" borderId="16" xfId="0" applyNumberFormat="1" applyFont="1" applyFill="1" applyBorder="1" applyAlignment="1" applyProtection="1">
      <alignment horizontal="center" vertical="center"/>
      <protection locked="0"/>
    </xf>
    <xf numFmtId="181" fontId="6" fillId="34" borderId="16" xfId="0" applyNumberFormat="1" applyFont="1" applyFill="1" applyBorder="1" applyAlignment="1" applyProtection="1">
      <alignment horizontal="center" vertical="center"/>
      <protection/>
    </xf>
    <xf numFmtId="3" fontId="6" fillId="34" borderId="16" xfId="0" applyNumberFormat="1" applyFont="1" applyFill="1" applyBorder="1" applyAlignment="1" applyProtection="1">
      <alignment horizontal="center" vertical="center"/>
      <protection/>
    </xf>
    <xf numFmtId="3" fontId="6" fillId="33" borderId="11" xfId="0" applyNumberFormat="1" applyFont="1" applyFill="1" applyBorder="1" applyAlignment="1" applyProtection="1">
      <alignment horizontal="center" vertical="center"/>
      <protection locked="0"/>
    </xf>
    <xf numFmtId="3" fontId="6" fillId="34" borderId="10" xfId="0" applyNumberFormat="1" applyFont="1" applyFill="1" applyBorder="1" applyAlignment="1" applyProtection="1">
      <alignment horizontal="center" vertical="center"/>
      <protection/>
    </xf>
    <xf numFmtId="181" fontId="6" fillId="34" borderId="10" xfId="0" applyNumberFormat="1" applyFont="1" applyFill="1" applyBorder="1" applyAlignment="1" applyProtection="1">
      <alignment horizontal="center" vertical="center"/>
      <protection/>
    </xf>
    <xf numFmtId="181" fontId="6" fillId="34" borderId="0" xfId="0" applyNumberFormat="1" applyFont="1" applyFill="1" applyBorder="1" applyAlignment="1" applyProtection="1">
      <alignment horizontal="center" vertical="center"/>
      <protection/>
    </xf>
    <xf numFmtId="3" fontId="6" fillId="34" borderId="10" xfId="0" applyNumberFormat="1" applyFont="1" applyFill="1" applyBorder="1" applyAlignment="1">
      <alignment horizontal="center" vertical="center"/>
    </xf>
    <xf numFmtId="0" fontId="0" fillId="34" borderId="0" xfId="0" applyFill="1" applyAlignment="1">
      <alignment vertical="center"/>
    </xf>
    <xf numFmtId="0" fontId="0" fillId="34" borderId="0" xfId="0" applyFill="1" applyAlignment="1">
      <alignment horizontal="center" vertical="center"/>
    </xf>
    <xf numFmtId="181" fontId="6" fillId="34" borderId="10" xfId="0" applyNumberFormat="1" applyFont="1" applyFill="1" applyBorder="1" applyAlignment="1">
      <alignment horizontal="center" vertical="center"/>
    </xf>
    <xf numFmtId="179" fontId="6" fillId="34" borderId="0" xfId="0" applyNumberFormat="1" applyFont="1" applyFill="1" applyBorder="1" applyAlignment="1" applyProtection="1">
      <alignment vertical="center"/>
      <protection/>
    </xf>
    <xf numFmtId="37" fontId="5" fillId="34" borderId="0" xfId="0" applyNumberFormat="1" applyFont="1" applyFill="1" applyAlignment="1" applyProtection="1">
      <alignment horizontal="centerContinuous" vertical="center"/>
      <protection/>
    </xf>
    <xf numFmtId="0" fontId="6" fillId="34" borderId="0" xfId="0" applyFont="1" applyFill="1" applyAlignment="1" applyProtection="1">
      <alignment horizontal="centerContinuous" vertical="center"/>
      <protection/>
    </xf>
    <xf numFmtId="37" fontId="7" fillId="34" borderId="0" xfId="0" applyNumberFormat="1" applyFont="1" applyFill="1" applyAlignment="1" applyProtection="1">
      <alignment horizontal="center" vertical="center"/>
      <protection/>
    </xf>
    <xf numFmtId="37" fontId="6" fillId="34" borderId="0" xfId="0" applyNumberFormat="1" applyFont="1" applyFill="1" applyAlignment="1" applyProtection="1">
      <alignment horizontal="centerContinuous" vertical="center"/>
      <protection/>
    </xf>
    <xf numFmtId="0" fontId="5" fillId="34" borderId="0" xfId="0" applyFont="1" applyFill="1" applyAlignment="1" applyProtection="1">
      <alignment horizontal="centerContinuous" vertical="center"/>
      <protection/>
    </xf>
    <xf numFmtId="0" fontId="6" fillId="0" borderId="0" xfId="0" applyFont="1" applyBorder="1" applyAlignment="1" applyProtection="1">
      <alignment vertical="center"/>
      <protection locked="0"/>
    </xf>
    <xf numFmtId="1" fontId="6" fillId="34" borderId="14" xfId="0" applyNumberFormat="1" applyFont="1" applyFill="1" applyBorder="1" applyAlignment="1" applyProtection="1">
      <alignment horizontal="centerContinuous" vertical="center"/>
      <protection/>
    </xf>
    <xf numFmtId="1" fontId="6" fillId="34" borderId="15" xfId="0" applyNumberFormat="1" applyFont="1" applyFill="1" applyBorder="1" applyAlignment="1" applyProtection="1">
      <alignment horizontal="centerContinuous" vertical="center"/>
      <protection/>
    </xf>
    <xf numFmtId="0" fontId="6" fillId="34" borderId="15" xfId="0" applyFont="1" applyFill="1" applyBorder="1" applyAlignment="1" applyProtection="1">
      <alignment horizontal="centerContinuous" vertical="center"/>
      <protection/>
    </xf>
    <xf numFmtId="37" fontId="6" fillId="34" borderId="14" xfId="0" applyNumberFormat="1" applyFont="1" applyFill="1" applyBorder="1" applyAlignment="1" applyProtection="1">
      <alignment horizontal="centerContinuous" vertical="center"/>
      <protection/>
    </xf>
    <xf numFmtId="0" fontId="6" fillId="34" borderId="18" xfId="0" applyFont="1" applyFill="1" applyBorder="1" applyAlignment="1" applyProtection="1">
      <alignment horizontal="centerContinuous" vertical="center"/>
      <protection/>
    </xf>
    <xf numFmtId="0" fontId="6" fillId="34" borderId="11" xfId="0" applyFont="1" applyFill="1" applyBorder="1" applyAlignment="1" applyProtection="1">
      <alignment vertical="center"/>
      <protection/>
    </xf>
    <xf numFmtId="37" fontId="6" fillId="34" borderId="19" xfId="0" applyNumberFormat="1" applyFont="1" applyFill="1" applyBorder="1" applyAlignment="1" applyProtection="1">
      <alignment horizontal="center" vertical="center"/>
      <protection/>
    </xf>
    <xf numFmtId="165" fontId="6" fillId="34" borderId="16" xfId="0" applyNumberFormat="1" applyFont="1" applyFill="1" applyBorder="1" applyAlignment="1" applyProtection="1">
      <alignment vertical="center"/>
      <protection/>
    </xf>
    <xf numFmtId="37" fontId="6" fillId="36" borderId="16" xfId="0" applyNumberFormat="1" applyFont="1" applyFill="1" applyBorder="1" applyAlignment="1" applyProtection="1">
      <alignment vertical="center"/>
      <protection/>
    </xf>
    <xf numFmtId="37" fontId="6" fillId="34" borderId="16" xfId="0" applyNumberFormat="1" applyFont="1" applyFill="1" applyBorder="1" applyAlignment="1" applyProtection="1">
      <alignment horizontal="fill" vertical="center"/>
      <protection/>
    </xf>
    <xf numFmtId="1" fontId="6" fillId="34" borderId="10" xfId="0" applyNumberFormat="1" applyFont="1" applyFill="1" applyBorder="1" applyAlignment="1" applyProtection="1">
      <alignment horizontal="center" vertical="center"/>
      <protection/>
    </xf>
    <xf numFmtId="37" fontId="6" fillId="34" borderId="16" xfId="0" applyNumberFormat="1"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fill" vertical="center"/>
      <protection/>
    </xf>
    <xf numFmtId="0" fontId="6" fillId="34" borderId="11" xfId="0" applyFont="1" applyFill="1" applyBorder="1" applyAlignment="1" applyProtection="1">
      <alignment horizontal="center" vertical="center"/>
      <protection/>
    </xf>
    <xf numFmtId="0" fontId="6" fillId="34" borderId="13" xfId="0" applyFont="1" applyFill="1" applyBorder="1" applyAlignment="1" applyProtection="1">
      <alignment horizontal="center" vertical="center"/>
      <protection/>
    </xf>
    <xf numFmtId="0" fontId="6" fillId="34" borderId="16" xfId="0" applyFont="1" applyFill="1" applyBorder="1" applyAlignment="1" applyProtection="1">
      <alignment horizontal="center" vertical="center"/>
      <protection/>
    </xf>
    <xf numFmtId="37" fontId="6" fillId="33" borderId="16" xfId="0" applyNumberFormat="1" applyFont="1" applyFill="1" applyBorder="1" applyAlignment="1" applyProtection="1">
      <alignment vertical="center"/>
      <protection locked="0"/>
    </xf>
    <xf numFmtId="0" fontId="6" fillId="33" borderId="16" xfId="0" applyFont="1" applyFill="1" applyBorder="1" applyAlignment="1" applyProtection="1">
      <alignment vertical="center"/>
      <protection locked="0"/>
    </xf>
    <xf numFmtId="37" fontId="5" fillId="34" borderId="0" xfId="0" applyNumberFormat="1" applyFont="1" applyFill="1" applyBorder="1" applyAlignment="1" applyProtection="1">
      <alignment horizontal="center" vertical="center"/>
      <protection/>
    </xf>
    <xf numFmtId="0" fontId="7" fillId="34" borderId="0" xfId="0" applyFont="1" applyFill="1" applyBorder="1" applyAlignment="1" applyProtection="1">
      <alignment horizontal="centerContinuous" vertical="center"/>
      <protection/>
    </xf>
    <xf numFmtId="0" fontId="6" fillId="34" borderId="0" xfId="0" applyFont="1" applyFill="1" applyBorder="1" applyAlignment="1" applyProtection="1">
      <alignment horizontal="centerContinuous" vertical="center"/>
      <protection/>
    </xf>
    <xf numFmtId="0" fontId="0" fillId="0" borderId="20" xfId="0" applyBorder="1" applyAlignment="1">
      <alignment vertical="center"/>
    </xf>
    <xf numFmtId="37" fontId="6" fillId="34" borderId="13" xfId="0" applyNumberFormat="1" applyFont="1" applyFill="1" applyBorder="1" applyAlignment="1" applyProtection="1">
      <alignment vertical="center"/>
      <protection/>
    </xf>
    <xf numFmtId="37" fontId="6" fillId="33" borderId="16" xfId="0" applyNumberFormat="1" applyFont="1" applyFill="1" applyBorder="1" applyAlignment="1" applyProtection="1">
      <alignment vertical="center"/>
      <protection/>
    </xf>
    <xf numFmtId="181" fontId="6" fillId="34" borderId="16" xfId="0" applyNumberFormat="1" applyFont="1" applyFill="1" applyBorder="1" applyAlignment="1" applyProtection="1">
      <alignment vertical="center"/>
      <protection/>
    </xf>
    <xf numFmtId="3" fontId="6" fillId="33" borderId="16" xfId="0" applyNumberFormat="1" applyFont="1" applyFill="1" applyBorder="1" applyAlignment="1" applyProtection="1">
      <alignment vertical="center"/>
      <protection/>
    </xf>
    <xf numFmtId="0" fontId="6" fillId="33" borderId="16" xfId="0" applyFont="1" applyFill="1" applyBorder="1" applyAlignment="1" applyProtection="1">
      <alignment vertical="center"/>
      <protection/>
    </xf>
    <xf numFmtId="0" fontId="6" fillId="34" borderId="16" xfId="0" applyFont="1" applyFill="1" applyBorder="1" applyAlignment="1" applyProtection="1">
      <alignment horizontal="right" vertical="center"/>
      <protection/>
    </xf>
    <xf numFmtId="166" fontId="6" fillId="36" borderId="10" xfId="0" applyNumberFormat="1" applyFont="1" applyFill="1" applyBorder="1" applyAlignment="1" applyProtection="1">
      <alignment vertical="center"/>
      <protection/>
    </xf>
    <xf numFmtId="0" fontId="7" fillId="34" borderId="0" xfId="0" applyFont="1" applyFill="1" applyAlignment="1" applyProtection="1">
      <alignment vertical="center"/>
      <protection/>
    </xf>
    <xf numFmtId="166" fontId="6" fillId="34" borderId="10" xfId="0" applyNumberFormat="1" applyFont="1" applyFill="1" applyBorder="1" applyAlignment="1" applyProtection="1">
      <alignment vertical="center"/>
      <protection/>
    </xf>
    <xf numFmtId="169" fontId="6" fillId="36" borderId="10" xfId="0" applyNumberFormat="1" applyFont="1" applyFill="1" applyBorder="1" applyAlignment="1" applyProtection="1">
      <alignment vertical="center"/>
      <protection/>
    </xf>
    <xf numFmtId="166" fontId="6" fillId="3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locked="0"/>
    </xf>
    <xf numFmtId="0" fontId="5" fillId="34" borderId="0" xfId="0" applyFont="1" applyFill="1" applyAlignment="1" applyProtection="1">
      <alignment horizontal="center" vertical="center" wrapText="1"/>
      <protection/>
    </xf>
    <xf numFmtId="0" fontId="6" fillId="34" borderId="0" xfId="0" applyFont="1" applyFill="1" applyAlignment="1" applyProtection="1" quotePrefix="1">
      <alignment vertical="center"/>
      <protection/>
    </xf>
    <xf numFmtId="3" fontId="6" fillId="34" borderId="0" xfId="0" applyNumberFormat="1" applyFont="1" applyFill="1" applyAlignment="1" applyProtection="1" quotePrefix="1">
      <alignment vertical="center"/>
      <protection/>
    </xf>
    <xf numFmtId="3" fontId="6" fillId="34" borderId="10" xfId="0" applyNumberFormat="1" applyFont="1" applyFill="1" applyBorder="1" applyAlignment="1" applyProtection="1">
      <alignment vertical="center"/>
      <protection/>
    </xf>
    <xf numFmtId="3" fontId="6" fillId="36" borderId="18" xfId="0" applyNumberFormat="1" applyFont="1" applyFill="1" applyBorder="1" applyAlignment="1" applyProtection="1">
      <alignment vertical="center"/>
      <protection/>
    </xf>
    <xf numFmtId="3" fontId="6" fillId="34" borderId="18" xfId="0" applyNumberFormat="1" applyFont="1" applyFill="1" applyBorder="1" applyAlignment="1" applyProtection="1">
      <alignment vertical="center"/>
      <protection/>
    </xf>
    <xf numFmtId="0" fontId="6" fillId="34" borderId="20" xfId="0" applyFont="1" applyFill="1" applyBorder="1" applyAlignment="1" applyProtection="1">
      <alignment vertical="center"/>
      <protection/>
    </xf>
    <xf numFmtId="169" fontId="6" fillId="34" borderId="10" xfId="0" applyNumberFormat="1" applyFont="1" applyFill="1" applyBorder="1" applyAlignment="1" applyProtection="1">
      <alignment vertical="center"/>
      <protection/>
    </xf>
    <xf numFmtId="0" fontId="6" fillId="34" borderId="0" xfId="0" applyFont="1" applyFill="1" applyBorder="1" applyAlignment="1" applyProtection="1" quotePrefix="1">
      <alignment vertical="center"/>
      <protection/>
    </xf>
    <xf numFmtId="3" fontId="6" fillId="34" borderId="21" xfId="0" applyNumberFormat="1" applyFont="1" applyFill="1" applyBorder="1" applyAlignment="1" applyProtection="1">
      <alignment vertical="center"/>
      <protection/>
    </xf>
    <xf numFmtId="0" fontId="8" fillId="0" borderId="0" xfId="0" applyFont="1" applyAlignment="1">
      <alignment vertical="center"/>
    </xf>
    <xf numFmtId="37" fontId="6" fillId="34" borderId="11" xfId="0" applyNumberFormat="1" applyFont="1" applyFill="1" applyBorder="1" applyAlignment="1" applyProtection="1">
      <alignment horizontal="left" vertical="center"/>
      <protection/>
    </xf>
    <xf numFmtId="0" fontId="6" fillId="34" borderId="17" xfId="0" applyFont="1" applyFill="1" applyBorder="1" applyAlignment="1" applyProtection="1">
      <alignment vertical="center"/>
      <protection/>
    </xf>
    <xf numFmtId="0" fontId="6" fillId="34" borderId="22" xfId="0" applyFont="1" applyFill="1" applyBorder="1" applyAlignment="1" applyProtection="1">
      <alignment vertical="center"/>
      <protection/>
    </xf>
    <xf numFmtId="37" fontId="7" fillId="34" borderId="23" xfId="0" applyNumberFormat="1" applyFont="1" applyFill="1" applyBorder="1" applyAlignment="1" applyProtection="1">
      <alignment horizontal="left" vertical="center"/>
      <protection/>
    </xf>
    <xf numFmtId="0" fontId="6" fillId="34" borderId="12" xfId="0" applyFont="1" applyFill="1" applyBorder="1" applyAlignment="1" applyProtection="1">
      <alignment vertical="center"/>
      <protection/>
    </xf>
    <xf numFmtId="37" fontId="6" fillId="36" borderId="16" xfId="0" applyNumberFormat="1" applyFont="1" applyFill="1" applyBorder="1" applyAlignment="1" applyProtection="1">
      <alignment horizontal="center" vertical="center"/>
      <protection/>
    </xf>
    <xf numFmtId="164" fontId="6" fillId="34" borderId="16" xfId="0" applyNumberFormat="1" applyFont="1" applyFill="1" applyBorder="1" applyAlignment="1" applyProtection="1">
      <alignment horizontal="center" vertical="center"/>
      <protection/>
    </xf>
    <xf numFmtId="164" fontId="6" fillId="34" borderId="15" xfId="0" applyNumberFormat="1" applyFont="1" applyFill="1" applyBorder="1" applyAlignment="1" applyProtection="1">
      <alignment horizontal="center" vertical="center"/>
      <protection/>
    </xf>
    <xf numFmtId="37" fontId="5" fillId="34" borderId="24" xfId="0" applyNumberFormat="1" applyFont="1" applyFill="1" applyBorder="1" applyAlignment="1" applyProtection="1">
      <alignment horizontal="left" vertical="center"/>
      <protection/>
    </xf>
    <xf numFmtId="0" fontId="6" fillId="34" borderId="18" xfId="0" applyFont="1" applyFill="1" applyBorder="1" applyAlignment="1" applyProtection="1">
      <alignment vertical="center"/>
      <protection/>
    </xf>
    <xf numFmtId="0" fontId="6" fillId="35" borderId="16" xfId="0" applyFont="1" applyFill="1" applyBorder="1" applyAlignment="1" applyProtection="1">
      <alignment horizontal="center" vertical="center" shrinkToFit="1"/>
      <protection/>
    </xf>
    <xf numFmtId="0" fontId="18" fillId="35" borderId="15" xfId="0" applyFont="1" applyFill="1" applyBorder="1" applyAlignment="1" applyProtection="1">
      <alignment horizontal="center" vertical="center"/>
      <protection/>
    </xf>
    <xf numFmtId="0" fontId="6" fillId="34" borderId="0" xfId="0" applyFont="1" applyFill="1" applyBorder="1" applyAlignment="1" applyProtection="1">
      <alignment horizontal="center" vertical="center" shrinkToFit="1"/>
      <protection/>
    </xf>
    <xf numFmtId="0" fontId="18" fillId="34" borderId="0" xfId="0" applyFont="1" applyFill="1" applyBorder="1" applyAlignment="1" applyProtection="1">
      <alignment horizontal="center" vertical="center"/>
      <protection/>
    </xf>
    <xf numFmtId="37" fontId="6" fillId="34" borderId="13" xfId="0" applyNumberFormat="1" applyFont="1" applyFill="1" applyBorder="1" applyAlignment="1" applyProtection="1">
      <alignment horizontal="left" vertical="center"/>
      <protection/>
    </xf>
    <xf numFmtId="0" fontId="10" fillId="34" borderId="0" xfId="0" applyFont="1" applyFill="1" applyAlignment="1" applyProtection="1">
      <alignment horizontal="center" vertical="center"/>
      <protection/>
    </xf>
    <xf numFmtId="0" fontId="6" fillId="34" borderId="0" xfId="0" applyFont="1" applyFill="1" applyBorder="1" applyAlignment="1" applyProtection="1">
      <alignment vertical="center"/>
      <protection locked="0"/>
    </xf>
    <xf numFmtId="37" fontId="6" fillId="34" borderId="0" xfId="0" applyNumberFormat="1" applyFont="1" applyFill="1" applyBorder="1" applyAlignment="1" applyProtection="1">
      <alignment horizontal="left" vertical="center"/>
      <protection/>
    </xf>
    <xf numFmtId="0" fontId="6" fillId="33" borderId="10" xfId="0" applyFont="1" applyFill="1" applyBorder="1" applyAlignment="1" applyProtection="1">
      <alignment vertical="center"/>
      <protection locked="0"/>
    </xf>
    <xf numFmtId="0" fontId="6" fillId="33" borderId="18" xfId="0" applyFont="1" applyFill="1" applyBorder="1" applyAlignment="1" applyProtection="1">
      <alignment vertical="center"/>
      <protection locked="0"/>
    </xf>
    <xf numFmtId="0" fontId="6" fillId="33" borderId="0" xfId="0" applyFont="1" applyFill="1" applyAlignment="1" applyProtection="1">
      <alignment vertical="center"/>
      <protection locked="0"/>
    </xf>
    <xf numFmtId="37" fontId="6" fillId="33" borderId="0" xfId="0" applyNumberFormat="1" applyFont="1" applyFill="1" applyAlignment="1" applyProtection="1">
      <alignment horizontal="left" vertical="center"/>
      <protection locked="0"/>
    </xf>
    <xf numFmtId="0" fontId="6" fillId="34" borderId="0" xfId="0" applyFont="1" applyFill="1" applyAlignment="1" applyProtection="1">
      <alignment horizontal="left" vertical="center"/>
      <protection/>
    </xf>
    <xf numFmtId="37" fontId="6" fillId="33" borderId="10" xfId="0" applyNumberFormat="1" applyFont="1" applyFill="1" applyBorder="1" applyAlignment="1" applyProtection="1">
      <alignment horizontal="left" vertical="center"/>
      <protection locked="0"/>
    </xf>
    <xf numFmtId="0" fontId="5" fillId="37" borderId="0" xfId="0" applyFont="1" applyFill="1" applyAlignment="1" applyProtection="1">
      <alignment horizontal="left" vertical="center"/>
      <protection/>
    </xf>
    <xf numFmtId="0" fontId="6" fillId="37" borderId="0" xfId="0" applyFont="1" applyFill="1" applyAlignment="1" applyProtection="1">
      <alignment vertical="center"/>
      <protection/>
    </xf>
    <xf numFmtId="3" fontId="6" fillId="33" borderId="10" xfId="0" applyNumberFormat="1" applyFont="1" applyFill="1" applyBorder="1" applyAlignment="1" applyProtection="1">
      <alignment vertical="center"/>
      <protection locked="0"/>
    </xf>
    <xf numFmtId="37" fontId="6" fillId="33" borderId="18" xfId="0" applyNumberFormat="1" applyFont="1" applyFill="1" applyBorder="1" applyAlignment="1" applyProtection="1">
      <alignment vertical="center"/>
      <protection locked="0"/>
    </xf>
    <xf numFmtId="37" fontId="6" fillId="34" borderId="0" xfId="0" applyNumberFormat="1" applyFont="1" applyFill="1" applyBorder="1" applyAlignment="1" applyProtection="1">
      <alignment vertical="center"/>
      <protection locked="0"/>
    </xf>
    <xf numFmtId="37" fontId="7" fillId="34" borderId="0" xfId="0" applyNumberFormat="1" applyFont="1" applyFill="1" applyBorder="1" applyAlignment="1" applyProtection="1">
      <alignment horizontal="left" vertical="center"/>
      <protection/>
    </xf>
    <xf numFmtId="3" fontId="6" fillId="34" borderId="0" xfId="0" applyNumberFormat="1" applyFont="1" applyFill="1" applyBorder="1" applyAlignment="1" applyProtection="1">
      <alignment vertical="center"/>
      <protection locked="0"/>
    </xf>
    <xf numFmtId="0" fontId="20" fillId="34" borderId="0" xfId="0" applyFont="1" applyFill="1" applyBorder="1" applyAlignment="1" applyProtection="1">
      <alignment horizontal="center" vertical="center"/>
      <protection/>
    </xf>
    <xf numFmtId="179" fontId="6" fillId="33" borderId="10" xfId="0" applyNumberFormat="1" applyFont="1" applyFill="1" applyBorder="1" applyAlignment="1" applyProtection="1">
      <alignment vertical="center"/>
      <protection locked="0"/>
    </xf>
    <xf numFmtId="179" fontId="6" fillId="33" borderId="18" xfId="0" applyNumberFormat="1" applyFont="1" applyFill="1" applyBorder="1" applyAlignment="1" applyProtection="1">
      <alignment vertical="center"/>
      <protection locked="0"/>
    </xf>
    <xf numFmtId="179" fontId="6" fillId="33" borderId="20" xfId="0" applyNumberFormat="1" applyFont="1" applyFill="1" applyBorder="1" applyAlignment="1" applyProtection="1">
      <alignment vertical="center"/>
      <protection locked="0"/>
    </xf>
    <xf numFmtId="179" fontId="6" fillId="36" borderId="16" xfId="0" applyNumberFormat="1" applyFont="1" applyFill="1" applyBorder="1" applyAlignment="1" applyProtection="1">
      <alignment vertical="center"/>
      <protection/>
    </xf>
    <xf numFmtId="37" fontId="5" fillId="38" borderId="0" xfId="0" applyNumberFormat="1" applyFont="1" applyFill="1" applyAlignment="1" applyProtection="1">
      <alignment horizontal="left" vertical="center"/>
      <protection/>
    </xf>
    <xf numFmtId="0" fontId="6" fillId="38" borderId="0" xfId="0" applyFont="1" applyFill="1" applyAlignment="1" applyProtection="1">
      <alignment vertical="center"/>
      <protection/>
    </xf>
    <xf numFmtId="3" fontId="6" fillId="38" borderId="0" xfId="0" applyNumberFormat="1" applyFont="1" applyFill="1" applyAlignment="1" applyProtection="1">
      <alignment vertical="center"/>
      <protection/>
    </xf>
    <xf numFmtId="3" fontId="6" fillId="34" borderId="12" xfId="0" applyNumberFormat="1" applyFont="1" applyFill="1" applyBorder="1" applyAlignment="1" applyProtection="1">
      <alignment vertical="center"/>
      <protection/>
    </xf>
    <xf numFmtId="37" fontId="6" fillId="34" borderId="18" xfId="0" applyNumberFormat="1" applyFont="1" applyFill="1" applyBorder="1" applyAlignment="1" applyProtection="1">
      <alignment horizontal="left" vertical="center"/>
      <protection/>
    </xf>
    <xf numFmtId="179" fontId="6" fillId="33" borderId="16" xfId="0" applyNumberFormat="1" applyFont="1" applyFill="1" applyBorder="1" applyAlignment="1" applyProtection="1">
      <alignment vertical="center"/>
      <protection locked="0"/>
    </xf>
    <xf numFmtId="178" fontId="6" fillId="33" borderId="16" xfId="0" applyNumberFormat="1" applyFont="1" applyFill="1" applyBorder="1" applyAlignment="1" applyProtection="1">
      <alignment vertical="center"/>
      <protection locked="0"/>
    </xf>
    <xf numFmtId="37" fontId="6" fillId="39" borderId="0" xfId="0" applyNumberFormat="1" applyFont="1" applyFill="1" applyBorder="1" applyAlignment="1" applyProtection="1">
      <alignment horizontal="left" vertical="center"/>
      <protection/>
    </xf>
    <xf numFmtId="0" fontId="6" fillId="39" borderId="0" xfId="0" applyFont="1" applyFill="1" applyBorder="1" applyAlignment="1" applyProtection="1">
      <alignment vertical="center"/>
      <protection/>
    </xf>
    <xf numFmtId="178" fontId="6" fillId="39" borderId="0" xfId="0" applyNumberFormat="1" applyFont="1" applyFill="1" applyBorder="1" applyAlignment="1" applyProtection="1">
      <alignment vertical="center"/>
      <protection locked="0"/>
    </xf>
    <xf numFmtId="0" fontId="6" fillId="37" borderId="11" xfId="0" applyFont="1" applyFill="1" applyBorder="1" applyAlignment="1">
      <alignment horizontal="center" vertical="center"/>
    </xf>
    <xf numFmtId="0" fontId="6" fillId="37" borderId="13" xfId="0" applyFont="1" applyFill="1" applyBorder="1" applyAlignment="1">
      <alignment horizontal="center" vertical="center"/>
    </xf>
    <xf numFmtId="0" fontId="18" fillId="34" borderId="0" xfId="0" applyFont="1" applyFill="1" applyAlignment="1">
      <alignment vertical="center"/>
    </xf>
    <xf numFmtId="0" fontId="23" fillId="34" borderId="0" xfId="0" applyFont="1" applyFill="1" applyAlignment="1">
      <alignment vertical="center"/>
    </xf>
    <xf numFmtId="37" fontId="6" fillId="34" borderId="16" xfId="0" applyNumberFormat="1" applyFont="1" applyFill="1" applyBorder="1" applyAlignment="1">
      <alignment vertical="center"/>
    </xf>
    <xf numFmtId="37" fontId="20" fillId="34" borderId="0" xfId="0" applyNumberFormat="1" applyFont="1" applyFill="1" applyAlignment="1" applyProtection="1">
      <alignment horizontal="left" vertical="center"/>
      <protection/>
    </xf>
    <xf numFmtId="37" fontId="6" fillId="33" borderId="18" xfId="0" applyNumberFormat="1" applyFont="1" applyFill="1" applyBorder="1" applyAlignment="1" applyProtection="1">
      <alignment horizontal="left" vertical="center"/>
      <protection locked="0"/>
    </xf>
    <xf numFmtId="0" fontId="5" fillId="33" borderId="16" xfId="0" applyFont="1" applyFill="1" applyBorder="1" applyAlignment="1" applyProtection="1">
      <alignment horizontal="center" vertical="center"/>
      <protection locked="0"/>
    </xf>
    <xf numFmtId="0" fontId="5" fillId="38" borderId="0" xfId="0" applyFont="1" applyFill="1" applyAlignment="1" applyProtection="1">
      <alignment vertical="center"/>
      <protection/>
    </xf>
    <xf numFmtId="0" fontId="6" fillId="34" borderId="0" xfId="0" applyNumberFormat="1" applyFont="1" applyFill="1" applyAlignment="1" applyProtection="1">
      <alignment horizontal="center" vertical="center"/>
      <protection/>
    </xf>
    <xf numFmtId="37" fontId="5" fillId="40" borderId="0" xfId="0" applyNumberFormat="1" applyFont="1" applyFill="1" applyAlignment="1" applyProtection="1">
      <alignment horizontal="left" vertical="center"/>
      <protection/>
    </xf>
    <xf numFmtId="0" fontId="6" fillId="40" borderId="0" xfId="0" applyFont="1" applyFill="1" applyAlignment="1" applyProtection="1">
      <alignment vertical="center"/>
      <protection/>
    </xf>
    <xf numFmtId="0" fontId="7" fillId="37" borderId="24" xfId="0" applyNumberFormat="1" applyFont="1" applyFill="1" applyBorder="1" applyAlignment="1" applyProtection="1">
      <alignment horizontal="center" vertical="center"/>
      <protection/>
    </xf>
    <xf numFmtId="0" fontId="7" fillId="37" borderId="11" xfId="0" applyNumberFormat="1" applyFont="1" applyFill="1" applyBorder="1" applyAlignment="1" applyProtection="1">
      <alignment horizontal="center" vertical="center"/>
      <protection/>
    </xf>
    <xf numFmtId="0" fontId="7" fillId="34" borderId="0" xfId="0" applyFont="1" applyFill="1" applyAlignment="1" applyProtection="1">
      <alignment horizontal="center" vertical="center"/>
      <protection/>
    </xf>
    <xf numFmtId="0" fontId="6" fillId="37" borderId="23" xfId="0" applyFont="1" applyFill="1" applyBorder="1" applyAlignment="1">
      <alignment horizontal="center" vertical="center"/>
    </xf>
    <xf numFmtId="37" fontId="6" fillId="37" borderId="13" xfId="0" applyNumberFormat="1" applyFont="1" applyFill="1" applyBorder="1" applyAlignment="1" applyProtection="1">
      <alignment horizontal="center" vertical="center"/>
      <protection/>
    </xf>
    <xf numFmtId="37" fontId="6" fillId="33" borderId="16" xfId="0" applyNumberFormat="1" applyFont="1" applyFill="1" applyBorder="1" applyAlignment="1" applyProtection="1">
      <alignment horizontal="center" vertical="center"/>
      <protection locked="0"/>
    </xf>
    <xf numFmtId="0" fontId="6" fillId="33" borderId="16" xfId="0" applyFont="1" applyFill="1" applyBorder="1" applyAlignment="1" applyProtection="1">
      <alignment horizontal="center" vertical="center"/>
      <protection locked="0"/>
    </xf>
    <xf numFmtId="0" fontId="6" fillId="34" borderId="10" xfId="0" applyFont="1" applyFill="1" applyBorder="1" applyAlignment="1" applyProtection="1">
      <alignment horizontal="left" vertical="center"/>
      <protection/>
    </xf>
    <xf numFmtId="37" fontId="6" fillId="34" borderId="18" xfId="0" applyNumberFormat="1" applyFont="1" applyFill="1" applyBorder="1" applyAlignment="1" applyProtection="1">
      <alignment vertical="center"/>
      <protection/>
    </xf>
    <xf numFmtId="37" fontId="6" fillId="36" borderId="16" xfId="0" applyNumberFormat="1" applyFont="1" applyFill="1" applyBorder="1" applyAlignment="1">
      <alignment vertical="center"/>
    </xf>
    <xf numFmtId="0" fontId="6" fillId="34" borderId="10" xfId="0" applyFont="1" applyFill="1" applyBorder="1" applyAlignment="1" applyProtection="1">
      <alignment vertical="center"/>
      <protection locked="0"/>
    </xf>
    <xf numFmtId="37" fontId="6" fillId="34" borderId="0" xfId="0" applyNumberFormat="1" applyFont="1" applyFill="1" applyBorder="1" applyAlignment="1" applyProtection="1">
      <alignment horizontal="right" vertical="center"/>
      <protection/>
    </xf>
    <xf numFmtId="165" fontId="6" fillId="33" borderId="13" xfId="0" applyNumberFormat="1" applyFont="1" applyFill="1" applyBorder="1" applyAlignment="1" applyProtection="1">
      <alignment vertical="center"/>
      <protection locked="0"/>
    </xf>
    <xf numFmtId="165" fontId="6" fillId="33" borderId="16" xfId="0" applyNumberFormat="1" applyFont="1" applyFill="1" applyBorder="1" applyAlignment="1" applyProtection="1">
      <alignment vertical="center"/>
      <protection locked="0"/>
    </xf>
    <xf numFmtId="165" fontId="6" fillId="34" borderId="10" xfId="0" applyNumberFormat="1" applyFont="1" applyFill="1" applyBorder="1" applyAlignment="1" applyProtection="1">
      <alignment vertical="center"/>
      <protection/>
    </xf>
    <xf numFmtId="165" fontId="6" fillId="36" borderId="25" xfId="0" applyNumberFormat="1" applyFont="1" applyFill="1" applyBorder="1" applyAlignment="1" applyProtection="1">
      <alignment vertical="center"/>
      <protection/>
    </xf>
    <xf numFmtId="37" fontId="6" fillId="38" borderId="10" xfId="0" applyNumberFormat="1" applyFont="1" applyFill="1" applyBorder="1" applyAlignment="1" applyProtection="1">
      <alignment horizontal="left" vertical="center"/>
      <protection/>
    </xf>
    <xf numFmtId="0" fontId="6" fillId="38" borderId="10" xfId="0" applyFont="1" applyFill="1" applyBorder="1" applyAlignment="1" applyProtection="1">
      <alignment vertical="center"/>
      <protection/>
    </xf>
    <xf numFmtId="37" fontId="6" fillId="38" borderId="18" xfId="0" applyNumberFormat="1" applyFont="1" applyFill="1" applyBorder="1" applyAlignment="1" applyProtection="1">
      <alignment horizontal="left" vertical="center"/>
      <protection/>
    </xf>
    <xf numFmtId="0" fontId="6" fillId="38" borderId="18" xfId="0" applyFont="1" applyFill="1" applyBorder="1" applyAlignment="1" applyProtection="1">
      <alignment vertical="center"/>
      <protection/>
    </xf>
    <xf numFmtId="0" fontId="6" fillId="34" borderId="10" xfId="0" applyFont="1" applyFill="1" applyBorder="1" applyAlignment="1" applyProtection="1">
      <alignment horizontal="center" vertical="center"/>
      <protection/>
    </xf>
    <xf numFmtId="0" fontId="6" fillId="34" borderId="12" xfId="0" applyFont="1" applyFill="1" applyBorder="1" applyAlignment="1" applyProtection="1">
      <alignment vertical="center"/>
      <protection locked="0"/>
    </xf>
    <xf numFmtId="0" fontId="6" fillId="34" borderId="15" xfId="0" applyFont="1" applyFill="1" applyBorder="1" applyAlignment="1" applyProtection="1">
      <alignment vertical="center"/>
      <protection locked="0"/>
    </xf>
    <xf numFmtId="0" fontId="6" fillId="34" borderId="18" xfId="0" applyFont="1" applyFill="1" applyBorder="1" applyAlignment="1" applyProtection="1">
      <alignment vertical="center"/>
      <protection locked="0"/>
    </xf>
    <xf numFmtId="0" fontId="5" fillId="0" borderId="0" xfId="0" applyFont="1" applyAlignment="1" applyProtection="1">
      <alignment vertical="center"/>
      <protection locked="0"/>
    </xf>
    <xf numFmtId="0" fontId="0" fillId="0" borderId="0" xfId="280">
      <alignment/>
      <protection/>
    </xf>
    <xf numFmtId="0" fontId="6" fillId="0" borderId="0" xfId="280" applyFont="1" applyAlignment="1">
      <alignment horizontal="left" vertical="center"/>
      <protection/>
    </xf>
    <xf numFmtId="0" fontId="0" fillId="0" borderId="0" xfId="280" applyNumberFormat="1" applyFont="1" applyAlignment="1">
      <alignment horizontal="left" vertical="center"/>
      <protection/>
    </xf>
    <xf numFmtId="49" fontId="6" fillId="33" borderId="0" xfId="280" applyNumberFormat="1" applyFont="1" applyFill="1" applyAlignment="1" applyProtection="1">
      <alignment horizontal="left" vertical="center"/>
      <protection locked="0"/>
    </xf>
    <xf numFmtId="182" fontId="24" fillId="0" borderId="0" xfId="280" applyNumberFormat="1" applyFont="1" applyAlignment="1">
      <alignment horizontal="left" vertical="center"/>
      <protection/>
    </xf>
    <xf numFmtId="49" fontId="6" fillId="0" borderId="0" xfId="280" applyNumberFormat="1" applyFont="1" applyAlignment="1">
      <alignment horizontal="left" vertical="center"/>
      <protection/>
    </xf>
    <xf numFmtId="0" fontId="24" fillId="0" borderId="0" xfId="280" applyFont="1" applyAlignment="1">
      <alignment horizontal="left" vertical="center"/>
      <protection/>
    </xf>
    <xf numFmtId="183" fontId="24" fillId="0" borderId="0" xfId="280" applyNumberFormat="1" applyFont="1" applyAlignment="1">
      <alignment horizontal="left" vertical="center"/>
      <protection/>
    </xf>
    <xf numFmtId="0" fontId="6" fillId="33" borderId="0" xfId="280" applyFont="1" applyFill="1" applyAlignment="1" applyProtection="1">
      <alignment horizontal="left" vertical="center"/>
      <protection locked="0"/>
    </xf>
    <xf numFmtId="0" fontId="0" fillId="33" borderId="0" xfId="280" applyFill="1" applyAlignment="1" applyProtection="1">
      <alignment horizontal="left" vertical="center"/>
      <protection locked="0"/>
    </xf>
    <xf numFmtId="0" fontId="6" fillId="34" borderId="0" xfId="0" applyFont="1" applyFill="1" applyAlignment="1">
      <alignment/>
    </xf>
    <xf numFmtId="0" fontId="5" fillId="33" borderId="10" xfId="0" applyFont="1" applyFill="1" applyBorder="1" applyAlignment="1" applyProtection="1">
      <alignment vertical="center"/>
      <protection locked="0"/>
    </xf>
    <xf numFmtId="0" fontId="5" fillId="33" borderId="18" xfId="0" applyFont="1" applyFill="1" applyBorder="1" applyAlignment="1" applyProtection="1">
      <alignment vertical="center"/>
      <protection locked="0"/>
    </xf>
    <xf numFmtId="9" fontId="6" fillId="34" borderId="0" xfId="0" applyNumberFormat="1" applyFont="1" applyFill="1" applyAlignment="1" applyProtection="1">
      <alignment vertical="center"/>
      <protection/>
    </xf>
    <xf numFmtId="37" fontId="20" fillId="34" borderId="0" xfId="0" applyNumberFormat="1" applyFont="1" applyFill="1" applyAlignment="1" applyProtection="1">
      <alignment vertical="center"/>
      <protection/>
    </xf>
    <xf numFmtId="37" fontId="5" fillId="34" borderId="25" xfId="0" applyNumberFormat="1" applyFont="1" applyFill="1" applyBorder="1" applyAlignment="1" applyProtection="1">
      <alignment horizontal="center" vertical="center"/>
      <protection/>
    </xf>
    <xf numFmtId="173" fontId="5" fillId="34" borderId="25" xfId="0" applyNumberFormat="1" applyFont="1" applyFill="1" applyBorder="1" applyAlignment="1" applyProtection="1">
      <alignment vertical="center"/>
      <protection/>
    </xf>
    <xf numFmtId="37" fontId="5" fillId="34" borderId="0" xfId="0" applyNumberFormat="1" applyFont="1" applyFill="1" applyAlignment="1" applyProtection="1">
      <alignment vertical="center"/>
      <protection/>
    </xf>
    <xf numFmtId="37" fontId="5" fillId="34" borderId="16" xfId="0" applyNumberFormat="1" applyFont="1" applyFill="1" applyBorder="1" applyAlignment="1" applyProtection="1">
      <alignment horizontal="left" vertical="center"/>
      <protection/>
    </xf>
    <xf numFmtId="37" fontId="5" fillId="34" borderId="25" xfId="0" applyNumberFormat="1" applyFont="1" applyFill="1" applyBorder="1" applyAlignment="1" applyProtection="1">
      <alignment vertical="center"/>
      <protection/>
    </xf>
    <xf numFmtId="37" fontId="5" fillId="41" borderId="25" xfId="0" applyNumberFormat="1" applyFont="1" applyFill="1" applyBorder="1" applyAlignment="1" applyProtection="1">
      <alignment vertical="center"/>
      <protection/>
    </xf>
    <xf numFmtId="181" fontId="5" fillId="41" borderId="25" xfId="0" applyNumberFormat="1" applyFont="1" applyFill="1" applyBorder="1" applyAlignment="1" applyProtection="1">
      <alignment vertical="center"/>
      <protection/>
    </xf>
    <xf numFmtId="3" fontId="5" fillId="41" borderId="25" xfId="0" applyNumberFormat="1" applyFont="1" applyFill="1" applyBorder="1" applyAlignment="1" applyProtection="1">
      <alignment vertical="center"/>
      <protection/>
    </xf>
    <xf numFmtId="0" fontId="5" fillId="35" borderId="25" xfId="0" applyFont="1" applyFill="1" applyBorder="1" applyAlignment="1">
      <alignment horizontal="right" vertical="center"/>
    </xf>
    <xf numFmtId="0" fontId="5" fillId="0" borderId="0" xfId="0" applyFont="1" applyAlignment="1">
      <alignment vertical="center"/>
    </xf>
    <xf numFmtId="0" fontId="5" fillId="34" borderId="15" xfId="0" applyFont="1" applyFill="1" applyBorder="1" applyAlignment="1" applyProtection="1">
      <alignment vertical="center"/>
      <protection/>
    </xf>
    <xf numFmtId="3" fontId="5" fillId="34" borderId="16" xfId="0" applyNumberFormat="1" applyFont="1" applyFill="1" applyBorder="1" applyAlignment="1" applyProtection="1">
      <alignment horizontal="fill" vertical="center"/>
      <protection/>
    </xf>
    <xf numFmtId="37" fontId="5" fillId="34" borderId="0" xfId="0" applyNumberFormat="1" applyFont="1" applyFill="1" applyBorder="1" applyAlignment="1" applyProtection="1">
      <alignment vertical="center"/>
      <protection/>
    </xf>
    <xf numFmtId="37" fontId="5" fillId="36" borderId="16" xfId="0" applyNumberFormat="1" applyFont="1" applyFill="1" applyBorder="1" applyAlignment="1" applyProtection="1">
      <alignment vertical="center"/>
      <protection/>
    </xf>
    <xf numFmtId="0" fontId="5" fillId="34" borderId="16" xfId="0" applyFont="1" applyFill="1" applyBorder="1" applyAlignment="1" applyProtection="1">
      <alignment vertical="center"/>
      <protection/>
    </xf>
    <xf numFmtId="3" fontId="5" fillId="34" borderId="25" xfId="0" applyNumberFormat="1" applyFont="1" applyFill="1" applyBorder="1" applyAlignment="1" applyProtection="1">
      <alignment horizontal="center" vertical="center"/>
      <protection/>
    </xf>
    <xf numFmtId="181" fontId="5" fillId="34" borderId="25" xfId="0" applyNumberFormat="1" applyFont="1" applyFill="1" applyBorder="1" applyAlignment="1" applyProtection="1">
      <alignment horizontal="center" vertical="center"/>
      <protection/>
    </xf>
    <xf numFmtId="0" fontId="5" fillId="34" borderId="0" xfId="0" applyFont="1" applyFill="1" applyAlignment="1" applyProtection="1">
      <alignment vertical="center"/>
      <protection locked="0"/>
    </xf>
    <xf numFmtId="0" fontId="1" fillId="0" borderId="0" xfId="0" applyFont="1" applyAlignment="1">
      <alignment vertical="center"/>
    </xf>
    <xf numFmtId="37" fontId="6" fillId="34" borderId="16" xfId="0" applyNumberFormat="1" applyFont="1" applyFill="1" applyBorder="1" applyAlignment="1" applyProtection="1">
      <alignment horizontal="right" vertical="center"/>
      <protection/>
    </xf>
    <xf numFmtId="37" fontId="5" fillId="36" borderId="25" xfId="0" applyNumberFormat="1" applyFont="1" applyFill="1" applyBorder="1" applyAlignment="1" applyProtection="1">
      <alignment horizontal="right" vertical="center"/>
      <protection/>
    </xf>
    <xf numFmtId="0" fontId="5" fillId="34" borderId="0" xfId="0" applyFont="1" applyFill="1" applyAlignment="1" applyProtection="1">
      <alignment horizontal="right" vertical="center"/>
      <protection/>
    </xf>
    <xf numFmtId="186" fontId="6" fillId="34" borderId="16" xfId="42" applyNumberFormat="1" applyFont="1" applyFill="1" applyBorder="1" applyAlignment="1" applyProtection="1">
      <alignment horizontal="right" vertical="center"/>
      <protection/>
    </xf>
    <xf numFmtId="186" fontId="6" fillId="34" borderId="16" xfId="0" applyNumberFormat="1" applyFont="1" applyFill="1" applyBorder="1" applyAlignment="1" applyProtection="1">
      <alignment vertical="center"/>
      <protection/>
    </xf>
    <xf numFmtId="186" fontId="5" fillId="36" borderId="16" xfId="0" applyNumberFormat="1" applyFont="1" applyFill="1" applyBorder="1" applyAlignment="1" applyProtection="1">
      <alignment vertical="center"/>
      <protection/>
    </xf>
    <xf numFmtId="186" fontId="6" fillId="36" borderId="16" xfId="42" applyNumberFormat="1" applyFont="1" applyFill="1" applyBorder="1" applyAlignment="1" applyProtection="1">
      <alignment horizontal="right" vertical="center"/>
      <protection/>
    </xf>
    <xf numFmtId="186" fontId="6" fillId="36" borderId="16" xfId="0" applyNumberFormat="1" applyFont="1" applyFill="1" applyBorder="1" applyAlignment="1" applyProtection="1">
      <alignment vertical="center"/>
      <protection/>
    </xf>
    <xf numFmtId="3" fontId="6" fillId="34" borderId="16" xfId="0" applyNumberFormat="1" applyFont="1" applyFill="1" applyBorder="1" applyAlignment="1" applyProtection="1">
      <alignment horizontal="right" vertical="center"/>
      <protection/>
    </xf>
    <xf numFmtId="180" fontId="6" fillId="34" borderId="16" xfId="42" applyNumberFormat="1" applyFont="1" applyFill="1" applyBorder="1" applyAlignment="1" applyProtection="1">
      <alignment horizontal="right" vertical="center"/>
      <protection/>
    </xf>
    <xf numFmtId="180" fontId="6" fillId="34" borderId="16" xfId="0" applyNumberFormat="1" applyFont="1" applyFill="1" applyBorder="1" applyAlignment="1" applyProtection="1">
      <alignment vertical="center"/>
      <protection/>
    </xf>
    <xf numFmtId="0" fontId="6" fillId="34" borderId="19" xfId="0" applyFont="1" applyFill="1" applyBorder="1" applyAlignment="1" applyProtection="1">
      <alignment horizontal="center" vertical="center"/>
      <protection/>
    </xf>
    <xf numFmtId="37" fontId="6" fillId="38" borderId="11" xfId="0" applyNumberFormat="1" applyFont="1" applyFill="1" applyBorder="1" applyAlignment="1" applyProtection="1">
      <alignment horizontal="center" vertical="center" wrapText="1"/>
      <protection/>
    </xf>
    <xf numFmtId="0" fontId="0" fillId="38" borderId="13"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37" fontId="20" fillId="34" borderId="0" xfId="0" applyNumberFormat="1" applyFont="1" applyFill="1" applyBorder="1" applyAlignment="1" applyProtection="1">
      <alignment horizontal="center" vertical="center"/>
      <protection/>
    </xf>
    <xf numFmtId="0" fontId="6" fillId="0" borderId="0" xfId="0" applyFont="1" applyAlignment="1">
      <alignment horizontal="center" vertical="center"/>
    </xf>
    <xf numFmtId="0" fontId="5" fillId="37" borderId="0" xfId="0" applyFont="1" applyFill="1" applyBorder="1" applyAlignment="1">
      <alignment horizontal="center" vertical="center"/>
    </xf>
    <xf numFmtId="0" fontId="22" fillId="37" borderId="0" xfId="0" applyFont="1" applyFill="1" applyBorder="1" applyAlignment="1">
      <alignment horizontal="center" vertical="center"/>
    </xf>
    <xf numFmtId="0" fontId="18" fillId="34" borderId="0" xfId="0" applyFont="1" applyFill="1" applyBorder="1" applyAlignment="1">
      <alignment vertical="center"/>
    </xf>
    <xf numFmtId="0" fontId="23" fillId="0" borderId="0" xfId="0" applyFont="1" applyAlignment="1">
      <alignment vertical="center"/>
    </xf>
    <xf numFmtId="0" fontId="6" fillId="0" borderId="0" xfId="280" applyFont="1" applyAlignment="1">
      <alignment horizontal="left" vertical="center" wrapText="1"/>
      <protection/>
    </xf>
    <xf numFmtId="0" fontId="0" fillId="0" borderId="0" xfId="280" applyAlignment="1">
      <alignment horizontal="left" vertical="center" wrapText="1"/>
      <protection/>
    </xf>
    <xf numFmtId="0" fontId="20" fillId="0" borderId="0" xfId="280" applyFont="1" applyAlignment="1">
      <alignment horizontal="left" vertical="center"/>
      <protection/>
    </xf>
    <xf numFmtId="37" fontId="6" fillId="34" borderId="0" xfId="0" applyNumberFormat="1" applyFont="1" applyFill="1" applyBorder="1" applyAlignment="1" applyProtection="1">
      <alignment horizontal="center" vertical="center"/>
      <protection/>
    </xf>
    <xf numFmtId="0" fontId="0" fillId="0" borderId="0" xfId="0" applyAlignment="1">
      <alignment vertical="center"/>
    </xf>
    <xf numFmtId="0" fontId="5" fillId="34" borderId="0" xfId="0" applyFont="1" applyFill="1" applyAlignment="1" applyProtection="1">
      <alignment horizontal="center" vertical="center"/>
      <protection/>
    </xf>
    <xf numFmtId="37" fontId="6" fillId="34" borderId="11" xfId="0" applyNumberFormat="1" applyFont="1" applyFill="1" applyBorder="1" applyAlignment="1" applyProtection="1">
      <alignment horizontal="center" vertical="center" wrapText="1"/>
      <protection/>
    </xf>
    <xf numFmtId="0" fontId="0" fillId="0" borderId="19"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37" fontId="6" fillId="34" borderId="14" xfId="0" applyNumberFormat="1" applyFont="1" applyFill="1" applyBorder="1" applyAlignment="1" applyProtection="1">
      <alignment horizontal="center" vertical="center"/>
      <protection/>
    </xf>
    <xf numFmtId="0" fontId="0" fillId="0" borderId="18" xfId="0" applyBorder="1" applyAlignment="1" applyProtection="1">
      <alignment vertical="center"/>
      <protection/>
    </xf>
    <xf numFmtId="0" fontId="0" fillId="0" borderId="15" xfId="0" applyBorder="1" applyAlignment="1" applyProtection="1">
      <alignment vertical="center"/>
      <protection/>
    </xf>
    <xf numFmtId="0" fontId="6" fillId="34" borderId="0" xfId="0" applyFont="1" applyFill="1" applyAlignment="1" applyProtection="1">
      <alignment horizontal="center" vertical="center"/>
      <protection/>
    </xf>
    <xf numFmtId="0" fontId="0" fillId="0" borderId="0" xfId="0" applyAlignment="1" applyProtection="1">
      <alignment vertical="center"/>
      <protection/>
    </xf>
    <xf numFmtId="37" fontId="6" fillId="34" borderId="0" xfId="0" applyNumberFormat="1" applyFont="1" applyFill="1" applyAlignment="1" applyProtection="1">
      <alignment horizontal="center" vertical="center"/>
      <protection/>
    </xf>
    <xf numFmtId="0" fontId="0" fillId="0" borderId="0" xfId="0" applyAlignment="1" applyProtection="1">
      <alignment horizontal="center" vertical="center"/>
      <protection/>
    </xf>
    <xf numFmtId="0" fontId="10" fillId="37" borderId="26" xfId="0" applyFont="1" applyFill="1" applyBorder="1" applyAlignment="1" applyProtection="1">
      <alignment horizontal="center" vertical="center"/>
      <protection/>
    </xf>
    <xf numFmtId="0" fontId="0" fillId="0" borderId="20" xfId="0" applyBorder="1" applyAlignment="1" applyProtection="1">
      <alignment vertical="center"/>
      <protection/>
    </xf>
    <xf numFmtId="3" fontId="6" fillId="33" borderId="26" xfId="0" applyNumberFormat="1" applyFont="1" applyFill="1" applyBorder="1" applyAlignment="1" applyProtection="1">
      <alignment vertical="center"/>
      <protection locked="0"/>
    </xf>
    <xf numFmtId="3" fontId="0" fillId="0" borderId="0" xfId="0" applyNumberFormat="1" applyBorder="1" applyAlignment="1" applyProtection="1">
      <alignment vertical="center"/>
      <protection locked="0"/>
    </xf>
    <xf numFmtId="0" fontId="10" fillId="37" borderId="0" xfId="0" applyFont="1" applyFill="1" applyAlignment="1" applyProtection="1">
      <alignment horizontal="center" vertical="center"/>
      <protection/>
    </xf>
    <xf numFmtId="0" fontId="8" fillId="34" borderId="0" xfId="0" applyFont="1" applyFill="1" applyAlignment="1" applyProtection="1">
      <alignment horizontal="center" vertical="center"/>
      <protection/>
    </xf>
    <xf numFmtId="37" fontId="5" fillId="34" borderId="0" xfId="0" applyNumberFormat="1" applyFont="1" applyFill="1" applyAlignment="1" applyProtection="1">
      <alignment horizontal="center" vertical="center"/>
      <protection/>
    </xf>
    <xf numFmtId="37" fontId="10" fillId="34" borderId="11" xfId="0" applyNumberFormat="1" applyFont="1" applyFill="1" applyBorder="1" applyAlignment="1" applyProtection="1">
      <alignment horizontal="center" vertical="center" wrapText="1"/>
      <protection/>
    </xf>
    <xf numFmtId="0" fontId="11" fillId="0" borderId="13" xfId="0" applyFont="1" applyBorder="1" applyAlignment="1" applyProtection="1">
      <alignment horizontal="center" vertical="center" wrapText="1"/>
      <protection/>
    </xf>
    <xf numFmtId="0" fontId="0" fillId="0" borderId="18" xfId="0" applyBorder="1" applyAlignment="1">
      <alignment vertical="center"/>
    </xf>
    <xf numFmtId="0" fontId="0" fillId="0" borderId="15" xfId="0" applyBorder="1" applyAlignment="1">
      <alignment vertical="center"/>
    </xf>
    <xf numFmtId="37" fontId="5" fillId="34" borderId="0" xfId="0" applyNumberFormat="1" applyFont="1" applyFill="1" applyBorder="1" applyAlignment="1" applyProtection="1">
      <alignment horizontal="center" vertical="center"/>
      <protection/>
    </xf>
    <xf numFmtId="37" fontId="6" fillId="34" borderId="0" xfId="0" applyNumberFormat="1" applyFont="1" applyFill="1" applyAlignment="1" applyProtection="1">
      <alignment horizontal="right" vertical="center"/>
      <protection/>
    </xf>
    <xf numFmtId="37" fontId="6" fillId="34" borderId="22" xfId="0" applyNumberFormat="1" applyFont="1" applyFill="1" applyBorder="1" applyAlignment="1" applyProtection="1">
      <alignment horizontal="right" vertical="center"/>
      <protection/>
    </xf>
    <xf numFmtId="178" fontId="6" fillId="34" borderId="0" xfId="0" applyNumberFormat="1" applyFont="1" applyFill="1" applyBorder="1" applyAlignment="1">
      <alignment horizontal="right" vertical="center"/>
    </xf>
    <xf numFmtId="0" fontId="4" fillId="0" borderId="0" xfId="0" applyFont="1" applyAlignment="1">
      <alignment horizontal="right" vertical="center"/>
    </xf>
    <xf numFmtId="3" fontId="6" fillId="33" borderId="14" xfId="0" applyNumberFormat="1" applyFont="1" applyFill="1" applyBorder="1" applyAlignment="1" applyProtection="1">
      <alignment vertical="center"/>
      <protection locked="0"/>
    </xf>
    <xf numFmtId="3" fontId="6" fillId="33" borderId="15" xfId="0" applyNumberFormat="1" applyFont="1" applyFill="1" applyBorder="1" applyAlignment="1" applyProtection="1">
      <alignment vertical="center"/>
      <protection locked="0"/>
    </xf>
    <xf numFmtId="3" fontId="18" fillId="35" borderId="14" xfId="0" applyNumberFormat="1" applyFont="1" applyFill="1" applyBorder="1" applyAlignment="1" applyProtection="1">
      <alignment horizontal="center" vertical="center"/>
      <protection/>
    </xf>
    <xf numFmtId="3" fontId="18" fillId="35" borderId="15" xfId="0" applyNumberFormat="1" applyFont="1" applyFill="1" applyBorder="1" applyAlignment="1" applyProtection="1">
      <alignment horizontal="center" vertical="center"/>
      <protection/>
    </xf>
    <xf numFmtId="37" fontId="6" fillId="34" borderId="20" xfId="0" applyNumberFormat="1" applyFont="1" applyFill="1" applyBorder="1" applyAlignment="1" applyProtection="1">
      <alignment horizontal="right" vertical="center"/>
      <protection/>
    </xf>
    <xf numFmtId="0" fontId="4" fillId="0" borderId="20" xfId="0" applyFont="1" applyBorder="1" applyAlignment="1">
      <alignment vertical="center"/>
    </xf>
    <xf numFmtId="0" fontId="4" fillId="0" borderId="17" xfId="0" applyFont="1" applyBorder="1" applyAlignment="1">
      <alignment vertical="center"/>
    </xf>
    <xf numFmtId="3" fontId="5" fillId="34" borderId="14" xfId="0" applyNumberFormat="1" applyFont="1" applyFill="1" applyBorder="1" applyAlignment="1" applyProtection="1">
      <alignment vertical="center"/>
      <protection/>
    </xf>
    <xf numFmtId="3" fontId="5" fillId="34" borderId="15" xfId="0" applyNumberFormat="1" applyFont="1" applyFill="1" applyBorder="1" applyAlignment="1" applyProtection="1">
      <alignment vertical="center"/>
      <protection/>
    </xf>
    <xf numFmtId="0" fontId="5" fillId="34" borderId="0" xfId="58" applyNumberFormat="1" applyFont="1" applyFill="1" applyBorder="1" applyAlignment="1" applyProtection="1">
      <alignment horizontal="right" vertical="center"/>
      <protection/>
    </xf>
    <xf numFmtId="0" fontId="5" fillId="0" borderId="0" xfId="58" applyFont="1" applyAlignment="1" applyProtection="1">
      <alignment horizontal="right" vertical="center"/>
      <protection/>
    </xf>
    <xf numFmtId="0" fontId="5" fillId="0" borderId="22" xfId="58" applyFont="1" applyBorder="1" applyAlignment="1" applyProtection="1">
      <alignment horizontal="right" vertical="center"/>
      <protection/>
    </xf>
    <xf numFmtId="3" fontId="5" fillId="36" borderId="14" xfId="0" applyNumberFormat="1" applyFont="1" applyFill="1" applyBorder="1" applyAlignment="1" applyProtection="1">
      <alignment vertical="center"/>
      <protection/>
    </xf>
    <xf numFmtId="3" fontId="5" fillId="36" borderId="15" xfId="0" applyNumberFormat="1" applyFont="1" applyFill="1" applyBorder="1" applyAlignment="1" applyProtection="1">
      <alignment vertical="center"/>
      <protection/>
    </xf>
    <xf numFmtId="3" fontId="6" fillId="34" borderId="14" xfId="0" applyNumberFormat="1" applyFont="1" applyFill="1" applyBorder="1" applyAlignment="1" applyProtection="1">
      <alignment vertical="center"/>
      <protection/>
    </xf>
    <xf numFmtId="3" fontId="6" fillId="34" borderId="15" xfId="0" applyNumberFormat="1" applyFont="1" applyFill="1" applyBorder="1" applyAlignment="1" applyProtection="1">
      <alignment vertical="center"/>
      <protection/>
    </xf>
    <xf numFmtId="1" fontId="6" fillId="34" borderId="24" xfId="0" applyNumberFormat="1" applyFont="1" applyFill="1" applyBorder="1" applyAlignment="1" applyProtection="1">
      <alignment horizontal="center" vertical="center"/>
      <protection/>
    </xf>
    <xf numFmtId="1" fontId="6" fillId="34" borderId="17" xfId="0" applyNumberFormat="1" applyFont="1" applyFill="1" applyBorder="1" applyAlignment="1" applyProtection="1">
      <alignment horizontal="center" vertical="center"/>
      <protection/>
    </xf>
    <xf numFmtId="37" fontId="6" fillId="34" borderId="23" xfId="0" applyNumberFormat="1" applyFont="1" applyFill="1" applyBorder="1" applyAlignment="1" applyProtection="1">
      <alignment horizontal="center" vertical="center"/>
      <protection/>
    </xf>
    <xf numFmtId="37" fontId="6" fillId="34" borderId="12" xfId="0" applyNumberFormat="1" applyFont="1" applyFill="1" applyBorder="1" applyAlignment="1" applyProtection="1">
      <alignment horizontal="center" vertical="center"/>
      <protection/>
    </xf>
    <xf numFmtId="37" fontId="6" fillId="34" borderId="24" xfId="0" applyNumberFormat="1" applyFont="1" applyFill="1" applyBorder="1" applyAlignment="1" applyProtection="1">
      <alignment horizontal="center" vertical="center"/>
      <protection/>
    </xf>
    <xf numFmtId="37" fontId="6" fillId="34" borderId="17" xfId="0" applyNumberFormat="1" applyFont="1" applyFill="1" applyBorder="1" applyAlignment="1" applyProtection="1">
      <alignment horizontal="center" vertical="center"/>
      <protection/>
    </xf>
    <xf numFmtId="3" fontId="5" fillId="33" borderId="14" xfId="0" applyNumberFormat="1" applyFont="1" applyFill="1" applyBorder="1" applyAlignment="1" applyProtection="1">
      <alignment vertical="center"/>
      <protection locked="0"/>
    </xf>
    <xf numFmtId="3" fontId="5" fillId="33" borderId="15" xfId="0" applyNumberFormat="1" applyFont="1" applyFill="1" applyBorder="1" applyAlignment="1" applyProtection="1">
      <alignment vertical="center"/>
      <protection locked="0"/>
    </xf>
    <xf numFmtId="0" fontId="0" fillId="0" borderId="19" xfId="0" applyBorder="1" applyAlignment="1" applyProtection="1">
      <alignment horizontal="center" vertical="center"/>
      <protection/>
    </xf>
    <xf numFmtId="0" fontId="0" fillId="0" borderId="13" xfId="0" applyBorder="1" applyAlignment="1" applyProtection="1">
      <alignment horizontal="center" vertical="center"/>
      <protection/>
    </xf>
    <xf numFmtId="37" fontId="20" fillId="34" borderId="0" xfId="0" applyNumberFormat="1" applyFont="1" applyFill="1" applyAlignment="1" applyProtection="1">
      <alignment horizontal="center" vertical="center"/>
      <protection/>
    </xf>
    <xf numFmtId="0" fontId="6" fillId="34" borderId="0" xfId="0" applyFont="1" applyFill="1" applyAlignment="1">
      <alignment horizontal="right" vertical="center"/>
    </xf>
    <xf numFmtId="0" fontId="0" fillId="0" borderId="0" xfId="0" applyAlignment="1">
      <alignment horizontal="right" vertical="center"/>
    </xf>
    <xf numFmtId="0" fontId="6" fillId="34" borderId="0" xfId="0" applyFont="1" applyFill="1" applyAlignment="1" applyProtection="1">
      <alignment horizontal="right" vertical="center"/>
      <protection/>
    </xf>
    <xf numFmtId="0" fontId="9" fillId="0" borderId="0" xfId="0" applyFont="1" applyAlignment="1">
      <alignment wrapText="1"/>
    </xf>
    <xf numFmtId="0" fontId="0" fillId="0" borderId="0" xfId="0" applyAlignment="1">
      <alignment wrapText="1"/>
    </xf>
    <xf numFmtId="0" fontId="9" fillId="0" borderId="0" xfId="0" applyFont="1" applyAlignment="1">
      <alignment horizontal="left" wrapText="1"/>
    </xf>
    <xf numFmtId="0" fontId="0" fillId="0" borderId="0" xfId="0" applyAlignment="1">
      <alignment/>
    </xf>
    <xf numFmtId="0" fontId="9" fillId="0" borderId="0" xfId="0" applyFont="1" applyAlignment="1">
      <alignment horizontal="center"/>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16" fillId="0" borderId="0" xfId="0" applyFont="1" applyAlignment="1">
      <alignment wrapText="1"/>
    </xf>
    <xf numFmtId="0" fontId="9" fillId="0" borderId="0" xfId="0" applyFont="1" applyAlignment="1">
      <alignment horizontal="left"/>
    </xf>
  </cellXfs>
  <cellStyles count="28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omma 4" xfId="46"/>
    <cellStyle name="Comma 5" xfId="47"/>
    <cellStyle name="Comma 6" xfId="48"/>
    <cellStyle name="Currency" xfId="49"/>
    <cellStyle name="Currency [0]" xfId="50"/>
    <cellStyle name="Explanatory Text" xfId="51"/>
    <cellStyle name="Followed Hyperlink" xfId="52"/>
    <cellStyle name="Good" xfId="53"/>
    <cellStyle name="Heading 1" xfId="54"/>
    <cellStyle name="Heading 2" xfId="55"/>
    <cellStyle name="Heading 3" xfId="56"/>
    <cellStyle name="Heading 4" xfId="57"/>
    <cellStyle name="Hyperlink" xfId="58"/>
    <cellStyle name="Hyperlink 2" xfId="59"/>
    <cellStyle name="Hyperlink 3" xfId="60"/>
    <cellStyle name="Input" xfId="61"/>
    <cellStyle name="Linked Cell" xfId="62"/>
    <cellStyle name="Neutral" xfId="63"/>
    <cellStyle name="Normal 10" xfId="64"/>
    <cellStyle name="Normal 10 2" xfId="65"/>
    <cellStyle name="Normal 10 3" xfId="66"/>
    <cellStyle name="Normal 10 4" xfId="67"/>
    <cellStyle name="Normal 11" xfId="68"/>
    <cellStyle name="Normal 11 2" xfId="69"/>
    <cellStyle name="Normal 11 3" xfId="70"/>
    <cellStyle name="Normal 11 4" xfId="71"/>
    <cellStyle name="Normal 12" xfId="72"/>
    <cellStyle name="Normal 12 10" xfId="73"/>
    <cellStyle name="Normal 12 11" xfId="74"/>
    <cellStyle name="Normal 12 12" xfId="75"/>
    <cellStyle name="Normal 12 2" xfId="76"/>
    <cellStyle name="Normal 12 3" xfId="77"/>
    <cellStyle name="Normal 12 4" xfId="78"/>
    <cellStyle name="Normal 12 5" xfId="79"/>
    <cellStyle name="Normal 12 6" xfId="80"/>
    <cellStyle name="Normal 12 7" xfId="81"/>
    <cellStyle name="Normal 12 8" xfId="82"/>
    <cellStyle name="Normal 12 9" xfId="83"/>
    <cellStyle name="Normal 13" xfId="84"/>
    <cellStyle name="Normal 13 10" xfId="85"/>
    <cellStyle name="Normal 13 11" xfId="86"/>
    <cellStyle name="Normal 13 12" xfId="87"/>
    <cellStyle name="Normal 13 2" xfId="88"/>
    <cellStyle name="Normal 13 3" xfId="89"/>
    <cellStyle name="Normal 13 4" xfId="90"/>
    <cellStyle name="Normal 13 5" xfId="91"/>
    <cellStyle name="Normal 13 6" xfId="92"/>
    <cellStyle name="Normal 13 7" xfId="93"/>
    <cellStyle name="Normal 13 8" xfId="94"/>
    <cellStyle name="Normal 13 9" xfId="95"/>
    <cellStyle name="Normal 14" xfId="96"/>
    <cellStyle name="Normal 14 2" xfId="97"/>
    <cellStyle name="Normal 14 3" xfId="98"/>
    <cellStyle name="Normal 14 4" xfId="99"/>
    <cellStyle name="Normal 15" xfId="100"/>
    <cellStyle name="Normal 15 2" xfId="101"/>
    <cellStyle name="Normal 15 3" xfId="102"/>
    <cellStyle name="Normal 15 4" xfId="103"/>
    <cellStyle name="Normal 16" xfId="104"/>
    <cellStyle name="Normal 16 2" xfId="105"/>
    <cellStyle name="Normal 16 3" xfId="106"/>
    <cellStyle name="Normal 16 4" xfId="107"/>
    <cellStyle name="Normal 17" xfId="108"/>
    <cellStyle name="Normal 17 2" xfId="109"/>
    <cellStyle name="Normal 17 3" xfId="110"/>
    <cellStyle name="Normal 17 4" xfId="111"/>
    <cellStyle name="Normal 18" xfId="112"/>
    <cellStyle name="Normal 19" xfId="113"/>
    <cellStyle name="Normal 2" xfId="114"/>
    <cellStyle name="Normal 2 10" xfId="115"/>
    <cellStyle name="Normal 2 10 2" xfId="116"/>
    <cellStyle name="Normal 2 10 3" xfId="117"/>
    <cellStyle name="Normal 2 10 4" xfId="118"/>
    <cellStyle name="Normal 2 10 5" xfId="119"/>
    <cellStyle name="Normal 2 10 6" xfId="120"/>
    <cellStyle name="Normal 2 10 7" xfId="121"/>
    <cellStyle name="Normal 2 10 8" xfId="122"/>
    <cellStyle name="Normal 2 10 9" xfId="123"/>
    <cellStyle name="Normal 2 11" xfId="124"/>
    <cellStyle name="Normal 2 11 2" xfId="125"/>
    <cellStyle name="Normal 2 11 3" xfId="126"/>
    <cellStyle name="Normal 2 11 4" xfId="127"/>
    <cellStyle name="Normal 2 11 5" xfId="128"/>
    <cellStyle name="Normal 2 11 6" xfId="129"/>
    <cellStyle name="Normal 2 11 7" xfId="130"/>
    <cellStyle name="Normal 2 11 8" xfId="131"/>
    <cellStyle name="Normal 2 11 9" xfId="132"/>
    <cellStyle name="Normal 2 12" xfId="133"/>
    <cellStyle name="Normal 2 13" xfId="134"/>
    <cellStyle name="Normal 2 14" xfId="135"/>
    <cellStyle name="Normal 2 15" xfId="136"/>
    <cellStyle name="Normal 2 16" xfId="137"/>
    <cellStyle name="Normal 2 2" xfId="138"/>
    <cellStyle name="Normal 2 2 10" xfId="139"/>
    <cellStyle name="Normal 2 2 11" xfId="140"/>
    <cellStyle name="Normal 2 2 12" xfId="141"/>
    <cellStyle name="Normal 2 2 12 2" xfId="142"/>
    <cellStyle name="Normal 2 2 13" xfId="143"/>
    <cellStyle name="Normal 2 2 13 2" xfId="144"/>
    <cellStyle name="Normal 2 2 14" xfId="145"/>
    <cellStyle name="Normal 2 2 15" xfId="146"/>
    <cellStyle name="Normal 2 2 16" xfId="147"/>
    <cellStyle name="Normal 2 2 2" xfId="148"/>
    <cellStyle name="Normal 2 2 2 2" xfId="149"/>
    <cellStyle name="Normal 2 2 2 2 2" xfId="150"/>
    <cellStyle name="Normal 2 2 2 3" xfId="151"/>
    <cellStyle name="Normal 2 2 2 4" xfId="152"/>
    <cellStyle name="Normal 2 2 3" xfId="153"/>
    <cellStyle name="Normal 2 2 4" xfId="154"/>
    <cellStyle name="Normal 2 2 5" xfId="155"/>
    <cellStyle name="Normal 2 2 6" xfId="156"/>
    <cellStyle name="Normal 2 2 7" xfId="157"/>
    <cellStyle name="Normal 2 2 8" xfId="158"/>
    <cellStyle name="Normal 2 2 9" xfId="159"/>
    <cellStyle name="Normal 2 3" xfId="160"/>
    <cellStyle name="Normal 2 3 10" xfId="161"/>
    <cellStyle name="Normal 2 3 11" xfId="162"/>
    <cellStyle name="Normal 2 3 12" xfId="163"/>
    <cellStyle name="Normal 2 3 13" xfId="164"/>
    <cellStyle name="Normal 2 3 14" xfId="165"/>
    <cellStyle name="Normal 2 3 15" xfId="166"/>
    <cellStyle name="Normal 2 3 2" xfId="167"/>
    <cellStyle name="Normal 2 3 2 2" xfId="168"/>
    <cellStyle name="Normal 2 3 2 2 2" xfId="169"/>
    <cellStyle name="Normal 2 3 2 3" xfId="170"/>
    <cellStyle name="Normal 2 3 2 4" xfId="171"/>
    <cellStyle name="Normal 2 3 3" xfId="172"/>
    <cellStyle name="Normal 2 3 4" xfId="173"/>
    <cellStyle name="Normal 2 3 5" xfId="174"/>
    <cellStyle name="Normal 2 3 6" xfId="175"/>
    <cellStyle name="Normal 2 3 7" xfId="176"/>
    <cellStyle name="Normal 2 3 8" xfId="177"/>
    <cellStyle name="Normal 2 3 9" xfId="178"/>
    <cellStyle name="Normal 2 4" xfId="179"/>
    <cellStyle name="Normal 2 4 10" xfId="180"/>
    <cellStyle name="Normal 2 4 11" xfId="181"/>
    <cellStyle name="Normal 2 4 12" xfId="182"/>
    <cellStyle name="Normal 2 4 13" xfId="183"/>
    <cellStyle name="Normal 2 4 2" xfId="184"/>
    <cellStyle name="Normal 2 4 2 2" xfId="185"/>
    <cellStyle name="Normal 2 4 2 2 2" xfId="186"/>
    <cellStyle name="Normal 2 4 2 3" xfId="187"/>
    <cellStyle name="Normal 2 4 2 4" xfId="188"/>
    <cellStyle name="Normal 2 4 3" xfId="189"/>
    <cellStyle name="Normal 2 4 4" xfId="190"/>
    <cellStyle name="Normal 2 4 5" xfId="191"/>
    <cellStyle name="Normal 2 4 6" xfId="192"/>
    <cellStyle name="Normal 2 4 7" xfId="193"/>
    <cellStyle name="Normal 2 4 8" xfId="194"/>
    <cellStyle name="Normal 2 4 9" xfId="195"/>
    <cellStyle name="Normal 2 5" xfId="196"/>
    <cellStyle name="Normal 2 5 10" xfId="197"/>
    <cellStyle name="Normal 2 5 11" xfId="198"/>
    <cellStyle name="Normal 2 5 12" xfId="199"/>
    <cellStyle name="Normal 2 5 2" xfId="200"/>
    <cellStyle name="Normal 2 5 3" xfId="201"/>
    <cellStyle name="Normal 2 5 4" xfId="202"/>
    <cellStyle name="Normal 2 5 5" xfId="203"/>
    <cellStyle name="Normal 2 5 6" xfId="204"/>
    <cellStyle name="Normal 2 5 7" xfId="205"/>
    <cellStyle name="Normal 2 5 8" xfId="206"/>
    <cellStyle name="Normal 2 5 9" xfId="207"/>
    <cellStyle name="Normal 2 6" xfId="208"/>
    <cellStyle name="Normal 2 6 10" xfId="209"/>
    <cellStyle name="Normal 2 6 2" xfId="210"/>
    <cellStyle name="Normal 2 6 3" xfId="211"/>
    <cellStyle name="Normal 2 6 4" xfId="212"/>
    <cellStyle name="Normal 2 6 5" xfId="213"/>
    <cellStyle name="Normal 2 6 6" xfId="214"/>
    <cellStyle name="Normal 2 6 7" xfId="215"/>
    <cellStyle name="Normal 2 6 8" xfId="216"/>
    <cellStyle name="Normal 2 6 9" xfId="217"/>
    <cellStyle name="Normal 2 7" xfId="218"/>
    <cellStyle name="Normal 2 7 2" xfId="219"/>
    <cellStyle name="Normal 2 7 3" xfId="220"/>
    <cellStyle name="Normal 2 7 4" xfId="221"/>
    <cellStyle name="Normal 2 7 5" xfId="222"/>
    <cellStyle name="Normal 2 7 6" xfId="223"/>
    <cellStyle name="Normal 2 7 7" xfId="224"/>
    <cellStyle name="Normal 2 7 8" xfId="225"/>
    <cellStyle name="Normal 2 8" xfId="226"/>
    <cellStyle name="Normal 2 8 2" xfId="227"/>
    <cellStyle name="Normal 2 8 3" xfId="228"/>
    <cellStyle name="Normal 2 8 4" xfId="229"/>
    <cellStyle name="Normal 2 8 5" xfId="230"/>
    <cellStyle name="Normal 2 8 6" xfId="231"/>
    <cellStyle name="Normal 2 8 7" xfId="232"/>
    <cellStyle name="Normal 2 8 8" xfId="233"/>
    <cellStyle name="Normal 2 8 9" xfId="234"/>
    <cellStyle name="Normal 2 9" xfId="235"/>
    <cellStyle name="Normal 2 9 2" xfId="236"/>
    <cellStyle name="Normal 2 9 3" xfId="237"/>
    <cellStyle name="Normal 2 9 4" xfId="238"/>
    <cellStyle name="Normal 2 9 5" xfId="239"/>
    <cellStyle name="Normal 2 9 6" xfId="240"/>
    <cellStyle name="Normal 2 9 7" xfId="241"/>
    <cellStyle name="Normal 2 9 8" xfId="242"/>
    <cellStyle name="Normal 2 9 9" xfId="243"/>
    <cellStyle name="Normal 3" xfId="244"/>
    <cellStyle name="Normal 3 2" xfId="245"/>
    <cellStyle name="Normal 3 2 2" xfId="246"/>
    <cellStyle name="Normal 3 2 2 2" xfId="247"/>
    <cellStyle name="Normal 3 2 3" xfId="248"/>
    <cellStyle name="Normal 3 2 4" xfId="249"/>
    <cellStyle name="Normal 3 3" xfId="250"/>
    <cellStyle name="Normal 3 3 2" xfId="251"/>
    <cellStyle name="Normal 3 3 2 2" xfId="252"/>
    <cellStyle name="Normal 3 3 3" xfId="253"/>
    <cellStyle name="Normal 3 4" xfId="254"/>
    <cellStyle name="Normal 3 5" xfId="255"/>
    <cellStyle name="Normal 3 6" xfId="256"/>
    <cellStyle name="Normal 3 7" xfId="257"/>
    <cellStyle name="Normal 3 8" xfId="258"/>
    <cellStyle name="Normal 3 9" xfId="259"/>
    <cellStyle name="Normal 4" xfId="260"/>
    <cellStyle name="Normal 4 2" xfId="261"/>
    <cellStyle name="Normal 4 2 2" xfId="262"/>
    <cellStyle name="Normal 4 2 2 2" xfId="263"/>
    <cellStyle name="Normal 4 2 3" xfId="264"/>
    <cellStyle name="Normal 4 2 4" xfId="265"/>
    <cellStyle name="Normal 4 3" xfId="266"/>
    <cellStyle name="Normal 4 4" xfId="267"/>
    <cellStyle name="Normal 4 5" xfId="268"/>
    <cellStyle name="Normal 4 6" xfId="269"/>
    <cellStyle name="Normal 5" xfId="270"/>
    <cellStyle name="Normal 5 2" xfId="271"/>
    <cellStyle name="Normal 5 3" xfId="272"/>
    <cellStyle name="Normal 5 3 2" xfId="273"/>
    <cellStyle name="Normal 5 4" xfId="274"/>
    <cellStyle name="Normal 6" xfId="275"/>
    <cellStyle name="Normal 6 2" xfId="276"/>
    <cellStyle name="Normal 6 3" xfId="277"/>
    <cellStyle name="Normal 6 4" xfId="278"/>
    <cellStyle name="Normal 7" xfId="279"/>
    <cellStyle name="Normal 7 2" xfId="280"/>
    <cellStyle name="Normal 7 2 2" xfId="281"/>
    <cellStyle name="Normal 7 2 3" xfId="282"/>
    <cellStyle name="Normal 7 3" xfId="283"/>
    <cellStyle name="Normal 7 4" xfId="284"/>
    <cellStyle name="Normal 7 4 2" xfId="285"/>
    <cellStyle name="Normal 7 5" xfId="286"/>
    <cellStyle name="Normal 8" xfId="287"/>
    <cellStyle name="Normal 8 2" xfId="288"/>
    <cellStyle name="Normal 9" xfId="289"/>
    <cellStyle name="Normal 9 2" xfId="290"/>
    <cellStyle name="Normal 9 3" xfId="291"/>
    <cellStyle name="Normal 9 4" xfId="292"/>
    <cellStyle name="Note" xfId="293"/>
    <cellStyle name="Output" xfId="294"/>
    <cellStyle name="Percent" xfId="295"/>
    <cellStyle name="Title" xfId="296"/>
    <cellStyle name="Total" xfId="297"/>
    <cellStyle name="Warning Text" xfId="298"/>
  </cellStyles>
  <dxfs count="14">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43"/>
      </font>
    </dxf>
    <dxf>
      <font>
        <color rgb="FFFFFF99"/>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0</xdr:rowOff>
    </xdr:from>
    <xdr:to>
      <xdr:col>18</xdr:col>
      <xdr:colOff>295275</xdr:colOff>
      <xdr:row>104</xdr:row>
      <xdr:rowOff>76200</xdr:rowOff>
    </xdr:to>
    <xdr:pic>
      <xdr:nvPicPr>
        <xdr:cNvPr id="1" name="Picture 1"/>
        <xdr:cNvPicPr preferRelativeResize="1">
          <a:picLocks noChangeAspect="1"/>
        </xdr:cNvPicPr>
      </xdr:nvPicPr>
      <xdr:blipFill>
        <a:blip r:embed="rId1"/>
        <a:stretch>
          <a:fillRect/>
        </a:stretch>
      </xdr:blipFill>
      <xdr:spPr>
        <a:xfrm>
          <a:off x="0" y="200025"/>
          <a:ext cx="15382875" cy="206787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12</xdr:col>
      <xdr:colOff>28575</xdr:colOff>
      <xdr:row>71</xdr:row>
      <xdr:rowOff>104775</xdr:rowOff>
    </xdr:to>
    <xdr:pic>
      <xdr:nvPicPr>
        <xdr:cNvPr id="1" name="Picture 1"/>
        <xdr:cNvPicPr preferRelativeResize="1">
          <a:picLocks noChangeAspect="1"/>
        </xdr:cNvPicPr>
      </xdr:nvPicPr>
      <xdr:blipFill>
        <a:blip r:embed="rId1"/>
        <a:stretch>
          <a:fillRect/>
        </a:stretch>
      </xdr:blipFill>
      <xdr:spPr>
        <a:xfrm>
          <a:off x="0" y="0"/>
          <a:ext cx="10086975" cy="143065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G79"/>
  <sheetViews>
    <sheetView zoomScalePageLayoutView="0" workbookViewId="0" topLeftCell="A27">
      <selection activeCell="B44" sqref="B44"/>
    </sheetView>
  </sheetViews>
  <sheetFormatPr defaultColWidth="8.796875" defaultRowHeight="15.75"/>
  <cols>
    <col min="1" max="1" width="10.69921875" style="16" customWidth="1"/>
    <col min="2" max="2" width="20.69921875" style="16" customWidth="1"/>
    <col min="3" max="3" width="11.69921875" style="16" customWidth="1"/>
    <col min="4" max="4" width="15" style="16" customWidth="1"/>
    <col min="5" max="5" width="14.09765625" style="16" customWidth="1"/>
    <col min="6" max="6" width="2.69921875" style="16" customWidth="1"/>
    <col min="7" max="16384" width="8.796875" style="16" customWidth="1"/>
  </cols>
  <sheetData>
    <row r="1" spans="1:5" ht="15.75">
      <c r="A1" s="199" t="s">
        <v>163</v>
      </c>
      <c r="B1" s="14"/>
      <c r="C1" s="14"/>
      <c r="D1" s="14"/>
      <c r="E1" s="14"/>
    </row>
    <row r="2" spans="1:5" ht="15.75">
      <c r="A2" s="67" t="s">
        <v>158</v>
      </c>
      <c r="B2" s="14"/>
      <c r="C2" s="14"/>
      <c r="D2" s="171" t="s">
        <v>206</v>
      </c>
      <c r="E2" s="19"/>
    </row>
    <row r="3" spans="1:5" ht="15.75">
      <c r="A3" s="67" t="s">
        <v>157</v>
      </c>
      <c r="B3" s="14"/>
      <c r="C3" s="14"/>
      <c r="D3" s="200" t="s">
        <v>7</v>
      </c>
      <c r="E3" s="19"/>
    </row>
    <row r="4" spans="1:5" ht="15.75">
      <c r="A4" s="14"/>
      <c r="B4" s="14"/>
      <c r="C4" s="14"/>
      <c r="D4" s="14"/>
      <c r="E4" s="14"/>
    </row>
    <row r="5" spans="1:5" ht="15.75">
      <c r="A5" s="17" t="s">
        <v>121</v>
      </c>
      <c r="B5" s="14"/>
      <c r="C5" s="14"/>
      <c r="D5" s="201">
        <v>2012</v>
      </c>
      <c r="E5" s="14"/>
    </row>
    <row r="6" spans="1:5" ht="15.75">
      <c r="A6" s="14"/>
      <c r="B6" s="14"/>
      <c r="C6" s="14"/>
      <c r="D6" s="14"/>
      <c r="E6" s="14"/>
    </row>
    <row r="7" spans="1:5" ht="15.75">
      <c r="A7" s="97" t="s">
        <v>123</v>
      </c>
      <c r="B7" s="101"/>
      <c r="C7" s="101"/>
      <c r="D7" s="101"/>
      <c r="E7" s="101"/>
    </row>
    <row r="8" spans="1:5" ht="15.75">
      <c r="A8" s="97" t="s">
        <v>143</v>
      </c>
      <c r="B8" s="101"/>
      <c r="C8" s="101"/>
      <c r="D8" s="101"/>
      <c r="E8" s="101"/>
    </row>
    <row r="9" spans="1:5" ht="15.75">
      <c r="A9" s="14"/>
      <c r="B9" s="14"/>
      <c r="C9" s="14"/>
      <c r="D9" s="14"/>
      <c r="E9" s="14"/>
    </row>
    <row r="10" spans="1:5" ht="15.75">
      <c r="A10" s="279" t="s">
        <v>130</v>
      </c>
      <c r="B10" s="280"/>
      <c r="C10" s="280"/>
      <c r="D10" s="280"/>
      <c r="E10" s="280"/>
    </row>
    <row r="11" spans="1:5" ht="15.75">
      <c r="A11" s="67"/>
      <c r="B11" s="14"/>
      <c r="C11" s="14"/>
      <c r="D11" s="14"/>
      <c r="E11" s="14"/>
    </row>
    <row r="12" spans="1:5" ht="15.75">
      <c r="A12" s="202" t="s">
        <v>122</v>
      </c>
      <c r="B12" s="185"/>
      <c r="C12" s="14"/>
      <c r="D12" s="50"/>
      <c r="E12" s="203"/>
    </row>
    <row r="13" spans="1:5" ht="15.75">
      <c r="A13" s="204" t="str">
        <f>CONCATENATE("the ",D5-1," Budget, Certificate Page:")</f>
        <v>the 2011 Budget, Certificate Page:</v>
      </c>
      <c r="B13" s="205"/>
      <c r="C13" s="50"/>
      <c r="D13" s="14"/>
      <c r="E13" s="244">
        <v>0.98</v>
      </c>
    </row>
    <row r="14" spans="1:5" ht="15.75">
      <c r="A14" s="204" t="s">
        <v>185</v>
      </c>
      <c r="B14" s="205"/>
      <c r="C14" s="50"/>
      <c r="D14" s="206">
        <f>$D$5-1</f>
        <v>2011</v>
      </c>
      <c r="E14" s="207">
        <f>$D$5-2</f>
        <v>2010</v>
      </c>
    </row>
    <row r="15" spans="1:5" ht="15.75">
      <c r="A15" s="22" t="s">
        <v>165</v>
      </c>
      <c r="B15" s="14"/>
      <c r="C15" s="208" t="s">
        <v>164</v>
      </c>
      <c r="D15" s="209" t="s">
        <v>187</v>
      </c>
      <c r="E15" s="210" t="s">
        <v>29</v>
      </c>
    </row>
    <row r="16" spans="1:5" ht="15.75">
      <c r="A16" s="14"/>
      <c r="B16" s="70" t="s">
        <v>166</v>
      </c>
      <c r="C16" s="114" t="s">
        <v>167</v>
      </c>
      <c r="D16" s="119">
        <v>6538</v>
      </c>
      <c r="E16" s="119">
        <v>2619</v>
      </c>
    </row>
    <row r="17" spans="1:5" ht="15.75">
      <c r="A17" s="14"/>
      <c r="B17" s="119"/>
      <c r="C17" s="211"/>
      <c r="D17" s="119"/>
      <c r="E17" s="119"/>
    </row>
    <row r="18" spans="1:5" ht="15.75">
      <c r="A18" s="14"/>
      <c r="B18" s="119"/>
      <c r="C18" s="211"/>
      <c r="D18" s="119"/>
      <c r="E18" s="119"/>
    </row>
    <row r="19" spans="1:5" ht="15.75">
      <c r="A19" s="14"/>
      <c r="B19" s="71"/>
      <c r="C19" s="212"/>
      <c r="D19" s="119"/>
      <c r="E19" s="119"/>
    </row>
    <row r="20" spans="1:5" ht="15.75">
      <c r="A20" s="14"/>
      <c r="B20" s="71"/>
      <c r="C20" s="212"/>
      <c r="D20" s="119"/>
      <c r="E20" s="119"/>
    </row>
    <row r="21" spans="1:5" ht="15.75">
      <c r="A21" s="14"/>
      <c r="B21" s="71"/>
      <c r="C21" s="212"/>
      <c r="D21" s="119"/>
      <c r="E21" s="119"/>
    </row>
    <row r="22" spans="1:5" ht="15.75">
      <c r="A22" s="14"/>
      <c r="B22" s="71"/>
      <c r="C22" s="212"/>
      <c r="D22" s="119"/>
      <c r="E22" s="119"/>
    </row>
    <row r="23" spans="1:5" ht="15.75">
      <c r="A23" s="213" t="str">
        <f>CONCATENATE("Total Ad Valorem Tax for ",D5-1," Budgeted Year")</f>
        <v>Total Ad Valorem Tax for 2011 Budgeted Year</v>
      </c>
      <c r="B23" s="20"/>
      <c r="C23" s="157"/>
      <c r="D23" s="214"/>
      <c r="E23" s="215">
        <f>SUM(E16:E22)</f>
        <v>2619</v>
      </c>
    </row>
    <row r="24" spans="1:5" ht="15.75">
      <c r="A24" s="19"/>
      <c r="B24" s="19"/>
      <c r="C24" s="19"/>
      <c r="D24" s="24"/>
      <c r="E24" s="93"/>
    </row>
    <row r="25" spans="1:5" ht="15.75">
      <c r="A25" s="14" t="s">
        <v>119</v>
      </c>
      <c r="B25" s="14"/>
      <c r="C25" s="14"/>
      <c r="D25" s="14"/>
      <c r="E25" s="14"/>
    </row>
    <row r="26" spans="1:5" ht="15.75">
      <c r="A26" s="14"/>
      <c r="B26" s="120"/>
      <c r="C26" s="14"/>
      <c r="D26" s="36"/>
      <c r="E26" s="19"/>
    </row>
    <row r="27" spans="1:5" ht="15.75">
      <c r="A27" s="14"/>
      <c r="B27" s="120"/>
      <c r="C27" s="14"/>
      <c r="D27" s="36"/>
      <c r="E27" s="19"/>
    </row>
    <row r="28" spans="1:5" ht="15.75">
      <c r="A28" s="213" t="str">
        <f>CONCATENATE("Total Expenditures for ",D5-1,"")</f>
        <v>Total Expenditures for 2011</v>
      </c>
      <c r="B28" s="216"/>
      <c r="C28" s="152"/>
      <c r="D28" s="111">
        <f>SUM(D16:D22,D26:D27)</f>
        <v>6538</v>
      </c>
      <c r="E28" s="14"/>
    </row>
    <row r="29" spans="1:5" ht="15.75">
      <c r="A29" s="14"/>
      <c r="B29" s="14"/>
      <c r="C29" s="14"/>
      <c r="D29" s="14"/>
      <c r="E29" s="14"/>
    </row>
    <row r="30" spans="1:5" ht="15.75">
      <c r="A30" s="165" t="s">
        <v>186</v>
      </c>
      <c r="B30" s="19"/>
      <c r="C30" s="14"/>
      <c r="D30" s="14"/>
      <c r="E30" s="14"/>
    </row>
    <row r="31" spans="1:5" ht="15.75">
      <c r="A31" s="217">
        <v>1</v>
      </c>
      <c r="B31" s="120" t="s">
        <v>2</v>
      </c>
      <c r="C31" s="14"/>
      <c r="D31" s="14"/>
      <c r="E31" s="14"/>
    </row>
    <row r="32" spans="1:5" ht="15.75">
      <c r="A32" s="217">
        <v>2</v>
      </c>
      <c r="B32" s="120" t="s">
        <v>3</v>
      </c>
      <c r="C32" s="14"/>
      <c r="D32" s="14"/>
      <c r="E32" s="14"/>
    </row>
    <row r="33" spans="1:5" ht="15.75">
      <c r="A33" s="217">
        <v>3</v>
      </c>
      <c r="B33" s="120" t="s">
        <v>4</v>
      </c>
      <c r="C33" s="14"/>
      <c r="D33" s="14"/>
      <c r="E33" s="14"/>
    </row>
    <row r="34" spans="1:5" ht="15.75">
      <c r="A34" s="217">
        <v>4</v>
      </c>
      <c r="B34" s="120" t="s">
        <v>5</v>
      </c>
      <c r="C34" s="14"/>
      <c r="D34" s="14"/>
      <c r="E34" s="14"/>
    </row>
    <row r="35" spans="1:5" ht="15.75">
      <c r="A35" s="217">
        <v>5</v>
      </c>
      <c r="B35" s="120" t="s">
        <v>6</v>
      </c>
      <c r="C35" s="14"/>
      <c r="D35" s="14"/>
      <c r="E35" s="14"/>
    </row>
    <row r="36" spans="1:5" ht="15.75">
      <c r="A36" s="14"/>
      <c r="B36" s="14"/>
      <c r="C36" s="14"/>
      <c r="D36" s="14"/>
      <c r="E36" s="14"/>
    </row>
    <row r="37" spans="1:5" ht="15.75" customHeight="1">
      <c r="A37" s="202" t="s">
        <v>122</v>
      </c>
      <c r="B37" s="185"/>
      <c r="C37" s="14"/>
      <c r="D37" s="277" t="str">
        <f>CONCATENATE("",D5-3," Tax Rate                    (",D5-2," Column)")</f>
        <v>2009 Tax Rate                    (2010 Column)</v>
      </c>
      <c r="E37" s="14"/>
    </row>
    <row r="38" spans="1:5" ht="15.75">
      <c r="A38" s="204" t="str">
        <f>CONCATENATE("the ",D5-1," Budget, Budget Summary Page:")</f>
        <v>the 2011 Budget, Budget Summary Page:</v>
      </c>
      <c r="B38" s="173"/>
      <c r="C38" s="14"/>
      <c r="D38" s="278"/>
      <c r="E38" s="14"/>
    </row>
    <row r="39" spans="1:5" ht="15.75">
      <c r="A39" s="14"/>
      <c r="B39" s="75" t="str">
        <f>B16</f>
        <v>General</v>
      </c>
      <c r="C39" s="14"/>
      <c r="D39" s="218">
        <v>2.201</v>
      </c>
      <c r="E39" s="14"/>
    </row>
    <row r="40" spans="1:5" ht="15.75">
      <c r="A40" s="14"/>
      <c r="B40" s="70">
        <f aca="true" t="shared" si="0" ref="B40:B45">B17</f>
        <v>0</v>
      </c>
      <c r="C40" s="14"/>
      <c r="D40" s="219"/>
      <c r="E40" s="14"/>
    </row>
    <row r="41" spans="1:5" ht="15.75">
      <c r="A41" s="14"/>
      <c r="B41" s="70">
        <f t="shared" si="0"/>
        <v>0</v>
      </c>
      <c r="C41" s="14"/>
      <c r="D41" s="219"/>
      <c r="E41" s="14"/>
    </row>
    <row r="42" spans="1:5" ht="15.75">
      <c r="A42" s="14"/>
      <c r="B42" s="70">
        <f t="shared" si="0"/>
        <v>0</v>
      </c>
      <c r="C42" s="14"/>
      <c r="D42" s="219"/>
      <c r="E42" s="14"/>
    </row>
    <row r="43" spans="1:5" ht="15.75">
      <c r="A43" s="14"/>
      <c r="B43" s="70">
        <f t="shared" si="0"/>
        <v>0</v>
      </c>
      <c r="C43" s="14"/>
      <c r="D43" s="219"/>
      <c r="E43" s="14"/>
    </row>
    <row r="44" spans="1:5" ht="15.75">
      <c r="A44" s="14"/>
      <c r="B44" s="70">
        <f t="shared" si="0"/>
        <v>0</v>
      </c>
      <c r="C44" s="14"/>
      <c r="D44" s="219"/>
      <c r="E44" s="14"/>
    </row>
    <row r="45" spans="1:5" ht="15.75">
      <c r="A45" s="14"/>
      <c r="B45" s="70">
        <f t="shared" si="0"/>
        <v>0</v>
      </c>
      <c r="C45" s="14"/>
      <c r="D45" s="219"/>
      <c r="E45" s="14"/>
    </row>
    <row r="46" spans="1:5" ht="16.5" thickBot="1">
      <c r="A46" s="69" t="str">
        <f>CONCATENATE("Total ",D5-3," Tax Levy Rate")</f>
        <v>Total 2009 Tax Levy Rate</v>
      </c>
      <c r="B46" s="220"/>
      <c r="C46" s="152"/>
      <c r="D46" s="221">
        <f>SUM(D39:D45)</f>
        <v>2.201</v>
      </c>
      <c r="E46" s="14"/>
    </row>
    <row r="47" spans="1:5" ht="16.5" thickTop="1">
      <c r="A47" s="14"/>
      <c r="B47" s="14"/>
      <c r="C47" s="14"/>
      <c r="D47" s="14"/>
      <c r="E47" s="14"/>
    </row>
    <row r="48" spans="1:5" ht="15.75">
      <c r="A48" s="222" t="str">
        <f>CONCATENATE("Total Tax Levied (",D5-2," budget column)")</f>
        <v>Total Tax Levied (2010 budget column)</v>
      </c>
      <c r="B48" s="223"/>
      <c r="C48" s="20"/>
      <c r="D48" s="152"/>
      <c r="E48" s="119">
        <v>2515</v>
      </c>
    </row>
    <row r="49" spans="1:5" ht="15.75">
      <c r="A49" s="224" t="str">
        <f>CONCATENATE("Assessed Valuation (",D5-2," budget column)")</f>
        <v>Assessed Valuation (2010 budget column)</v>
      </c>
      <c r="B49" s="225"/>
      <c r="C49" s="157"/>
      <c r="D49" s="29"/>
      <c r="E49" s="119">
        <v>1142792</v>
      </c>
    </row>
    <row r="50" spans="1:5" ht="15.75">
      <c r="A50" s="165"/>
      <c r="B50" s="19"/>
      <c r="C50" s="19"/>
      <c r="D50" s="19"/>
      <c r="E50" s="176"/>
    </row>
    <row r="51" spans="1:5" ht="15.75">
      <c r="A51" s="14"/>
      <c r="B51" s="14"/>
      <c r="C51" s="14"/>
      <c r="D51" s="14"/>
      <c r="E51" s="57"/>
    </row>
    <row r="52" spans="1:5" ht="15.75">
      <c r="A52" s="185" t="s">
        <v>144</v>
      </c>
      <c r="B52" s="185"/>
      <c r="C52" s="84"/>
      <c r="D52" s="226">
        <f>D5-3</f>
        <v>2009</v>
      </c>
      <c r="E52" s="226">
        <f>D5-2</f>
        <v>2010</v>
      </c>
    </row>
    <row r="53" spans="1:5" ht="15.75">
      <c r="A53" s="223" t="s">
        <v>139</v>
      </c>
      <c r="B53" s="223"/>
      <c r="C53" s="227"/>
      <c r="D53" s="36"/>
      <c r="E53" s="36"/>
    </row>
    <row r="54" spans="1:5" ht="15.75">
      <c r="A54" s="225" t="s">
        <v>140</v>
      </c>
      <c r="B54" s="225"/>
      <c r="C54" s="228"/>
      <c r="D54" s="36"/>
      <c r="E54" s="36"/>
    </row>
    <row r="55" spans="1:5" ht="15.75">
      <c r="A55" s="225" t="s">
        <v>141</v>
      </c>
      <c r="B55" s="225"/>
      <c r="C55" s="228"/>
      <c r="D55" s="36"/>
      <c r="E55" s="36"/>
    </row>
    <row r="56" spans="1:5" ht="15.75">
      <c r="A56" s="225"/>
      <c r="B56" s="225"/>
      <c r="C56" s="229"/>
      <c r="D56" s="36"/>
      <c r="E56" s="36"/>
    </row>
    <row r="57" spans="1:5" ht="15.75">
      <c r="A57" s="12"/>
      <c r="B57" s="12"/>
      <c r="C57" s="12"/>
      <c r="D57" s="12"/>
      <c r="E57" s="12"/>
    </row>
    <row r="58" spans="1:5" ht="15.75">
      <c r="A58" s="12"/>
      <c r="B58" s="12"/>
      <c r="C58" s="12"/>
      <c r="D58" s="12"/>
      <c r="E58" s="12"/>
    </row>
    <row r="59" spans="1:5" ht="15.75">
      <c r="A59" s="12"/>
      <c r="B59" s="12"/>
      <c r="C59" s="12"/>
      <c r="D59" s="12"/>
      <c r="E59" s="12"/>
    </row>
    <row r="60" spans="1:5" ht="15.75">
      <c r="A60" s="12"/>
      <c r="B60" s="12"/>
      <c r="C60" s="12"/>
      <c r="D60" s="12"/>
      <c r="E60" s="12"/>
    </row>
    <row r="61" spans="1:5" ht="15.75">
      <c r="A61" s="12"/>
      <c r="B61" s="12"/>
      <c r="C61" s="12"/>
      <c r="D61" s="12"/>
      <c r="E61" s="12"/>
    </row>
    <row r="62" spans="1:5" ht="15.75">
      <c r="A62" s="12"/>
      <c r="B62" s="12"/>
      <c r="C62" s="12"/>
      <c r="D62" s="12"/>
      <c r="E62" s="12"/>
    </row>
    <row r="63" spans="1:5" ht="15.75">
      <c r="A63" s="12"/>
      <c r="B63" s="12"/>
      <c r="C63" s="12"/>
      <c r="D63" s="12"/>
      <c r="E63" s="12"/>
    </row>
    <row r="64" spans="1:5" ht="15.75">
      <c r="A64" s="12"/>
      <c r="B64" s="12"/>
      <c r="C64" s="12"/>
      <c r="D64" s="12"/>
      <c r="E64" s="12"/>
    </row>
    <row r="65" spans="1:5" ht="15.75">
      <c r="A65" s="12"/>
      <c r="B65" s="12"/>
      <c r="C65" s="12"/>
      <c r="D65" s="12"/>
      <c r="E65" s="12"/>
    </row>
    <row r="66" spans="1:5" ht="15.75">
      <c r="A66" s="12"/>
      <c r="B66" s="12"/>
      <c r="C66" s="12"/>
      <c r="D66" s="12"/>
      <c r="E66" s="12"/>
    </row>
    <row r="67" spans="1:5" s="230" customFormat="1" ht="15.75">
      <c r="A67" s="12"/>
      <c r="B67" s="12"/>
      <c r="C67" s="12"/>
      <c r="D67" s="12"/>
      <c r="E67" s="12"/>
    </row>
    <row r="68" spans="1:5" ht="15.75">
      <c r="A68" s="12"/>
      <c r="B68" s="12"/>
      <c r="C68" s="12"/>
      <c r="D68" s="12"/>
      <c r="E68" s="12"/>
    </row>
    <row r="69" spans="1:5" ht="15.75">
      <c r="A69" s="12"/>
      <c r="B69" s="12"/>
      <c r="C69" s="12"/>
      <c r="D69" s="12"/>
      <c r="E69" s="12"/>
    </row>
    <row r="70" spans="1:5" ht="15.75">
      <c r="A70" s="12"/>
      <c r="B70" s="12"/>
      <c r="C70" s="12"/>
      <c r="D70" s="12"/>
      <c r="E70" s="12"/>
    </row>
    <row r="71" spans="1:5" ht="15.75">
      <c r="A71" s="12"/>
      <c r="B71" s="12"/>
      <c r="C71" s="12"/>
      <c r="D71" s="12"/>
      <c r="E71" s="12"/>
    </row>
    <row r="72" spans="1:5" ht="15.75">
      <c r="A72" s="12"/>
      <c r="B72" s="12"/>
      <c r="C72" s="12"/>
      <c r="D72" s="12"/>
      <c r="E72" s="12"/>
    </row>
    <row r="73" spans="1:5" ht="15.75">
      <c r="A73" s="12"/>
      <c r="B73" s="12"/>
      <c r="C73" s="12"/>
      <c r="D73" s="12"/>
      <c r="E73" s="12"/>
    </row>
    <row r="74" spans="1:5" ht="15.75">
      <c r="A74" s="12"/>
      <c r="B74" s="12"/>
      <c r="C74" s="12"/>
      <c r="D74" s="12"/>
      <c r="E74" s="12"/>
    </row>
    <row r="75" spans="1:5" ht="15.75">
      <c r="A75" s="12"/>
      <c r="B75" s="12"/>
      <c r="C75" s="12"/>
      <c r="D75" s="12"/>
      <c r="E75" s="12"/>
    </row>
    <row r="76" spans="1:5" ht="15.75">
      <c r="A76" s="12"/>
      <c r="B76" s="12"/>
      <c r="C76" s="12"/>
      <c r="D76" s="12"/>
      <c r="E76" s="12"/>
    </row>
    <row r="77" spans="1:7" s="73" customFormat="1" ht="15.75">
      <c r="A77" s="12"/>
      <c r="B77" s="12"/>
      <c r="C77" s="12"/>
      <c r="D77" s="12"/>
      <c r="E77" s="12"/>
      <c r="G77" s="16"/>
    </row>
    <row r="78" spans="1:7" s="73" customFormat="1" ht="15.75">
      <c r="A78" s="12"/>
      <c r="B78" s="12"/>
      <c r="C78" s="12"/>
      <c r="D78" s="12"/>
      <c r="E78" s="12"/>
      <c r="G78" s="16"/>
    </row>
    <row r="79" spans="1:5" ht="15.75">
      <c r="A79" s="12"/>
      <c r="B79" s="12"/>
      <c r="C79" s="12"/>
      <c r="D79" s="12"/>
      <c r="E79" s="12"/>
    </row>
  </sheetData>
  <sheetProtection/>
  <mergeCells count="2">
    <mergeCell ref="D37:D38"/>
    <mergeCell ref="A10:E10"/>
  </mergeCells>
  <printOptions/>
  <pageMargins left="0.3" right="0.3" top="0.5" bottom="0.5" header="0.3" footer="0.3"/>
  <pageSetup blackAndWhite="1" fitToHeight="2" fitToWidth="1" horizontalDpi="300" verticalDpi="300" orientation="portrait" r:id="rId1"/>
  <headerFooter alignWithMargins="0">
    <oddFooter>&amp;Lrevised 10/14/08</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28">
      <selection activeCell="D51" sqref="D51"/>
    </sheetView>
  </sheetViews>
  <sheetFormatPr defaultColWidth="8.796875" defaultRowHeight="15.75"/>
  <sheetData>
    <row r="1" spans="1:7" ht="15.75">
      <c r="A1" s="354" t="s">
        <v>107</v>
      </c>
      <c r="B1" s="354"/>
      <c r="C1" s="354"/>
      <c r="D1" s="354"/>
      <c r="E1" s="354"/>
      <c r="F1" s="354"/>
      <c r="G1" s="354"/>
    </row>
    <row r="2" ht="15.75">
      <c r="A2" s="1"/>
    </row>
    <row r="3" spans="1:7" ht="15.75">
      <c r="A3" s="355" t="s">
        <v>108</v>
      </c>
      <c r="B3" s="355"/>
      <c r="C3" s="355"/>
      <c r="D3" s="355"/>
      <c r="E3" s="355"/>
      <c r="F3" s="355"/>
      <c r="G3" s="355"/>
    </row>
    <row r="4" ht="15.75">
      <c r="A4" s="2"/>
    </row>
    <row r="5" ht="15.75">
      <c r="A5" s="2"/>
    </row>
    <row r="6" spans="1:9" ht="15.75">
      <c r="A6" s="8" t="str">
        <f>CONCATENATE("A resolution expressing the property taxation policy of the Board of ",(inputPrYr!D2)," ")</f>
        <v>A resolution expressing the property taxation policy of the Board of Blaine Township </v>
      </c>
      <c r="I6">
        <f>CONCATENATE(I7)</f>
      </c>
    </row>
    <row r="7" spans="1:7" ht="15.75">
      <c r="A7" s="356" t="str">
        <f>CONCATENATE("   with respect to financing the ",inputPrYr!D5," annual budget for ",(inputPrYr!D2)," , ",(inputPrYr!D3)," , Kansas.")</f>
        <v>   with respect to financing the 2012 annual budget for Blaine Township , Smith County , Kansas.</v>
      </c>
      <c r="B7" s="350"/>
      <c r="C7" s="350"/>
      <c r="D7" s="350"/>
      <c r="E7" s="350"/>
      <c r="F7" s="350"/>
      <c r="G7" s="350"/>
    </row>
    <row r="8" spans="1:7" ht="15.75">
      <c r="A8" s="350"/>
      <c r="B8" s="350"/>
      <c r="C8" s="350"/>
      <c r="D8" s="350"/>
      <c r="E8" s="350"/>
      <c r="F8" s="350"/>
      <c r="G8" s="350"/>
    </row>
    <row r="9" ht="15.75">
      <c r="A9" s="1"/>
    </row>
    <row r="10" ht="15.75">
      <c r="A10" s="9" t="s">
        <v>109</v>
      </c>
    </row>
    <row r="11" ht="15.75">
      <c r="A11" s="7" t="str">
        <f>CONCATENATE("to finance the ",inputPrYr!D5," ",(inputPrYr!D2)," budget exceed the amount levied to finance the ",inputPrYr!D5-1,"")</f>
        <v>to finance the 2012 Blaine Township budget exceed the amount levied to finance the 2011</v>
      </c>
    </row>
    <row r="12" spans="1:7" ht="15.75">
      <c r="A12" s="351" t="str">
        <f>CONCATENATE((inputPrYr!D2)," Township budget, except with regard to revenue produced and attributable to the taxation of 1) new improvements to real property; 2) increased personal property valuation, other than increased")</f>
        <v>Blaine Township Township budget, except with regard to revenue produced and attributable to the taxation of 1) new improvements to real property; 2) increased personal property valuation, other than increased</v>
      </c>
      <c r="B12" s="350"/>
      <c r="C12" s="350"/>
      <c r="D12" s="350"/>
      <c r="E12" s="350"/>
      <c r="F12" s="350"/>
      <c r="G12" s="350"/>
    </row>
    <row r="13" spans="1:7" ht="15.75">
      <c r="A13" s="350"/>
      <c r="B13" s="350"/>
      <c r="C13" s="350"/>
      <c r="D13" s="350"/>
      <c r="E13" s="350"/>
      <c r="F13" s="350"/>
      <c r="G13" s="350"/>
    </row>
    <row r="14" spans="1:7" ht="15.75">
      <c r="A14" s="351" t="s">
        <v>114</v>
      </c>
      <c r="B14" s="350"/>
      <c r="C14" s="350"/>
      <c r="D14" s="350"/>
      <c r="E14" s="350"/>
      <c r="F14" s="350"/>
      <c r="G14" s="350"/>
    </row>
    <row r="15" spans="1:7" ht="15.75">
      <c r="A15" s="350"/>
      <c r="B15" s="350"/>
      <c r="C15" s="350"/>
      <c r="D15" s="350"/>
      <c r="E15" s="350"/>
      <c r="F15" s="350"/>
      <c r="G15" s="350"/>
    </row>
    <row r="16" spans="1:7" ht="15.75">
      <c r="A16" s="352"/>
      <c r="B16" s="352"/>
      <c r="C16" s="352"/>
      <c r="D16" s="352"/>
      <c r="E16" s="352"/>
      <c r="F16" s="352"/>
      <c r="G16" s="352"/>
    </row>
    <row r="17" ht="15.75">
      <c r="A17" s="2"/>
    </row>
    <row r="18" spans="1:7" ht="15.75">
      <c r="A18" s="357" t="s">
        <v>110</v>
      </c>
      <c r="B18" s="350"/>
      <c r="C18" s="350"/>
      <c r="D18" s="350"/>
      <c r="E18" s="350"/>
      <c r="F18" s="350"/>
      <c r="G18" s="350"/>
    </row>
    <row r="19" spans="1:7" ht="15.75">
      <c r="A19" s="350"/>
      <c r="B19" s="350"/>
      <c r="C19" s="350"/>
      <c r="D19" s="350"/>
      <c r="E19" s="350"/>
      <c r="F19" s="350"/>
      <c r="G19" s="350"/>
    </row>
    <row r="20" ht="15.75">
      <c r="A20" s="2"/>
    </row>
    <row r="21" spans="1:7" ht="15.75">
      <c r="A21" s="357" t="str">
        <f>CONCATENATE("Whereas, ",(inputPrYr!D2)," provides essential services to protect the safety and well being of the citizens of the township; and")</f>
        <v>Whereas, Blaine Township provides essential services to protect the safety and well being of the citizens of the township; and</v>
      </c>
      <c r="B21" s="350"/>
      <c r="C21" s="350"/>
      <c r="D21" s="350"/>
      <c r="E21" s="350"/>
      <c r="F21" s="350"/>
      <c r="G21" s="350"/>
    </row>
    <row r="22" spans="1:7" ht="15.75">
      <c r="A22" s="350"/>
      <c r="B22" s="350"/>
      <c r="C22" s="350"/>
      <c r="D22" s="350"/>
      <c r="E22" s="350"/>
      <c r="F22" s="350"/>
      <c r="G22" s="350"/>
    </row>
    <row r="23" ht="15.75">
      <c r="A23" s="4"/>
    </row>
    <row r="24" ht="15.75">
      <c r="A24" s="3" t="s">
        <v>111</v>
      </c>
    </row>
    <row r="25" ht="15.75">
      <c r="A25" s="4"/>
    </row>
    <row r="26" spans="1:7" ht="15.75">
      <c r="A26" s="357" t="str">
        <f>CONCATENATE("NOW, THEREFORE, BE IT RESOLVED by the Board of ",(inputPrYr!D2)," of ",(inputPrYr!D3),", Kansas that is our desire to notify the public of increased property taxes to finance the ",inputPrYr!D5," ",(inputPrYr!D2),"  budget as defined above.")</f>
        <v>NOW, THEREFORE, BE IT RESOLVED by the Board of Blaine Township of Smith County, Kansas that is our desire to notify the public of increased property taxes to finance the 2012 Blaine Township  budget as defined above.</v>
      </c>
      <c r="B26" s="350"/>
      <c r="C26" s="350"/>
      <c r="D26" s="350"/>
      <c r="E26" s="350"/>
      <c r="F26" s="350"/>
      <c r="G26" s="350"/>
    </row>
    <row r="27" spans="1:7" ht="15.75">
      <c r="A27" s="350"/>
      <c r="B27" s="350"/>
      <c r="C27" s="350"/>
      <c r="D27" s="350"/>
      <c r="E27" s="350"/>
      <c r="F27" s="350"/>
      <c r="G27" s="350"/>
    </row>
    <row r="28" spans="1:7" ht="15.75">
      <c r="A28" s="350"/>
      <c r="B28" s="350"/>
      <c r="C28" s="350"/>
      <c r="D28" s="350"/>
      <c r="E28" s="350"/>
      <c r="F28" s="350"/>
      <c r="G28" s="350"/>
    </row>
    <row r="29" ht="15.75">
      <c r="A29" s="4"/>
    </row>
    <row r="30" spans="1:7" ht="15.75">
      <c r="A30" s="349" t="str">
        <f>CONCATENATE("Adopted this _________ day of ___________, ",inputPrYr!D5-1," by the ",(inputPrYr!D2)," Board, ",(inputPrYr!D3),", Kansas.")</f>
        <v>Adopted this _________ day of ___________, 2011 by the Blaine Township Board, Smith County, Kansas.</v>
      </c>
      <c r="B30" s="350"/>
      <c r="C30" s="350"/>
      <c r="D30" s="350"/>
      <c r="E30" s="350"/>
      <c r="F30" s="350"/>
      <c r="G30" s="350"/>
    </row>
    <row r="31" spans="1:7" ht="15.75">
      <c r="A31" s="350"/>
      <c r="B31" s="350"/>
      <c r="C31" s="350"/>
      <c r="D31" s="350"/>
      <c r="E31" s="350"/>
      <c r="F31" s="350"/>
      <c r="G31" s="350"/>
    </row>
    <row r="32" ht="15.75">
      <c r="A32" s="4"/>
    </row>
    <row r="33" spans="4:7" ht="15.75">
      <c r="D33" s="358" t="str">
        <f>CONCATENATE((inputPrYr!D2)," Board")</f>
        <v>Blaine Township Board</v>
      </c>
      <c r="E33" s="358"/>
      <c r="F33" s="358"/>
      <c r="G33" s="358"/>
    </row>
    <row r="35" spans="4:7" ht="15.75">
      <c r="D35" s="353" t="s">
        <v>112</v>
      </c>
      <c r="E35" s="353"/>
      <c r="F35" s="353"/>
      <c r="G35" s="353"/>
    </row>
    <row r="36" spans="1:7" ht="15.75">
      <c r="A36" s="5"/>
      <c r="D36" s="353" t="s">
        <v>116</v>
      </c>
      <c r="E36" s="353"/>
      <c r="F36" s="353"/>
      <c r="G36" s="353"/>
    </row>
    <row r="37" spans="4:7" ht="15.75">
      <c r="D37" s="353"/>
      <c r="E37" s="353"/>
      <c r="F37" s="353"/>
      <c r="G37" s="353"/>
    </row>
    <row r="38" spans="4:7" ht="15.75">
      <c r="D38" s="353" t="s">
        <v>112</v>
      </c>
      <c r="E38" s="353"/>
      <c r="F38" s="353"/>
      <c r="G38" s="353"/>
    </row>
    <row r="39" spans="1:7" ht="15.75">
      <c r="A39" s="4"/>
      <c r="D39" s="353" t="s">
        <v>117</v>
      </c>
      <c r="E39" s="353"/>
      <c r="F39" s="353"/>
      <c r="G39" s="353"/>
    </row>
    <row r="40" spans="4:7" ht="15.75">
      <c r="D40" s="353"/>
      <c r="E40" s="353"/>
      <c r="F40" s="353"/>
      <c r="G40" s="353"/>
    </row>
    <row r="41" spans="4:7" ht="15.75">
      <c r="D41" s="353" t="s">
        <v>115</v>
      </c>
      <c r="E41" s="353"/>
      <c r="F41" s="353"/>
      <c r="G41" s="353"/>
    </row>
    <row r="42" spans="1:7" ht="15.75">
      <c r="A42" s="4"/>
      <c r="D42" s="353" t="s">
        <v>118</v>
      </c>
      <c r="E42" s="353"/>
      <c r="F42" s="353"/>
      <c r="G42" s="353"/>
    </row>
    <row r="43" ht="15.75">
      <c r="A43" s="6"/>
    </row>
    <row r="44" ht="15.75">
      <c r="A44" s="6"/>
    </row>
    <row r="45" ht="15.75">
      <c r="A45" s="6" t="s">
        <v>113</v>
      </c>
    </row>
    <row r="50" spans="3:4" ht="15.75">
      <c r="C50" s="10" t="s">
        <v>23</v>
      </c>
      <c r="D50" s="11"/>
    </row>
  </sheetData>
  <sheetProtection/>
  <mergeCells count="18">
    <mergeCell ref="D33:G33"/>
    <mergeCell ref="D42:G42"/>
    <mergeCell ref="D37:G37"/>
    <mergeCell ref="D38:G38"/>
    <mergeCell ref="D40:G40"/>
    <mergeCell ref="D41:G41"/>
    <mergeCell ref="D36:G36"/>
    <mergeCell ref="D39:G39"/>
    <mergeCell ref="A30:G31"/>
    <mergeCell ref="A12:G13"/>
    <mergeCell ref="A14:G16"/>
    <mergeCell ref="D35:G35"/>
    <mergeCell ref="A1:G1"/>
    <mergeCell ref="A3:G3"/>
    <mergeCell ref="A7:G8"/>
    <mergeCell ref="A18:G19"/>
    <mergeCell ref="A21:G22"/>
    <mergeCell ref="A26:G28"/>
  </mergeCells>
  <printOptions/>
  <pageMargins left="0.75" right="0.75" top="1" bottom="1" header="0.5" footer="0.5"/>
  <pageSetup blackAndWhite="1" fitToHeight="1" fitToWidth="1" horizontalDpi="600" verticalDpi="600" orientation="portrait" scale="88" r:id="rId1"/>
  <headerFooter alignWithMargins="0">
    <oddFooter>&amp;Lrevised 8/06/07</oddFooter>
  </headerFooter>
</worksheet>
</file>

<file path=xl/worksheets/sheet11.xml><?xml version="1.0" encoding="utf-8"?>
<worksheet xmlns="http://schemas.openxmlformats.org/spreadsheetml/2006/main" xmlns:r="http://schemas.openxmlformats.org/officeDocument/2006/relationships">
  <dimension ref="A1:A1"/>
  <sheetViews>
    <sheetView zoomScalePageLayoutView="0" workbookViewId="0" topLeftCell="A1">
      <selection activeCell="A2" sqref="A2"/>
    </sheetView>
  </sheetViews>
  <sheetFormatPr defaultColWidth="8.796875" defaultRowHeight="15.75"/>
  <sheetData/>
  <sheetProtection/>
  <printOptions/>
  <pageMargins left="0.7" right="0.7" top="0.75" bottom="0.75" header="0.3" footer="0.3"/>
  <pageSetup orientation="portrait" paperSize="9"/>
  <drawing r:id="rId1"/>
</worksheet>
</file>

<file path=xl/worksheets/sheet12.xml><?xml version="1.0" encoding="utf-8"?>
<worksheet xmlns="http://schemas.openxmlformats.org/spreadsheetml/2006/main" xmlns:r="http://schemas.openxmlformats.org/officeDocument/2006/relationships">
  <dimension ref="A1:A1"/>
  <sheetViews>
    <sheetView tabSelected="1" zoomScalePageLayoutView="0" workbookViewId="0" topLeftCell="A1">
      <selection activeCell="A1" sqref="A1"/>
    </sheetView>
  </sheetViews>
  <sheetFormatPr defaultColWidth="8.796875" defaultRowHeight="15.75"/>
  <sheetData/>
  <sheetProtection/>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sheetPr>
    <pageSetUpPr fitToPage="1"/>
  </sheetPr>
  <dimension ref="A1:E52"/>
  <sheetViews>
    <sheetView zoomScalePageLayoutView="0" workbookViewId="0" topLeftCell="A1">
      <selection activeCell="E11" sqref="E11"/>
    </sheetView>
  </sheetViews>
  <sheetFormatPr defaultColWidth="8.796875" defaultRowHeight="15.75"/>
  <cols>
    <col min="1" max="1" width="14.19921875" style="73" customWidth="1"/>
    <col min="2" max="2" width="18.69921875" style="73" customWidth="1"/>
    <col min="3" max="3" width="9.69921875" style="73" customWidth="1"/>
    <col min="4" max="4" width="14.09765625" style="73" customWidth="1"/>
    <col min="5" max="5" width="12.796875" style="73" customWidth="1"/>
    <col min="6" max="16384" width="8.796875" style="73" customWidth="1"/>
  </cols>
  <sheetData>
    <row r="1" spans="1:5" ht="15.75">
      <c r="A1" s="76" t="str">
        <f>inputPrYr!D2</f>
        <v>Blaine Township</v>
      </c>
      <c r="B1" s="77"/>
      <c r="C1" s="77"/>
      <c r="D1" s="77"/>
      <c r="E1" s="77">
        <f>inputPrYr!D5</f>
        <v>2012</v>
      </c>
    </row>
    <row r="2" spans="1:5" ht="15.75">
      <c r="A2" s="76" t="str">
        <f>inputPrYr!D3</f>
        <v>Smith County</v>
      </c>
      <c r="B2" s="77"/>
      <c r="C2" s="77"/>
      <c r="D2" s="77"/>
      <c r="E2" s="77"/>
    </row>
    <row r="3" spans="1:5" ht="15.75">
      <c r="A3" s="77"/>
      <c r="B3" s="77"/>
      <c r="C3" s="77"/>
      <c r="D3" s="77"/>
      <c r="E3" s="77"/>
    </row>
    <row r="4" spans="1:5" ht="15.75">
      <c r="A4" s="279" t="s">
        <v>130</v>
      </c>
      <c r="B4" s="280"/>
      <c r="C4" s="280"/>
      <c r="D4" s="280"/>
      <c r="E4" s="280"/>
    </row>
    <row r="5" spans="1:5" ht="15.75">
      <c r="A5" s="77"/>
      <c r="B5" s="77"/>
      <c r="C5" s="77"/>
      <c r="D5" s="77"/>
      <c r="E5" s="77"/>
    </row>
    <row r="6" spans="1:5" ht="15.75">
      <c r="A6" s="172" t="str">
        <f>CONCATENATE("From the County Clerks Budget Information for ",E1,":")</f>
        <v>From the County Clerks Budget Information for 2012:</v>
      </c>
      <c r="B6" s="173"/>
      <c r="C6" s="173"/>
      <c r="D6" s="14"/>
      <c r="E6" s="57"/>
    </row>
    <row r="7" spans="1:5" ht="15.75">
      <c r="A7" s="22" t="str">
        <f>CONCATENATE("Total Assessed Valuation for ",E1-1,"")</f>
        <v>Total Assessed Valuation for 2011</v>
      </c>
      <c r="B7" s="19"/>
      <c r="C7" s="19"/>
      <c r="D7" s="19"/>
      <c r="E7" s="174">
        <v>1145006</v>
      </c>
    </row>
    <row r="8" spans="1:5" ht="15.75">
      <c r="A8" s="22" t="str">
        <f>CONCATENATE("New Improvements for ",E1-1,"")</f>
        <v>New Improvements for 2011</v>
      </c>
      <c r="B8" s="19"/>
      <c r="C8" s="19"/>
      <c r="D8" s="19"/>
      <c r="E8" s="175">
        <v>0</v>
      </c>
    </row>
    <row r="9" spans="1:5" ht="15.75">
      <c r="A9" s="22" t="str">
        <f>CONCATENATE("Personal Property excluding oil, gas, and mobile homes - ",E1-1,"")</f>
        <v>Personal Property excluding oil, gas, and mobile homes - 2011</v>
      </c>
      <c r="B9" s="19"/>
      <c r="C9" s="19"/>
      <c r="D9" s="19"/>
      <c r="E9" s="175">
        <v>65602</v>
      </c>
    </row>
    <row r="10" spans="1:5" ht="15.75">
      <c r="A10" s="22" t="str">
        <f>CONCATENATE("Property that has changed in use for ",E1-1,"")</f>
        <v>Property that has changed in use for 2011</v>
      </c>
      <c r="B10" s="19"/>
      <c r="C10" s="19"/>
      <c r="D10" s="19"/>
      <c r="E10" s="175">
        <v>8394</v>
      </c>
    </row>
    <row r="11" spans="1:5" ht="15.75">
      <c r="A11" s="22" t="str">
        <f>CONCATENATE("Personal Property excluding oil, gas, and mobile homes- ",E1-2,"")</f>
        <v>Personal Property excluding oil, gas, and mobile homes- 2010</v>
      </c>
      <c r="B11" s="19"/>
      <c r="C11" s="19"/>
      <c r="D11" s="19"/>
      <c r="E11" s="175">
        <v>63705</v>
      </c>
    </row>
    <row r="12" spans="1:5" ht="15.75">
      <c r="A12" s="22" t="str">
        <f>CONCATENATE("Gross earnings (intangible) tax estimate for ",E1,"")</f>
        <v>Gross earnings (intangible) tax estimate for 2012</v>
      </c>
      <c r="B12" s="19"/>
      <c r="C12" s="19"/>
      <c r="D12" s="19"/>
      <c r="E12" s="175">
        <v>383</v>
      </c>
    </row>
    <row r="13" spans="1:5" ht="15.75">
      <c r="A13" s="22" t="str">
        <f>CONCATENATE("Neighborhood Revitalization - ",E1,"")</f>
        <v>Neighborhood Revitalization - 2012</v>
      </c>
      <c r="B13" s="19"/>
      <c r="C13" s="19"/>
      <c r="D13" s="19"/>
      <c r="E13" s="175">
        <v>2237</v>
      </c>
    </row>
    <row r="14" spans="1:5" ht="15.75">
      <c r="A14" s="22"/>
      <c r="B14" s="19"/>
      <c r="C14" s="19"/>
      <c r="D14" s="19"/>
      <c r="E14" s="176"/>
    </row>
    <row r="15" spans="1:5" ht="15.75">
      <c r="A15" s="177" t="str">
        <f>CONCATENATE("Actual Tax Rates for the ",E1-1," Budget:")</f>
        <v>Actual Tax Rates for the 2011 Budget:</v>
      </c>
      <c r="B15" s="19"/>
      <c r="C15" s="19"/>
      <c r="D15" s="19"/>
      <c r="E15" s="178"/>
    </row>
    <row r="16" spans="1:5" ht="15.75">
      <c r="A16" s="281" t="s">
        <v>177</v>
      </c>
      <c r="B16" s="282"/>
      <c r="C16" s="77"/>
      <c r="D16" s="179" t="s">
        <v>18</v>
      </c>
      <c r="E16" s="178"/>
    </row>
    <row r="17" spans="1:5" ht="15.75">
      <c r="A17" s="69" t="str">
        <f>inputPrYr!B16</f>
        <v>General</v>
      </c>
      <c r="B17" s="20"/>
      <c r="C17" s="19"/>
      <c r="D17" s="180">
        <v>2.269</v>
      </c>
      <c r="E17" s="178"/>
    </row>
    <row r="18" spans="1:5" ht="15.75">
      <c r="A18" s="69">
        <f>inputPrYr!B17</f>
        <v>0</v>
      </c>
      <c r="B18" s="157"/>
      <c r="C18" s="19"/>
      <c r="D18" s="181"/>
      <c r="E18" s="178"/>
    </row>
    <row r="19" spans="1:5" ht="15.75">
      <c r="A19" s="69">
        <f>inputPrYr!B18</f>
        <v>0</v>
      </c>
      <c r="B19" s="157"/>
      <c r="C19" s="19"/>
      <c r="D19" s="181"/>
      <c r="E19" s="178"/>
    </row>
    <row r="20" spans="1:5" ht="15.75">
      <c r="A20" s="69">
        <f>inputPrYr!B19</f>
        <v>0</v>
      </c>
      <c r="B20" s="157"/>
      <c r="C20" s="19"/>
      <c r="D20" s="182"/>
      <c r="E20" s="178"/>
    </row>
    <row r="21" spans="1:5" ht="15.75">
      <c r="A21" s="69">
        <f>inputPrYr!B20</f>
        <v>0</v>
      </c>
      <c r="B21" s="157"/>
      <c r="C21" s="19"/>
      <c r="D21" s="182"/>
      <c r="E21" s="178"/>
    </row>
    <row r="22" spans="1:5" ht="15.75">
      <c r="A22" s="69">
        <f>inputPrYr!B21</f>
        <v>0</v>
      </c>
      <c r="B22" s="157"/>
      <c r="C22" s="19"/>
      <c r="D22" s="182"/>
      <c r="E22" s="178"/>
    </row>
    <row r="23" spans="1:5" ht="15.75">
      <c r="A23" s="69">
        <f>inputPrYr!B22</f>
        <v>0</v>
      </c>
      <c r="B23" s="157"/>
      <c r="C23" s="19"/>
      <c r="D23" s="182"/>
      <c r="E23" s="178"/>
    </row>
    <row r="24" spans="1:5" ht="15.75">
      <c r="A24" s="14"/>
      <c r="B24" s="20" t="s">
        <v>168</v>
      </c>
      <c r="C24" s="152"/>
      <c r="D24" s="183">
        <f>SUM(D17:D23)</f>
        <v>2.269</v>
      </c>
      <c r="E24" s="14"/>
    </row>
    <row r="25" spans="1:5" ht="15.75">
      <c r="A25" s="14"/>
      <c r="B25" s="14"/>
      <c r="C25" s="14"/>
      <c r="D25" s="14"/>
      <c r="E25" s="14"/>
    </row>
    <row r="26" spans="1:5" ht="15.75">
      <c r="A26" s="20" t="str">
        <f>CONCATENATE("Final Assessed Valuation from the November 1, ",E1-2," Abstract:")</f>
        <v>Final Assessed Valuation from the November 1, 2010 Abstract:</v>
      </c>
      <c r="B26" s="20"/>
      <c r="C26" s="20"/>
      <c r="D26" s="20"/>
      <c r="E26" s="36">
        <v>1154297</v>
      </c>
    </row>
    <row r="27" spans="1:5" ht="15.75">
      <c r="A27" s="14"/>
      <c r="B27" s="14"/>
      <c r="C27" s="14"/>
      <c r="D27" s="14"/>
      <c r="E27" s="14"/>
    </row>
    <row r="28" spans="1:5" ht="15.75">
      <c r="A28" s="184" t="str">
        <f>CONCATENATE("From the County Treasurer's Budget Information - ",E1," Budget Year Estimates:")</f>
        <v>From the County Treasurer's Budget Information - 2012 Budget Year Estimates:</v>
      </c>
      <c r="B28" s="185"/>
      <c r="C28" s="185"/>
      <c r="D28" s="186"/>
      <c r="E28" s="57"/>
    </row>
    <row r="29" spans="1:5" ht="15.75">
      <c r="A29" s="69" t="s">
        <v>131</v>
      </c>
      <c r="B29" s="20"/>
      <c r="C29" s="20"/>
      <c r="D29" s="187"/>
      <c r="E29" s="34">
        <v>192</v>
      </c>
    </row>
    <row r="30" spans="1:5" ht="15.75">
      <c r="A30" s="188" t="s">
        <v>169</v>
      </c>
      <c r="B30" s="157"/>
      <c r="C30" s="157"/>
      <c r="D30" s="31"/>
      <c r="E30" s="34">
        <v>3</v>
      </c>
    </row>
    <row r="31" spans="1:5" ht="15.75">
      <c r="A31" s="188" t="s">
        <v>132</v>
      </c>
      <c r="B31" s="157"/>
      <c r="C31" s="157"/>
      <c r="D31" s="31"/>
      <c r="E31" s="34">
        <v>49</v>
      </c>
    </row>
    <row r="32" spans="1:5" ht="15.75">
      <c r="A32" s="188" t="s">
        <v>133</v>
      </c>
      <c r="B32" s="157"/>
      <c r="C32" s="157"/>
      <c r="D32" s="31"/>
      <c r="E32" s="34"/>
    </row>
    <row r="33" spans="1:5" ht="15.75">
      <c r="A33" s="188" t="s">
        <v>134</v>
      </c>
      <c r="B33" s="157"/>
      <c r="C33" s="157"/>
      <c r="D33" s="31"/>
      <c r="E33" s="34"/>
    </row>
    <row r="34" spans="1:5" ht="15.75">
      <c r="A34" s="188" t="s">
        <v>89</v>
      </c>
      <c r="B34" s="20"/>
      <c r="C34" s="20"/>
      <c r="D34" s="187"/>
      <c r="E34" s="34"/>
    </row>
    <row r="35" spans="1:5" ht="15.75">
      <c r="A35" s="14" t="s">
        <v>135</v>
      </c>
      <c r="B35" s="14"/>
      <c r="C35" s="14"/>
      <c r="D35" s="14"/>
      <c r="E35" s="14"/>
    </row>
    <row r="36" spans="1:5" ht="15.75">
      <c r="A36" s="67" t="s">
        <v>136</v>
      </c>
      <c r="B36" s="98"/>
      <c r="C36" s="98"/>
      <c r="D36" s="14"/>
      <c r="E36" s="14"/>
    </row>
    <row r="37" spans="1:5" ht="15.75">
      <c r="A37" s="165" t="str">
        <f>CONCATENATE("Actual Delinquency for ",E1-2," Tax (round to three decimal places)")</f>
        <v>Actual Delinquency for 2010 Tax (round to three decimal places)</v>
      </c>
      <c r="B37" s="19"/>
      <c r="C37" s="14"/>
      <c r="D37" s="14"/>
      <c r="E37" s="189"/>
    </row>
    <row r="38" spans="1:5" ht="15.75">
      <c r="A38" s="165" t="s">
        <v>137</v>
      </c>
      <c r="B38" s="165"/>
      <c r="C38" s="19"/>
      <c r="D38" s="19"/>
      <c r="E38" s="190"/>
    </row>
    <row r="39" spans="1:5" ht="15.75">
      <c r="A39" s="191" t="s">
        <v>138</v>
      </c>
      <c r="B39" s="191"/>
      <c r="C39" s="192"/>
      <c r="D39" s="192"/>
      <c r="E39" s="193"/>
    </row>
    <row r="40" spans="1:5" ht="15.75">
      <c r="A40" s="93"/>
      <c r="B40" s="93"/>
      <c r="C40" s="93"/>
      <c r="D40" s="93"/>
      <c r="E40" s="93"/>
    </row>
    <row r="41" spans="1:5" ht="16.5">
      <c r="A41" s="283" t="str">
        <f>CONCATENATE("From the ",E1-2," Budget Certificate Page")</f>
        <v>From the 2010 Budget Certificate Page</v>
      </c>
      <c r="B41" s="284"/>
      <c r="C41" s="93"/>
      <c r="D41" s="93"/>
      <c r="E41" s="93"/>
    </row>
    <row r="42" spans="1:5" ht="15.75">
      <c r="A42" s="194"/>
      <c r="B42" s="194" t="str">
        <f>CONCATENATE("",E1-2," Expenditure Amounts")</f>
        <v>2010 Expenditure Amounts</v>
      </c>
      <c r="C42" s="285" t="str">
        <f>CONCATENATE("Note: If the ",E1-2," budget was amended, then the")</f>
        <v>Note: If the 2010 budget was amended, then the</v>
      </c>
      <c r="D42" s="286"/>
      <c r="E42" s="286"/>
    </row>
    <row r="43" spans="1:5" ht="15.75">
      <c r="A43" s="195" t="s">
        <v>148</v>
      </c>
      <c r="B43" s="195" t="s">
        <v>149</v>
      </c>
      <c r="C43" s="196" t="s">
        <v>150</v>
      </c>
      <c r="D43" s="197"/>
      <c r="E43" s="197"/>
    </row>
    <row r="44" spans="1:5" ht="15.75">
      <c r="A44" s="198" t="str">
        <f>inputPrYr!B16</f>
        <v>General</v>
      </c>
      <c r="B44" s="36">
        <v>6031</v>
      </c>
      <c r="C44" s="196" t="s">
        <v>151</v>
      </c>
      <c r="D44" s="197"/>
      <c r="E44" s="197"/>
    </row>
    <row r="45" spans="1:5" ht="15.75">
      <c r="A45" s="198">
        <f>inputPrYr!B17</f>
        <v>0</v>
      </c>
      <c r="B45" s="36"/>
      <c r="C45" s="93"/>
      <c r="D45" s="93"/>
      <c r="E45" s="93"/>
    </row>
    <row r="46" spans="1:5" ht="15.75">
      <c r="A46" s="198">
        <f>inputPrYr!B18</f>
        <v>0</v>
      </c>
      <c r="B46" s="36"/>
      <c r="C46" s="93"/>
      <c r="D46" s="93"/>
      <c r="E46" s="93"/>
    </row>
    <row r="47" spans="1:5" ht="15.75">
      <c r="A47" s="198">
        <f>inputPrYr!B19</f>
        <v>0</v>
      </c>
      <c r="B47" s="36"/>
      <c r="C47" s="93"/>
      <c r="D47" s="93"/>
      <c r="E47" s="93"/>
    </row>
    <row r="48" spans="1:5" ht="15.75">
      <c r="A48" s="198">
        <f>inputPrYr!B20</f>
        <v>0</v>
      </c>
      <c r="B48" s="36"/>
      <c r="C48" s="93"/>
      <c r="D48" s="93"/>
      <c r="E48" s="93"/>
    </row>
    <row r="49" spans="1:5" ht="15.75">
      <c r="A49" s="198">
        <f>inputPrYr!B21</f>
        <v>0</v>
      </c>
      <c r="B49" s="36"/>
      <c r="C49" s="93"/>
      <c r="D49" s="93"/>
      <c r="E49" s="93"/>
    </row>
    <row r="50" spans="1:5" ht="15.75">
      <c r="A50" s="198">
        <f>inputPrYr!B22</f>
        <v>0</v>
      </c>
      <c r="B50" s="36"/>
      <c r="C50" s="93"/>
      <c r="D50" s="93"/>
      <c r="E50" s="93"/>
    </row>
    <row r="51" spans="1:5" ht="15.75">
      <c r="A51" s="198">
        <f>inputPrYr!B26</f>
        <v>0</v>
      </c>
      <c r="B51" s="36"/>
      <c r="C51" s="93"/>
      <c r="D51" s="93"/>
      <c r="E51" s="93"/>
    </row>
    <row r="52" spans="1:5" ht="15.75">
      <c r="A52" s="198">
        <f>inputPrYr!B27</f>
        <v>0</v>
      </c>
      <c r="B52" s="36"/>
      <c r="C52" s="93"/>
      <c r="D52" s="93"/>
      <c r="E52" s="93"/>
    </row>
  </sheetData>
  <sheetProtection/>
  <mergeCells count="4">
    <mergeCell ref="A4:E4"/>
    <mergeCell ref="A16:B16"/>
    <mergeCell ref="A41:B41"/>
    <mergeCell ref="C42:E42"/>
  </mergeCells>
  <printOptions/>
  <pageMargins left="0.75" right="0.75" top="1" bottom="1" header="0.5" footer="0.5"/>
  <pageSetup blackAndWhite="1" fitToHeight="1" fitToWidth="1" horizontalDpi="600" verticalDpi="600" orientation="portrait" scale="75" r:id="rId1"/>
  <headerFooter alignWithMargins="0">
    <oddFooter>&amp;Lrevised 2/23/09</oddFooter>
  </headerFooter>
</worksheet>
</file>

<file path=xl/worksheets/sheet3.xml><?xml version="1.0" encoding="utf-8"?>
<worksheet xmlns="http://schemas.openxmlformats.org/spreadsheetml/2006/main" xmlns:r="http://schemas.openxmlformats.org/officeDocument/2006/relationships">
  <dimension ref="A2:F23"/>
  <sheetViews>
    <sheetView zoomScalePageLayoutView="0" workbookViewId="0" topLeftCell="A13">
      <selection activeCell="B27" sqref="B27"/>
    </sheetView>
  </sheetViews>
  <sheetFormatPr defaultColWidth="8.796875" defaultRowHeight="15.75"/>
  <cols>
    <col min="1" max="1" width="13.69921875" style="0" customWidth="1"/>
    <col min="2" max="2" width="16" style="0" customWidth="1"/>
  </cols>
  <sheetData>
    <row r="2" spans="1:6" ht="54" customHeight="1">
      <c r="A2" s="287" t="s">
        <v>191</v>
      </c>
      <c r="B2" s="288"/>
      <c r="C2" s="288"/>
      <c r="D2" s="288"/>
      <c r="E2" s="288"/>
      <c r="F2" s="288"/>
    </row>
    <row r="4" spans="1:6" ht="15.75">
      <c r="A4" s="231"/>
      <c r="B4" s="231"/>
      <c r="C4" s="231"/>
      <c r="D4" s="233"/>
      <c r="E4" s="231"/>
      <c r="F4" s="231"/>
    </row>
    <row r="5" spans="1:6" ht="15.75">
      <c r="A5" s="232" t="s">
        <v>192</v>
      </c>
      <c r="B5" s="234" t="s">
        <v>8</v>
      </c>
      <c r="C5" s="235"/>
      <c r="D5" s="232" t="s">
        <v>193</v>
      </c>
      <c r="E5" s="231"/>
      <c r="F5" s="231"/>
    </row>
    <row r="6" spans="1:6" ht="15.75">
      <c r="A6" s="232"/>
      <c r="B6" s="236"/>
      <c r="C6" s="237"/>
      <c r="D6" s="232"/>
      <c r="E6" s="231"/>
      <c r="F6" s="231"/>
    </row>
    <row r="7" spans="1:6" ht="15.75">
      <c r="A7" s="232" t="s">
        <v>194</v>
      </c>
      <c r="B7" s="234" t="s">
        <v>9</v>
      </c>
      <c r="C7" s="238"/>
      <c r="D7" s="232"/>
      <c r="E7" s="231"/>
      <c r="F7" s="231"/>
    </row>
    <row r="8" spans="1:6" ht="15.75">
      <c r="A8" s="232"/>
      <c r="B8" s="232"/>
      <c r="C8" s="232"/>
      <c r="D8" s="232"/>
      <c r="E8" s="231"/>
      <c r="F8" s="231"/>
    </row>
    <row r="9" spans="1:6" ht="15.75">
      <c r="A9" s="232" t="s">
        <v>195</v>
      </c>
      <c r="B9" s="239" t="s">
        <v>8</v>
      </c>
      <c r="C9" s="239"/>
      <c r="D9" s="239"/>
      <c r="E9" s="240"/>
      <c r="F9" s="231"/>
    </row>
    <row r="10" spans="1:6" ht="15.75">
      <c r="A10" s="232"/>
      <c r="B10" s="232"/>
      <c r="C10" s="232"/>
      <c r="D10" s="232"/>
      <c r="E10" s="231"/>
      <c r="F10" s="231"/>
    </row>
    <row r="11" spans="1:6" ht="15.75">
      <c r="A11" s="232"/>
      <c r="B11" s="232"/>
      <c r="C11" s="232"/>
      <c r="D11" s="232"/>
      <c r="E11" s="231"/>
      <c r="F11" s="231"/>
    </row>
    <row r="12" spans="1:6" ht="15.75">
      <c r="A12" s="232" t="s">
        <v>196</v>
      </c>
      <c r="B12" s="239"/>
      <c r="C12" s="239"/>
      <c r="D12" s="239"/>
      <c r="E12" s="240"/>
      <c r="F12" s="231"/>
    </row>
    <row r="15" spans="1:6" ht="15.75">
      <c r="A15" s="289" t="s">
        <v>197</v>
      </c>
      <c r="B15" s="289"/>
      <c r="C15" s="232"/>
      <c r="D15" s="232"/>
      <c r="E15" s="232"/>
      <c r="F15" s="231"/>
    </row>
    <row r="16" spans="1:6" ht="15.75">
      <c r="A16" s="232"/>
      <c r="B16" s="232"/>
      <c r="C16" s="232"/>
      <c r="D16" s="232"/>
      <c r="E16" s="232"/>
      <c r="F16" s="231"/>
    </row>
    <row r="17" spans="1:5" ht="15.75">
      <c r="A17" s="232" t="s">
        <v>192</v>
      </c>
      <c r="B17" s="236" t="s">
        <v>198</v>
      </c>
      <c r="C17" s="232"/>
      <c r="D17" s="232"/>
      <c r="E17" s="232"/>
    </row>
    <row r="18" spans="1:5" ht="15.75">
      <c r="A18" s="232"/>
      <c r="B18" s="232"/>
      <c r="C18" s="232"/>
      <c r="D18" s="232"/>
      <c r="E18" s="232"/>
    </row>
    <row r="19" spans="1:5" ht="15.75">
      <c r="A19" s="232" t="s">
        <v>194</v>
      </c>
      <c r="B19" s="232" t="s">
        <v>199</v>
      </c>
      <c r="C19" s="232"/>
      <c r="D19" s="232"/>
      <c r="E19" s="232"/>
    </row>
    <row r="20" spans="1:5" ht="15.75">
      <c r="A20" s="232"/>
      <c r="B20" s="232"/>
      <c r="C20" s="232"/>
      <c r="D20" s="232"/>
      <c r="E20" s="232"/>
    </row>
    <row r="21" spans="1:5" ht="15.75">
      <c r="A21" s="232" t="s">
        <v>195</v>
      </c>
      <c r="B21" s="232" t="s">
        <v>201</v>
      </c>
      <c r="C21" s="232"/>
      <c r="D21" s="232"/>
      <c r="E21" s="232"/>
    </row>
    <row r="22" spans="1:5" ht="15.75">
      <c r="A22" s="232"/>
      <c r="B22" s="232"/>
      <c r="C22" s="232"/>
      <c r="D22" s="232"/>
      <c r="E22" s="232"/>
    </row>
    <row r="23" spans="1:5" ht="15.75">
      <c r="A23" s="232" t="s">
        <v>196</v>
      </c>
      <c r="B23" s="232" t="s">
        <v>200</v>
      </c>
      <c r="C23" s="232"/>
      <c r="D23" s="232"/>
      <c r="E23" s="232"/>
    </row>
  </sheetData>
  <sheetProtection/>
  <mergeCells count="2">
    <mergeCell ref="A2:F2"/>
    <mergeCell ref="A15:B15"/>
  </mergeCells>
  <printOptions/>
  <pageMargins left="0.7" right="0.7" top="0.75" bottom="0.75" header="0.3" footer="0.3"/>
  <pageSetup horizontalDpi="600" verticalDpi="600" orientation="portrait" r:id="rId1"/>
  <headerFooter>
    <oddFooter>&amp;Lrevised 12/08/09</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G52"/>
  <sheetViews>
    <sheetView zoomScale="90" zoomScaleNormal="90" zoomScalePageLayoutView="0" workbookViewId="0" topLeftCell="A1">
      <selection activeCell="D23" sqref="D23"/>
    </sheetView>
  </sheetViews>
  <sheetFormatPr defaultColWidth="8.796875" defaultRowHeight="15.75"/>
  <cols>
    <col min="1" max="1" width="20.69921875" style="73" customWidth="1"/>
    <col min="2" max="2" width="12.69921875" style="73" customWidth="1"/>
    <col min="3" max="3" width="5.69921875" style="73" customWidth="1"/>
    <col min="4" max="4" width="15.69921875" style="73" customWidth="1"/>
    <col min="5" max="5" width="12.69921875" style="73" customWidth="1"/>
    <col min="6" max="6" width="10.69921875" style="73" customWidth="1"/>
    <col min="7" max="16384" width="8.796875" style="73" customWidth="1"/>
  </cols>
  <sheetData>
    <row r="1" spans="1:7" s="14" customFormat="1" ht="15.75">
      <c r="A1" s="292" t="s">
        <v>61</v>
      </c>
      <c r="B1" s="292"/>
      <c r="C1" s="292"/>
      <c r="D1" s="292"/>
      <c r="E1" s="292"/>
      <c r="F1" s="292"/>
      <c r="G1" s="14">
        <f>inputPrYr!D5</f>
        <v>2012</v>
      </c>
    </row>
    <row r="2" spans="2:6" s="14" customFormat="1" ht="15.75">
      <c r="B2" s="98"/>
      <c r="C2" s="98"/>
      <c r="D2" s="98"/>
      <c r="E2" s="98"/>
      <c r="F2" s="64"/>
    </row>
    <row r="3" spans="1:7" s="14" customFormat="1" ht="15.75">
      <c r="A3" s="301" t="str">
        <f>CONCATENATE("To the Clerk of ",inputPrYr!D3,", State of Kansas")</f>
        <v>To the Clerk of Smith County, State of Kansas</v>
      </c>
      <c r="B3" s="300"/>
      <c r="C3" s="300"/>
      <c r="D3" s="300"/>
      <c r="E3" s="300"/>
      <c r="F3" s="300"/>
      <c r="G3" s="300"/>
    </row>
    <row r="4" spans="1:6" s="14" customFormat="1" ht="15.75">
      <c r="A4" s="100" t="s">
        <v>127</v>
      </c>
      <c r="B4" s="98"/>
      <c r="C4" s="98"/>
      <c r="D4" s="98"/>
      <c r="E4" s="98"/>
      <c r="F4" s="98"/>
    </row>
    <row r="5" s="14" customFormat="1" ht="15.75">
      <c r="C5" s="245" t="str">
        <f>inputPrYr!D2</f>
        <v>Blaine Township</v>
      </c>
    </row>
    <row r="6" spans="1:6" s="14" customFormat="1" ht="15.75">
      <c r="A6" s="299" t="s">
        <v>125</v>
      </c>
      <c r="B6" s="300"/>
      <c r="C6" s="300"/>
      <c r="D6" s="300"/>
      <c r="E6" s="300"/>
      <c r="F6" s="300"/>
    </row>
    <row r="7" spans="1:6" s="14" customFormat="1" ht="15.75" customHeight="1">
      <c r="A7" s="301" t="s">
        <v>126</v>
      </c>
      <c r="B7" s="302"/>
      <c r="C7" s="302"/>
      <c r="D7" s="302"/>
      <c r="E7" s="302"/>
      <c r="F7" s="302"/>
    </row>
    <row r="8" spans="1:6" s="14" customFormat="1" ht="15.75" customHeight="1">
      <c r="A8" s="100" t="str">
        <f>CONCATENATE("maximum expenditures for the various funds for the year ",G1,"; and (3) the")</f>
        <v>maximum expenditures for the various funds for the year 2012; and (3) the</v>
      </c>
      <c r="B8" s="98"/>
      <c r="C8" s="98"/>
      <c r="D8" s="98"/>
      <c r="E8" s="98"/>
      <c r="F8" s="98"/>
    </row>
    <row r="9" spans="1:6" s="14" customFormat="1" ht="15.75" customHeight="1">
      <c r="A9" s="100" t="str">
        <f>CONCATENATE("Amount(s) of ",G1-1," Ad Valorem Tax are within statutory limitations for the ",G1," Budget.")</f>
        <v>Amount(s) of 2011 Ad Valorem Tax are within statutory limitations for the 2012 Budget.</v>
      </c>
      <c r="B9" s="98"/>
      <c r="C9" s="98"/>
      <c r="D9" s="98"/>
      <c r="E9" s="98"/>
      <c r="F9" s="98"/>
    </row>
    <row r="10" spans="4:6" s="14" customFormat="1" ht="15.75" customHeight="1">
      <c r="D10" s="66"/>
      <c r="E10" s="66"/>
      <c r="F10" s="66"/>
    </row>
    <row r="11" spans="3:6" s="14" customFormat="1" ht="15.75">
      <c r="C11" s="19"/>
      <c r="D11" s="296" t="str">
        <f>CONCATENATE("",G1," Adopted Budget")</f>
        <v>2012 Adopted Budget</v>
      </c>
      <c r="E11" s="297"/>
      <c r="F11" s="298"/>
    </row>
    <row r="12" spans="1:6" s="14" customFormat="1" ht="15.75">
      <c r="A12" s="22"/>
      <c r="C12" s="66"/>
      <c r="D12" s="148" t="s">
        <v>170</v>
      </c>
      <c r="E12" s="293" t="str">
        <f>CONCATENATE("Amount of ",G1-1," Ad Valorem Tax")</f>
        <v>Amount of 2011 Ad Valorem Tax</v>
      </c>
      <c r="F12" s="23" t="s">
        <v>171</v>
      </c>
    </row>
    <row r="13" spans="3:6" s="14" customFormat="1" ht="15.75">
      <c r="C13" s="23" t="s">
        <v>172</v>
      </c>
      <c r="D13" s="276" t="s">
        <v>149</v>
      </c>
      <c r="E13" s="294"/>
      <c r="F13" s="109" t="s">
        <v>173</v>
      </c>
    </row>
    <row r="14" spans="1:6" s="14" customFormat="1" ht="15.75">
      <c r="A14" s="69" t="s">
        <v>174</v>
      </c>
      <c r="B14" s="20"/>
      <c r="C14" s="27" t="s">
        <v>175</v>
      </c>
      <c r="D14" s="27" t="s">
        <v>205</v>
      </c>
      <c r="E14" s="295"/>
      <c r="F14" s="27" t="s">
        <v>176</v>
      </c>
    </row>
    <row r="15" spans="1:6" s="14" customFormat="1" ht="15.75">
      <c r="A15" s="28" t="str">
        <f>CONCATENATE("Computation to Determine Limit for ",G1,"")</f>
        <v>Computation to Determine Limit for 2012</v>
      </c>
      <c r="B15" s="29"/>
      <c r="C15" s="23">
        <v>2</v>
      </c>
      <c r="D15" s="19"/>
      <c r="E15" s="19"/>
      <c r="F15" s="149"/>
    </row>
    <row r="16" spans="1:6" s="14" customFormat="1" ht="15.75">
      <c r="A16" s="28" t="s">
        <v>147</v>
      </c>
      <c r="B16" s="29"/>
      <c r="C16" s="114">
        <v>3</v>
      </c>
      <c r="D16" s="19"/>
      <c r="E16" s="19"/>
      <c r="F16" s="150"/>
    </row>
    <row r="17" spans="1:6" s="14" customFormat="1" ht="15.75">
      <c r="A17" s="151" t="s">
        <v>177</v>
      </c>
      <c r="B17" s="99" t="s">
        <v>178</v>
      </c>
      <c r="C17" s="118"/>
      <c r="F17" s="152"/>
    </row>
    <row r="18" spans="1:6" s="14" customFormat="1" ht="15.75">
      <c r="A18" s="75" t="str">
        <f>inputPrYr!B16</f>
        <v>General</v>
      </c>
      <c r="B18" s="153" t="str">
        <f>inputPrYr!C16</f>
        <v>79-1962</v>
      </c>
      <c r="C18" s="154">
        <f>IF(gen!$B$51&gt;0,gen!$B$51,"  ")</f>
        <v>4</v>
      </c>
      <c r="D18" s="114">
        <f>IF(gen!$G$41&lt;&gt;0,gen!$G$41,"  ")</f>
        <v>7287</v>
      </c>
      <c r="E18" s="114">
        <f>IF(gen!$G$47&lt;&gt;0,gen!$G$47,0)</f>
        <v>2643</v>
      </c>
      <c r="F18" s="110" t="str">
        <f>IF(AND(gen!G47=0,$B$28&gt;=0)," ",IF(AND(E18&gt;0,$B$28=0)," ",IF(AND(E18&gt;0,$B$28&gt;0),ROUND(E18/$B$28*1000,3))))</f>
        <v> </v>
      </c>
    </row>
    <row r="19" spans="1:6" s="14" customFormat="1" ht="15.75">
      <c r="A19" s="75" t="str">
        <f>IF(inputPrYr!$B17&gt;"  ",inputPrYr!$B17,"  ")</f>
        <v>  </v>
      </c>
      <c r="B19" s="153" t="str">
        <f>IF(inputPrYr!C17&gt;0,inputPrYr!C17,"  ")</f>
        <v>  </v>
      </c>
      <c r="C19" s="154"/>
      <c r="D19" s="114"/>
      <c r="E19" s="114"/>
      <c r="F19" s="110"/>
    </row>
    <row r="20" spans="1:6" s="14" customFormat="1" ht="15.75">
      <c r="A20" s="75" t="str">
        <f>IF(inputPrYr!$B18&gt;"  ",inputPrYr!$B18,"  ")</f>
        <v>  </v>
      </c>
      <c r="B20" s="153" t="str">
        <f>IF(inputPrYr!C18&gt;0,inputPrYr!C18,"  ")</f>
        <v>  </v>
      </c>
      <c r="C20" s="154"/>
      <c r="D20" s="114"/>
      <c r="E20" s="114"/>
      <c r="F20" s="110"/>
    </row>
    <row r="21" spans="1:6" s="14" customFormat="1" ht="15.75">
      <c r="A21" s="75" t="str">
        <f>IF(inputPrYr!$B19&gt;"  ",inputPrYr!$B19,"  ")</f>
        <v>  </v>
      </c>
      <c r="B21" s="153" t="str">
        <f>IF(inputPrYr!C19&gt;0,inputPrYr!C19,"  ")</f>
        <v>  </v>
      </c>
      <c r="C21" s="154"/>
      <c r="D21" s="114"/>
      <c r="E21" s="114"/>
      <c r="F21" s="110"/>
    </row>
    <row r="22" spans="1:6" s="14" customFormat="1" ht="15.75">
      <c r="A22" s="75" t="str">
        <f>IF(inputPrYr!$B20&gt;"  ",inputPrYr!$B20,"  ")</f>
        <v>  </v>
      </c>
      <c r="B22" s="153" t="str">
        <f>IF(inputPrYr!C20&gt;0,inputPrYr!C20,"  ")</f>
        <v>  </v>
      </c>
      <c r="C22" s="154"/>
      <c r="D22" s="114"/>
      <c r="E22" s="114"/>
      <c r="F22" s="110"/>
    </row>
    <row r="23" spans="1:6" s="14" customFormat="1" ht="16.5" thickBot="1">
      <c r="A23" s="156" t="s">
        <v>179</v>
      </c>
      <c r="B23" s="157"/>
      <c r="C23" s="112" t="s">
        <v>180</v>
      </c>
      <c r="D23" s="246">
        <f>SUM(D18:D22)</f>
        <v>7287</v>
      </c>
      <c r="E23" s="246">
        <f>SUM(E18:E22)</f>
        <v>2643</v>
      </c>
      <c r="F23" s="247">
        <f>IF(SUM(F18:F22)&gt;0,SUM(F18:F22),"")</f>
      </c>
    </row>
    <row r="24" spans="1:3" s="14" customFormat="1" ht="16.5" thickTop="1">
      <c r="A24" s="28" t="s">
        <v>142</v>
      </c>
      <c r="B24" s="152"/>
      <c r="C24" s="155">
        <f>summ!C40</f>
        <v>5</v>
      </c>
    </row>
    <row r="25" spans="1:5" s="14" customFormat="1" ht="15.75">
      <c r="A25" s="28" t="s">
        <v>156</v>
      </c>
      <c r="B25" s="29"/>
      <c r="C25" s="155">
        <f>IF(nhood!C35&gt;0,nhood!C35,"")</f>
        <v>6</v>
      </c>
      <c r="D25" s="158" t="s">
        <v>129</v>
      </c>
      <c r="E25" s="159" t="str">
        <f>IF(E23&gt;computation!J34,"Yes","No")</f>
        <v>No</v>
      </c>
    </row>
    <row r="26" spans="1:5" s="14" customFormat="1" ht="15.75">
      <c r="A26" s="28" t="s">
        <v>128</v>
      </c>
      <c r="B26" s="29"/>
      <c r="C26" s="155">
        <f>IF(Resolution!D50&gt;0,Resolution!D50,"")</f>
      </c>
      <c r="D26" s="160"/>
      <c r="E26" s="161"/>
    </row>
    <row r="27" spans="1:6" s="14" customFormat="1" ht="15.75">
      <c r="A27" s="162" t="s">
        <v>87</v>
      </c>
      <c r="B27" s="303" t="s">
        <v>106</v>
      </c>
      <c r="C27" s="304"/>
      <c r="D27" s="163"/>
      <c r="F27" s="22" t="s">
        <v>181</v>
      </c>
    </row>
    <row r="28" spans="1:6" s="14" customFormat="1" ht="15.75">
      <c r="A28" s="70" t="s">
        <v>88</v>
      </c>
      <c r="B28" s="305"/>
      <c r="C28" s="306"/>
      <c r="D28" s="164"/>
      <c r="F28" s="22"/>
    </row>
    <row r="29" spans="1:6" s="14" customFormat="1" ht="15.75">
      <c r="A29" s="165"/>
      <c r="B29" s="307" t="s">
        <v>105</v>
      </c>
      <c r="C29" s="291"/>
      <c r="D29" s="163"/>
      <c r="F29" s="22"/>
    </row>
    <row r="30" spans="1:6" s="14" customFormat="1" ht="15.75">
      <c r="A30" s="165" t="s">
        <v>182</v>
      </c>
      <c r="D30" s="19"/>
      <c r="F30" s="22"/>
    </row>
    <row r="31" spans="1:6" s="14" customFormat="1" ht="15.75">
      <c r="A31" s="242" t="s">
        <v>10</v>
      </c>
      <c r="B31" s="166"/>
      <c r="D31" s="163"/>
      <c r="E31" s="19"/>
      <c r="F31" s="19"/>
    </row>
    <row r="32" spans="1:2" s="14" customFormat="1" ht="15.75">
      <c r="A32" s="243" t="s">
        <v>11</v>
      </c>
      <c r="B32" s="167"/>
    </row>
    <row r="33" spans="1:6" s="14" customFormat="1" ht="15.75">
      <c r="A33" s="165" t="s">
        <v>120</v>
      </c>
      <c r="D33" s="20"/>
      <c r="E33" s="20"/>
      <c r="F33" s="20"/>
    </row>
    <row r="34" spans="1:3" s="14" customFormat="1" ht="15.75">
      <c r="A34" s="242" t="s">
        <v>12</v>
      </c>
      <c r="B34" s="166"/>
      <c r="C34" s="22"/>
    </row>
    <row r="35" spans="1:6" s="14" customFormat="1" ht="15.75">
      <c r="A35" s="243" t="s">
        <v>13</v>
      </c>
      <c r="B35" s="167"/>
      <c r="C35" s="22"/>
      <c r="D35" s="69"/>
      <c r="E35" s="115"/>
      <c r="F35" s="115"/>
    </row>
    <row r="36" spans="1:7" ht="15.75">
      <c r="A36" s="167"/>
      <c r="B36" s="167"/>
      <c r="C36" s="22"/>
      <c r="D36" s="22"/>
      <c r="E36" s="14"/>
      <c r="F36" s="14"/>
      <c r="G36" s="77"/>
    </row>
    <row r="37" spans="1:7" ht="15.75">
      <c r="A37" s="66"/>
      <c r="B37" s="66"/>
      <c r="C37" s="22"/>
      <c r="D37" s="69"/>
      <c r="E37" s="115"/>
      <c r="F37" s="115"/>
      <c r="G37" s="77"/>
    </row>
    <row r="38" spans="1:7" ht="15.75">
      <c r="A38" s="66"/>
      <c r="B38" s="14"/>
      <c r="C38" s="22"/>
      <c r="D38" s="22"/>
      <c r="E38" s="14"/>
      <c r="F38" s="14"/>
      <c r="G38" s="77"/>
    </row>
    <row r="39" spans="1:7" ht="15.75">
      <c r="A39" s="22" t="s">
        <v>124</v>
      </c>
      <c r="B39" s="170">
        <f>G1-1</f>
        <v>2011</v>
      </c>
      <c r="C39" s="22"/>
      <c r="D39" s="69"/>
      <c r="E39" s="115"/>
      <c r="F39" s="115"/>
      <c r="G39" s="77"/>
    </row>
    <row r="40" spans="1:7" ht="15.75">
      <c r="A40" s="14"/>
      <c r="B40" s="14"/>
      <c r="C40" s="14"/>
      <c r="D40" s="14"/>
      <c r="E40" s="22"/>
      <c r="F40" s="14"/>
      <c r="G40" s="77"/>
    </row>
    <row r="41" spans="1:7" ht="15.75">
      <c r="A41" s="115"/>
      <c r="B41" s="14"/>
      <c r="C41" s="14"/>
      <c r="D41" s="20"/>
      <c r="E41" s="20"/>
      <c r="F41" s="20"/>
      <c r="G41" s="77"/>
    </row>
    <row r="42" spans="1:6" ht="15.75">
      <c r="A42" s="50" t="s">
        <v>184</v>
      </c>
      <c r="B42" s="14"/>
      <c r="C42" s="14"/>
      <c r="D42" s="290" t="s">
        <v>183</v>
      </c>
      <c r="E42" s="291"/>
      <c r="F42" s="291"/>
    </row>
    <row r="43" spans="1:6" ht="15.75">
      <c r="A43" s="14"/>
      <c r="B43" s="14"/>
      <c r="C43" s="14"/>
      <c r="D43" s="14"/>
      <c r="E43" s="14"/>
      <c r="F43" s="14"/>
    </row>
    <row r="44" spans="1:6" ht="15.75">
      <c r="A44" s="14"/>
      <c r="B44" s="14"/>
      <c r="C44" s="14"/>
      <c r="D44" s="14"/>
      <c r="E44" s="14"/>
      <c r="F44" s="14"/>
    </row>
    <row r="45" spans="1:6" ht="15.75">
      <c r="A45" s="14"/>
      <c r="B45" s="14"/>
      <c r="C45" s="14"/>
      <c r="D45" s="14"/>
      <c r="E45" s="14"/>
      <c r="F45" s="14"/>
    </row>
    <row r="46" spans="1:6" ht="15.75">
      <c r="A46" s="169" t="s">
        <v>14</v>
      </c>
      <c r="B46" s="168"/>
      <c r="C46" s="168"/>
      <c r="D46" s="168"/>
      <c r="E46" s="168"/>
      <c r="F46" s="14"/>
    </row>
    <row r="47" spans="1:6" ht="15.75">
      <c r="A47" s="169" t="s">
        <v>15</v>
      </c>
      <c r="B47" s="168"/>
      <c r="C47" s="168"/>
      <c r="D47" s="168"/>
      <c r="E47" s="168"/>
      <c r="F47" s="14"/>
    </row>
    <row r="48" spans="1:6" ht="15.75">
      <c r="A48" s="169"/>
      <c r="B48" s="168"/>
      <c r="C48" s="168"/>
      <c r="D48" s="168"/>
      <c r="E48" s="168"/>
      <c r="F48" s="14"/>
    </row>
    <row r="49" spans="1:6" ht="15.75">
      <c r="A49" s="14"/>
      <c r="B49" s="14"/>
      <c r="C49" s="14"/>
      <c r="D49" s="14"/>
      <c r="E49" s="14"/>
      <c r="F49" s="14"/>
    </row>
    <row r="50" spans="1:6" ht="15.75">
      <c r="A50" s="22" t="str">
        <f>CONCATENATE("Salaries and Wages:  Please report here the total amount of salaries and wages paid in ",G1-2," by the township")</f>
        <v>Salaries and Wages:  Please report here the total amount of salaries and wages paid in 2010 by the township</v>
      </c>
      <c r="B50" s="14"/>
      <c r="C50" s="14"/>
      <c r="D50" s="14"/>
      <c r="E50" s="14"/>
      <c r="F50" s="14"/>
    </row>
    <row r="51" spans="1:6" ht="15.75">
      <c r="A51" s="22" t="str">
        <f>CONCATENATE("to all employees, full and part-time.  This figure may be taken from the ",G1-2," W-3 form that your township filed")</f>
        <v>to all employees, full and part-time.  This figure may be taken from the 2010 W-3 form that your township filed</v>
      </c>
      <c r="B51" s="14"/>
      <c r="C51" s="14"/>
      <c r="D51" s="14"/>
      <c r="E51" s="14"/>
      <c r="F51" s="14"/>
    </row>
    <row r="52" spans="1:6" ht="15.75">
      <c r="A52" s="22" t="s">
        <v>16</v>
      </c>
      <c r="B52" s="14"/>
      <c r="C52" s="14"/>
      <c r="D52" s="48" t="s">
        <v>17</v>
      </c>
      <c r="E52" s="171"/>
      <c r="F52" s="14"/>
    </row>
  </sheetData>
  <sheetProtection/>
  <mergeCells count="10">
    <mergeCell ref="D42:F42"/>
    <mergeCell ref="A1:F1"/>
    <mergeCell ref="E12:E14"/>
    <mergeCell ref="D11:F11"/>
    <mergeCell ref="A6:F6"/>
    <mergeCell ref="A7:F7"/>
    <mergeCell ref="A3:G3"/>
    <mergeCell ref="B27:C27"/>
    <mergeCell ref="B28:C28"/>
    <mergeCell ref="B29:C29"/>
  </mergeCells>
  <conditionalFormatting sqref="E18">
    <cfRule type="cellIs" priority="1" dxfId="12" operator="equal" stopIfTrue="1">
      <formula>0</formula>
    </cfRule>
  </conditionalFormatting>
  <printOptions/>
  <pageMargins left="0.4" right="0.4" top="0.83" bottom="0.85" header="0.3" footer="0.6"/>
  <pageSetup blackAndWhite="1" fitToHeight="1" fitToWidth="1" horizontalDpi="300" verticalDpi="300" orientation="portrait" scale="88" r:id="rId1"/>
  <headerFooter alignWithMargins="0">
    <oddHeader>&amp;RState of Kansas
Township
</oddHeader>
    <oddFooter>&amp;Lrevised 8/25/09&amp;CPage No. 1</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J37"/>
  <sheetViews>
    <sheetView zoomScale="80" zoomScaleNormal="80" zoomScalePageLayoutView="0" workbookViewId="0" topLeftCell="A1">
      <selection activeCell="D23" sqref="D23"/>
    </sheetView>
  </sheetViews>
  <sheetFormatPr defaultColWidth="8.796875" defaultRowHeight="15.75"/>
  <cols>
    <col min="1" max="2" width="3" style="73" customWidth="1"/>
    <col min="3" max="3" width="28.19921875" style="73" customWidth="1"/>
    <col min="4" max="4" width="2.09765625" style="73" customWidth="1"/>
    <col min="5" max="5" width="15.69921875" style="73" customWidth="1"/>
    <col min="6" max="6" width="1.796875" style="73" customWidth="1"/>
    <col min="7" max="7" width="15.69921875" style="73" customWidth="1"/>
    <col min="8" max="8" width="1.69921875" style="73" customWidth="1"/>
    <col min="9" max="9" width="1.59765625" style="73" customWidth="1"/>
    <col min="10" max="10" width="15.69921875" style="73" customWidth="1"/>
    <col min="11" max="16384" width="8.796875" style="73" customWidth="1"/>
  </cols>
  <sheetData>
    <row r="1" spans="1:10" ht="15.75">
      <c r="A1" s="14"/>
      <c r="B1" s="14"/>
      <c r="C1" s="248" t="str">
        <f>inputPrYr!D2</f>
        <v>Blaine Township</v>
      </c>
      <c r="D1" s="14"/>
      <c r="E1" s="14"/>
      <c r="F1" s="14"/>
      <c r="G1" s="14"/>
      <c r="H1" s="14"/>
      <c r="I1" s="14"/>
      <c r="J1" s="14">
        <f>inputPrYr!D5</f>
        <v>2012</v>
      </c>
    </row>
    <row r="2" spans="1:10" ht="15.75">
      <c r="A2" s="14"/>
      <c r="B2" s="14"/>
      <c r="C2" s="14"/>
      <c r="D2" s="14"/>
      <c r="E2" s="14"/>
      <c r="F2" s="14"/>
      <c r="G2" s="14"/>
      <c r="H2" s="14"/>
      <c r="I2" s="14"/>
      <c r="J2" s="14"/>
    </row>
    <row r="3" spans="1:10" ht="15.75">
      <c r="A3" s="309" t="str">
        <f>CONCATENATE("Computation to Determine Limit for ",J1,"")</f>
        <v>Computation to Determine Limit for 2012</v>
      </c>
      <c r="B3" s="292"/>
      <c r="C3" s="292"/>
      <c r="D3" s="292"/>
      <c r="E3" s="292"/>
      <c r="F3" s="292"/>
      <c r="G3" s="292"/>
      <c r="H3" s="292"/>
      <c r="I3" s="292"/>
      <c r="J3" s="292"/>
    </row>
    <row r="4" spans="1:10" ht="15.75">
      <c r="A4" s="14"/>
      <c r="B4" s="14"/>
      <c r="C4" s="14"/>
      <c r="D4" s="14"/>
      <c r="E4" s="292"/>
      <c r="F4" s="292"/>
      <c r="G4" s="292"/>
      <c r="H4" s="80"/>
      <c r="I4" s="14"/>
      <c r="J4" s="137" t="s">
        <v>69</v>
      </c>
    </row>
    <row r="5" spans="1:10" ht="15.75">
      <c r="A5" s="138" t="s">
        <v>70</v>
      </c>
      <c r="B5" s="14" t="str">
        <f>CONCATENATE("Total Tax Levy Amount in ",J1-1,"")</f>
        <v>Total Tax Levy Amount in 2011</v>
      </c>
      <c r="C5" s="14"/>
      <c r="D5" s="14"/>
      <c r="E5" s="57"/>
      <c r="F5" s="57"/>
      <c r="G5" s="57"/>
      <c r="H5" s="139" t="s">
        <v>28</v>
      </c>
      <c r="I5" s="57" t="s">
        <v>17</v>
      </c>
      <c r="J5" s="140">
        <f>inputPrYr!E23</f>
        <v>2619</v>
      </c>
    </row>
    <row r="6" spans="1:10" ht="15.75">
      <c r="A6" s="138" t="s">
        <v>71</v>
      </c>
      <c r="B6" s="14" t="str">
        <f>CONCATENATE("Debt Service Levy in ",J1-1,"")</f>
        <v>Debt Service Levy in 2011</v>
      </c>
      <c r="C6" s="14"/>
      <c r="D6" s="14"/>
      <c r="E6" s="57"/>
      <c r="F6" s="57"/>
      <c r="G6" s="57"/>
      <c r="H6" s="139" t="s">
        <v>72</v>
      </c>
      <c r="I6" s="57" t="s">
        <v>17</v>
      </c>
      <c r="J6" s="141">
        <v>0</v>
      </c>
    </row>
    <row r="7" spans="1:10" ht="15.75">
      <c r="A7" s="138" t="s">
        <v>73</v>
      </c>
      <c r="B7" s="17" t="s">
        <v>90</v>
      </c>
      <c r="C7" s="14"/>
      <c r="D7" s="14"/>
      <c r="E7" s="57"/>
      <c r="F7" s="57"/>
      <c r="G7" s="57"/>
      <c r="H7" s="57"/>
      <c r="I7" s="57" t="s">
        <v>17</v>
      </c>
      <c r="J7" s="142">
        <f>J5-J6</f>
        <v>2619</v>
      </c>
    </row>
    <row r="8" spans="1:10" ht="15.75">
      <c r="A8" s="14"/>
      <c r="B8" s="14"/>
      <c r="C8" s="14"/>
      <c r="D8" s="14"/>
      <c r="E8" s="57"/>
      <c r="F8" s="57"/>
      <c r="G8" s="57"/>
      <c r="H8" s="57"/>
      <c r="I8" s="57"/>
      <c r="J8" s="57"/>
    </row>
    <row r="9" spans="1:10" ht="15.75">
      <c r="A9" s="14"/>
      <c r="B9" s="17" t="str">
        <f>CONCATENATE("",J1-1," Valuation Information for Valuation Adjustments:")</f>
        <v>2011 Valuation Information for Valuation Adjustments:</v>
      </c>
      <c r="C9" s="14"/>
      <c r="D9" s="14"/>
      <c r="E9" s="57"/>
      <c r="F9" s="57"/>
      <c r="G9" s="57"/>
      <c r="H9" s="57"/>
      <c r="I9" s="57"/>
      <c r="J9" s="57"/>
    </row>
    <row r="10" spans="1:10" ht="15.75">
      <c r="A10" s="14"/>
      <c r="B10" s="14"/>
      <c r="C10" s="17"/>
      <c r="D10" s="14"/>
      <c r="E10" s="57"/>
      <c r="F10" s="57"/>
      <c r="G10" s="57"/>
      <c r="H10" s="57"/>
      <c r="I10" s="57"/>
      <c r="J10" s="57"/>
    </row>
    <row r="11" spans="1:10" ht="15.75">
      <c r="A11" s="138" t="s">
        <v>74</v>
      </c>
      <c r="B11" s="17" t="str">
        <f>CONCATENATE("New Improvements for ",J1-1,":")</f>
        <v>New Improvements for 2011:</v>
      </c>
      <c r="C11" s="14"/>
      <c r="D11" s="14"/>
      <c r="E11" s="139"/>
      <c r="F11" s="139" t="s">
        <v>28</v>
      </c>
      <c r="G11" s="140">
        <f>inputOth!E8</f>
        <v>0</v>
      </c>
      <c r="H11" s="55"/>
      <c r="I11" s="57"/>
      <c r="J11" s="57"/>
    </row>
    <row r="12" spans="1:10" ht="15.75">
      <c r="A12" s="138"/>
      <c r="B12" s="138"/>
      <c r="C12" s="14"/>
      <c r="D12" s="14"/>
      <c r="E12" s="139"/>
      <c r="F12" s="139"/>
      <c r="G12" s="55"/>
      <c r="H12" s="55"/>
      <c r="I12" s="57"/>
      <c r="J12" s="57"/>
    </row>
    <row r="13" spans="1:10" ht="15.75">
      <c r="A13" s="138" t="s">
        <v>75</v>
      </c>
      <c r="B13" s="17" t="str">
        <f>CONCATENATE("Increase in Personal Property for ",J1-1,":")</f>
        <v>Increase in Personal Property for 2011:</v>
      </c>
      <c r="C13" s="14"/>
      <c r="D13" s="14"/>
      <c r="E13" s="139"/>
      <c r="F13" s="139"/>
      <c r="G13" s="55"/>
      <c r="H13" s="55"/>
      <c r="I13" s="57"/>
      <c r="J13" s="57"/>
    </row>
    <row r="14" spans="1:10" ht="15.75">
      <c r="A14" s="14"/>
      <c r="B14" s="14" t="s">
        <v>76</v>
      </c>
      <c r="C14" s="14" t="str">
        <f>CONCATENATE("Personal Property ",J1-1,"")</f>
        <v>Personal Property 2011</v>
      </c>
      <c r="D14" s="138" t="s">
        <v>28</v>
      </c>
      <c r="E14" s="140">
        <f>inputOth!E9</f>
        <v>65602</v>
      </c>
      <c r="F14" s="139"/>
      <c r="G14" s="57"/>
      <c r="H14" s="57"/>
      <c r="I14" s="55"/>
      <c r="J14" s="57"/>
    </row>
    <row r="15" spans="1:10" ht="15.75">
      <c r="A15" s="138"/>
      <c r="B15" s="14" t="s">
        <v>77</v>
      </c>
      <c r="C15" s="14" t="str">
        <f>CONCATENATE("Personal Property ",J1-2,"")</f>
        <v>Personal Property 2010</v>
      </c>
      <c r="D15" s="138" t="s">
        <v>72</v>
      </c>
      <c r="E15" s="142">
        <f>inputOth!E11</f>
        <v>63705</v>
      </c>
      <c r="F15" s="139"/>
      <c r="G15" s="55"/>
      <c r="H15" s="55"/>
      <c r="I15" s="57"/>
      <c r="J15" s="57"/>
    </row>
    <row r="16" spans="1:10" ht="15.75">
      <c r="A16" s="138"/>
      <c r="B16" s="14" t="s">
        <v>78</v>
      </c>
      <c r="C16" s="14" t="s">
        <v>91</v>
      </c>
      <c r="D16" s="14"/>
      <c r="E16" s="57"/>
      <c r="F16" s="57" t="s">
        <v>28</v>
      </c>
      <c r="G16" s="140">
        <f>IF(E14&gt;E15,E14-E15,0)</f>
        <v>1897</v>
      </c>
      <c r="H16" s="55"/>
      <c r="I16" s="57"/>
      <c r="J16" s="57"/>
    </row>
    <row r="17" spans="1:10" ht="15.75">
      <c r="A17" s="138"/>
      <c r="B17" s="138"/>
      <c r="C17" s="14"/>
      <c r="D17" s="14"/>
      <c r="E17" s="57"/>
      <c r="F17" s="57"/>
      <c r="G17" s="55" t="s">
        <v>86</v>
      </c>
      <c r="H17" s="55"/>
      <c r="I17" s="57"/>
      <c r="J17" s="57"/>
    </row>
    <row r="18" spans="1:10" ht="15.75">
      <c r="A18" s="138" t="s">
        <v>79</v>
      </c>
      <c r="B18" s="17" t="str">
        <f>CONCATENATE("Valuation of Property that Changed in Use during ",J1-1,":")</f>
        <v>Valuation of Property that Changed in Use during 2011:</v>
      </c>
      <c r="C18" s="14"/>
      <c r="D18" s="14"/>
      <c r="E18" s="57"/>
      <c r="F18" s="139" t="s">
        <v>28</v>
      </c>
      <c r="G18" s="140">
        <f>inputOth!E10</f>
        <v>8394</v>
      </c>
      <c r="H18" s="57"/>
      <c r="I18" s="57"/>
      <c r="J18" s="57"/>
    </row>
    <row r="19" spans="1:10" ht="15.75">
      <c r="A19" s="14" t="s">
        <v>170</v>
      </c>
      <c r="B19" s="14"/>
      <c r="C19" s="14"/>
      <c r="D19" s="138"/>
      <c r="E19" s="55"/>
      <c r="F19" s="55"/>
      <c r="G19" s="55"/>
      <c r="H19" s="57"/>
      <c r="I19" s="57"/>
      <c r="J19" s="57"/>
    </row>
    <row r="20" spans="1:10" ht="15.75">
      <c r="A20" s="138" t="s">
        <v>80</v>
      </c>
      <c r="B20" s="17" t="s">
        <v>92</v>
      </c>
      <c r="C20" s="14"/>
      <c r="D20" s="14"/>
      <c r="E20" s="57"/>
      <c r="F20" s="57"/>
      <c r="G20" s="140">
        <f>G11+G16+G18</f>
        <v>10291</v>
      </c>
      <c r="H20" s="55"/>
      <c r="I20" s="57"/>
      <c r="J20" s="57"/>
    </row>
    <row r="21" spans="1:10" ht="15.75">
      <c r="A21" s="138"/>
      <c r="B21" s="138"/>
      <c r="C21" s="17"/>
      <c r="D21" s="14"/>
      <c r="E21" s="57"/>
      <c r="F21" s="57"/>
      <c r="G21" s="55"/>
      <c r="H21" s="55"/>
      <c r="I21" s="57"/>
      <c r="J21" s="57"/>
    </row>
    <row r="22" spans="1:10" ht="15.75">
      <c r="A22" s="138" t="s">
        <v>81</v>
      </c>
      <c r="B22" s="14" t="str">
        <f>CONCATENATE("Total Estimated Valuation July 1,",J1-1,"")</f>
        <v>Total Estimated Valuation July 1,2011</v>
      </c>
      <c r="C22" s="14"/>
      <c r="D22" s="14"/>
      <c r="E22" s="140">
        <f>inputOth!E7</f>
        <v>1145006</v>
      </c>
      <c r="F22" s="57"/>
      <c r="G22" s="57"/>
      <c r="H22" s="57"/>
      <c r="I22" s="139"/>
      <c r="J22" s="57"/>
    </row>
    <row r="23" spans="1:10" ht="15.75">
      <c r="A23" s="138"/>
      <c r="B23" s="138"/>
      <c r="C23" s="14"/>
      <c r="D23" s="14"/>
      <c r="E23" s="55"/>
      <c r="F23" s="57"/>
      <c r="G23" s="57"/>
      <c r="H23" s="57"/>
      <c r="I23" s="139"/>
      <c r="J23" s="57"/>
    </row>
    <row r="24" spans="1:10" ht="15.75">
      <c r="A24" s="138" t="s">
        <v>82</v>
      </c>
      <c r="B24" s="17" t="s">
        <v>93</v>
      </c>
      <c r="C24" s="14"/>
      <c r="D24" s="14"/>
      <c r="E24" s="57"/>
      <c r="F24" s="57"/>
      <c r="G24" s="140">
        <f>E22-G20</f>
        <v>1134715</v>
      </c>
      <c r="H24" s="55"/>
      <c r="I24" s="139"/>
      <c r="J24" s="57"/>
    </row>
    <row r="25" spans="1:10" ht="15.75">
      <c r="A25" s="138"/>
      <c r="B25" s="138"/>
      <c r="C25" s="17"/>
      <c r="D25" s="14"/>
      <c r="E25" s="14"/>
      <c r="F25" s="14"/>
      <c r="G25" s="143"/>
      <c r="H25" s="19"/>
      <c r="I25" s="138"/>
      <c r="J25" s="14"/>
    </row>
    <row r="26" spans="1:10" ht="15.75">
      <c r="A26" s="138" t="s">
        <v>83</v>
      </c>
      <c r="B26" s="14" t="s">
        <v>94</v>
      </c>
      <c r="C26" s="14"/>
      <c r="D26" s="14"/>
      <c r="E26" s="14"/>
      <c r="F26" s="14"/>
      <c r="G26" s="144">
        <f>IF(G20&gt;0,G20/G24,0)</f>
        <v>0.009069237649982595</v>
      </c>
      <c r="H26" s="19"/>
      <c r="I26" s="14"/>
      <c r="J26" s="14"/>
    </row>
    <row r="27" spans="1:10" ht="15.75">
      <c r="A27" s="138"/>
      <c r="B27" s="138"/>
      <c r="C27" s="14"/>
      <c r="D27" s="14"/>
      <c r="E27" s="14"/>
      <c r="F27" s="14"/>
      <c r="G27" s="19"/>
      <c r="H27" s="19"/>
      <c r="I27" s="14"/>
      <c r="J27" s="14"/>
    </row>
    <row r="28" spans="1:10" ht="15.75">
      <c r="A28" s="138" t="s">
        <v>84</v>
      </c>
      <c r="B28" s="14" t="s">
        <v>95</v>
      </c>
      <c r="C28" s="14"/>
      <c r="D28" s="14"/>
      <c r="E28" s="14"/>
      <c r="F28" s="14"/>
      <c r="G28" s="19"/>
      <c r="H28" s="145" t="s">
        <v>28</v>
      </c>
      <c r="I28" s="14" t="s">
        <v>17</v>
      </c>
      <c r="J28" s="140">
        <f>ROUND(G26*J7,0)</f>
        <v>24</v>
      </c>
    </row>
    <row r="29" spans="1:10" ht="15.75">
      <c r="A29" s="138"/>
      <c r="B29" s="138"/>
      <c r="C29" s="14"/>
      <c r="D29" s="14"/>
      <c r="E29" s="14"/>
      <c r="F29" s="14"/>
      <c r="G29" s="19"/>
      <c r="H29" s="145"/>
      <c r="I29" s="14"/>
      <c r="J29" s="55"/>
    </row>
    <row r="30" spans="1:10" ht="16.5" thickBot="1">
      <c r="A30" s="138" t="s">
        <v>85</v>
      </c>
      <c r="B30" s="17" t="s">
        <v>99</v>
      </c>
      <c r="C30" s="14"/>
      <c r="D30" s="14"/>
      <c r="E30" s="14"/>
      <c r="F30" s="14"/>
      <c r="G30" s="14"/>
      <c r="H30" s="14"/>
      <c r="I30" s="14" t="s">
        <v>17</v>
      </c>
      <c r="J30" s="146">
        <f>J7+J28</f>
        <v>2643</v>
      </c>
    </row>
    <row r="31" spans="1:10" ht="16.5" thickTop="1">
      <c r="A31" s="14"/>
      <c r="B31" s="14"/>
      <c r="C31" s="14"/>
      <c r="D31" s="14"/>
      <c r="E31" s="14"/>
      <c r="F31" s="14"/>
      <c r="G31" s="14"/>
      <c r="H31" s="14"/>
      <c r="I31" s="14"/>
      <c r="J31" s="14"/>
    </row>
    <row r="32" spans="1:10" ht="15.75">
      <c r="A32" s="138" t="s">
        <v>97</v>
      </c>
      <c r="B32" s="17" t="str">
        <f>CONCATENATE("Debt Service Levy in this ",J1,"")</f>
        <v>Debt Service Levy in this 2012</v>
      </c>
      <c r="C32" s="14"/>
      <c r="D32" s="14"/>
      <c r="E32" s="14"/>
      <c r="F32" s="14"/>
      <c r="G32" s="14"/>
      <c r="H32" s="14"/>
      <c r="I32" s="14"/>
      <c r="J32" s="140">
        <v>0</v>
      </c>
    </row>
    <row r="33" spans="1:10" ht="15.75">
      <c r="A33" s="138"/>
      <c r="B33" s="17"/>
      <c r="C33" s="14"/>
      <c r="D33" s="14"/>
      <c r="E33" s="14"/>
      <c r="F33" s="14"/>
      <c r="G33" s="14"/>
      <c r="H33" s="14"/>
      <c r="I33" s="14"/>
      <c r="J33" s="19"/>
    </row>
    <row r="34" spans="1:10" ht="16.5" thickBot="1">
      <c r="A34" s="138" t="s">
        <v>98</v>
      </c>
      <c r="B34" s="17" t="s">
        <v>100</v>
      </c>
      <c r="C34" s="14"/>
      <c r="D34" s="14"/>
      <c r="E34" s="14"/>
      <c r="F34" s="14"/>
      <c r="G34" s="14"/>
      <c r="H34" s="14"/>
      <c r="I34" s="14"/>
      <c r="J34" s="146">
        <f>J30+J32</f>
        <v>2643</v>
      </c>
    </row>
    <row r="35" spans="1:10" ht="16.5" thickTop="1">
      <c r="A35" s="14"/>
      <c r="B35" s="14"/>
      <c r="C35" s="14"/>
      <c r="D35" s="14"/>
      <c r="E35" s="14"/>
      <c r="F35" s="14"/>
      <c r="G35" s="14"/>
      <c r="H35" s="14"/>
      <c r="I35" s="14"/>
      <c r="J35" s="14"/>
    </row>
    <row r="36" spans="1:10" s="147" customFormat="1" ht="18.75">
      <c r="A36" s="308" t="str">
        <f>CONCATENATE("If the ",J1," budget includes tax levies exceeding the total on line 14, you must")</f>
        <v>If the 2012 budget includes tax levies exceeding the total on line 14, you must</v>
      </c>
      <c r="B36" s="308"/>
      <c r="C36" s="308"/>
      <c r="D36" s="308"/>
      <c r="E36" s="308"/>
      <c r="F36" s="308"/>
      <c r="G36" s="308"/>
      <c r="H36" s="308"/>
      <c r="I36" s="308"/>
      <c r="J36" s="308"/>
    </row>
    <row r="37" spans="1:10" s="147" customFormat="1" ht="18.75">
      <c r="A37" s="308" t="s">
        <v>96</v>
      </c>
      <c r="B37" s="308"/>
      <c r="C37" s="308"/>
      <c r="D37" s="308"/>
      <c r="E37" s="308"/>
      <c r="F37" s="308"/>
      <c r="G37" s="308"/>
      <c r="H37" s="308"/>
      <c r="I37" s="308"/>
      <c r="J37" s="308"/>
    </row>
  </sheetData>
  <sheetProtection/>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&amp;Lrevised 8/06/07&amp;CPage No. 2</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K39"/>
  <sheetViews>
    <sheetView zoomScale="85" zoomScaleNormal="85" zoomScalePageLayoutView="0" workbookViewId="0" topLeftCell="A1">
      <selection activeCell="D23" sqref="D23"/>
    </sheetView>
  </sheetViews>
  <sheetFormatPr defaultColWidth="8.796875" defaultRowHeight="15.75"/>
  <cols>
    <col min="1" max="1" width="17.796875" style="73" customWidth="1"/>
    <col min="2" max="2" width="8.69921875" style="73" hidden="1" customWidth="1"/>
    <col min="3" max="3" width="13.69921875" style="73" customWidth="1"/>
    <col min="4" max="4" width="0.203125" style="73" customWidth="1"/>
    <col min="5" max="5" width="0.1015625" style="73" hidden="1" customWidth="1"/>
    <col min="6" max="6" width="13.69921875" style="73" customWidth="1"/>
    <col min="7" max="7" width="12.3984375" style="73" hidden="1" customWidth="1"/>
    <col min="8" max="10" width="13.69921875" style="73" customWidth="1"/>
    <col min="11" max="11" width="0.203125" style="73" customWidth="1"/>
    <col min="12" max="16384" width="8.796875" style="73" customWidth="1"/>
  </cols>
  <sheetData>
    <row r="1" spans="1:11" ht="15.75">
      <c r="A1" s="248" t="str">
        <f>inputPrYr!D2</f>
        <v>Blaine Township</v>
      </c>
      <c r="B1" s="14"/>
      <c r="C1" s="14"/>
      <c r="D1" s="14"/>
      <c r="E1" s="14"/>
      <c r="F1" s="14"/>
      <c r="G1" s="14"/>
      <c r="H1" s="14"/>
      <c r="J1" s="15">
        <f>inputPrYr!D5</f>
        <v>2012</v>
      </c>
      <c r="K1" s="77"/>
    </row>
    <row r="2" spans="1:11" ht="15.75">
      <c r="A2" s="13"/>
      <c r="B2" s="14"/>
      <c r="C2" s="14"/>
      <c r="D2" s="14"/>
      <c r="E2" s="14"/>
      <c r="F2" s="14"/>
      <c r="G2" s="14"/>
      <c r="H2" s="14"/>
      <c r="I2" s="53"/>
      <c r="J2" s="53"/>
      <c r="K2" s="77"/>
    </row>
    <row r="3" spans="1:11" ht="15.75">
      <c r="A3" s="13"/>
      <c r="B3" s="14"/>
      <c r="C3" s="14"/>
      <c r="D3" s="14"/>
      <c r="E3" s="14"/>
      <c r="F3" s="14"/>
      <c r="G3" s="14"/>
      <c r="H3" s="14"/>
      <c r="I3" s="53"/>
      <c r="J3" s="53"/>
      <c r="K3" s="77"/>
    </row>
    <row r="4" spans="1:11" ht="15.75">
      <c r="A4" s="13"/>
      <c r="B4" s="14"/>
      <c r="C4" s="14"/>
      <c r="D4" s="14"/>
      <c r="E4" s="14"/>
      <c r="F4" s="14"/>
      <c r="G4" s="14"/>
      <c r="H4" s="14"/>
      <c r="I4" s="53"/>
      <c r="J4" s="53"/>
      <c r="K4" s="77"/>
    </row>
    <row r="5" spans="1:11" ht="15.75">
      <c r="A5" s="14"/>
      <c r="B5" s="14"/>
      <c r="C5" s="14"/>
      <c r="D5" s="14"/>
      <c r="E5" s="14"/>
      <c r="F5" s="14"/>
      <c r="G5" s="14"/>
      <c r="H5" s="14"/>
      <c r="I5" s="14"/>
      <c r="J5" s="14"/>
      <c r="K5" s="77"/>
    </row>
    <row r="6" spans="1:11" ht="15.75">
      <c r="A6" s="314" t="s">
        <v>159</v>
      </c>
      <c r="B6" s="291"/>
      <c r="C6" s="291"/>
      <c r="D6" s="291"/>
      <c r="E6" s="291"/>
      <c r="F6" s="291"/>
      <c r="G6" s="291"/>
      <c r="H6" s="291"/>
      <c r="I6" s="291"/>
      <c r="J6" s="291"/>
      <c r="K6" s="291"/>
    </row>
    <row r="7" spans="1:11" ht="15.75">
      <c r="A7" s="121"/>
      <c r="B7" s="12"/>
      <c r="C7" s="93"/>
      <c r="D7" s="93"/>
      <c r="E7" s="93"/>
      <c r="F7" s="93"/>
      <c r="G7" s="93"/>
      <c r="H7" s="93"/>
      <c r="I7" s="93"/>
      <c r="J7" s="93"/>
      <c r="K7" s="93"/>
    </row>
    <row r="8" spans="1:11" ht="15.75">
      <c r="A8" s="14"/>
      <c r="B8" s="122"/>
      <c r="C8" s="122"/>
      <c r="D8" s="122"/>
      <c r="E8" s="122"/>
      <c r="F8" s="123"/>
      <c r="G8" s="98"/>
      <c r="H8" s="98"/>
      <c r="I8" s="14"/>
      <c r="J8" s="14"/>
      <c r="K8" s="77"/>
    </row>
    <row r="9" spans="1:11" ht="21" customHeight="1">
      <c r="A9" s="108"/>
      <c r="B9" s="116"/>
      <c r="C9" s="310" t="str">
        <f>CONCATENATE("Budget Tax Levy Amount for ",J1-2,"")</f>
        <v>Budget Tax Levy Amount for 2010</v>
      </c>
      <c r="D9" s="310" t="str">
        <f>CONCATENATE("Budget Tax Levy Rate for ",J1-1,"")</f>
        <v>Budget Tax Levy Rate for 2011</v>
      </c>
      <c r="E9" s="124"/>
      <c r="F9" s="296" t="str">
        <f>CONCATENATE("Allocation for Year ",J1,"")</f>
        <v>Allocation for Year 2012</v>
      </c>
      <c r="G9" s="312"/>
      <c r="H9" s="312"/>
      <c r="I9" s="312"/>
      <c r="J9" s="312"/>
      <c r="K9" s="313"/>
    </row>
    <row r="10" spans="1:11" ht="15.75">
      <c r="A10" s="125" t="str">
        <f>CONCATENATE("",J1-1," Budgeted Funds")</f>
        <v>2011 Budgeted Funds</v>
      </c>
      <c r="B10" s="117"/>
      <c r="C10" s="311"/>
      <c r="D10" s="311"/>
      <c r="E10" s="26"/>
      <c r="F10" s="27" t="s">
        <v>67</v>
      </c>
      <c r="G10" s="27"/>
      <c r="H10" s="27" t="s">
        <v>68</v>
      </c>
      <c r="I10" s="109" t="s">
        <v>104</v>
      </c>
      <c r="J10" s="109" t="s">
        <v>134</v>
      </c>
      <c r="K10" s="78"/>
    </row>
    <row r="11" spans="1:11" ht="15.75">
      <c r="A11" s="75" t="str">
        <f>inputPrYr!B16</f>
        <v>General</v>
      </c>
      <c r="B11" s="126"/>
      <c r="C11" s="75">
        <f>IF(inputPrYr!E16&gt;0,inputPrYr!E16,"  ")</f>
        <v>2619</v>
      </c>
      <c r="D11" s="127">
        <f>IF(inputOth!D17&gt;0,inputOth!D17,"  ")</f>
        <v>2.269</v>
      </c>
      <c r="E11" s="128"/>
      <c r="F11" s="75">
        <f>IF(inputPrYr!E16=0,0,F20-SUM(F12:F17))</f>
        <v>192</v>
      </c>
      <c r="G11" s="129"/>
      <c r="H11" s="75">
        <f>IF(inputPrYr!E16=0,0,H22-SUM(H12:H17))</f>
        <v>3</v>
      </c>
      <c r="I11" s="75">
        <f>IF(inputPrYr!E16=0,0,I24-SUM(I12:I17))</f>
        <v>49</v>
      </c>
      <c r="J11" s="75">
        <f>IF(inputPrYr!E16=0,0,J26-SUM(J12:J17))</f>
        <v>0</v>
      </c>
      <c r="K11" s="130" t="e">
        <f>IF(inputOth!D17&gt;0,ROUND(D11*#REF!*-1,0),"")</f>
        <v>#REF!</v>
      </c>
    </row>
    <row r="12" spans="1:11" ht="15.75">
      <c r="A12" s="75" t="str">
        <f>IF(inputPrYr!$B17&gt;"  ",inputPrYr!$B17,"  ")</f>
        <v>  </v>
      </c>
      <c r="B12" s="126"/>
      <c r="C12" s="75"/>
      <c r="D12" s="127"/>
      <c r="E12" s="128"/>
      <c r="F12" s="75"/>
      <c r="G12" s="129"/>
      <c r="H12" s="75"/>
      <c r="I12" s="75"/>
      <c r="J12" s="75"/>
      <c r="K12" s="130">
        <f>IF(inputOth!D18&gt;0,ROUND(D12*#REF!*-1,0),"")</f>
      </c>
    </row>
    <row r="13" spans="1:11" ht="15.75">
      <c r="A13" s="75" t="str">
        <f>IF(inputPrYr!$B18&gt;"  ",inputPrYr!$B18,"  ")</f>
        <v>  </v>
      </c>
      <c r="B13" s="126"/>
      <c r="C13" s="75"/>
      <c r="D13" s="127"/>
      <c r="E13" s="128"/>
      <c r="F13" s="75"/>
      <c r="G13" s="129"/>
      <c r="H13" s="75"/>
      <c r="I13" s="75"/>
      <c r="J13" s="75"/>
      <c r="K13" s="130">
        <f>IF(inputOth!D19&gt;0,ROUND(D13*#REF!*-1,0),"")</f>
      </c>
    </row>
    <row r="14" spans="1:11" ht="15.75">
      <c r="A14" s="75" t="str">
        <f>IF(inputPrYr!$B19&gt;"  ",inputPrYr!$B19,"  ")</f>
        <v>  </v>
      </c>
      <c r="B14" s="126"/>
      <c r="C14" s="75"/>
      <c r="D14" s="127"/>
      <c r="E14" s="128"/>
      <c r="F14" s="75"/>
      <c r="G14" s="129"/>
      <c r="H14" s="75"/>
      <c r="I14" s="75"/>
      <c r="J14" s="75"/>
      <c r="K14" s="130">
        <f>IF(inputOth!D20&gt;0,ROUND(D14*#REF!*-1,0),"")</f>
      </c>
    </row>
    <row r="15" spans="1:11" ht="15.75">
      <c r="A15" s="75" t="str">
        <f>IF(inputPrYr!$B20&gt;"  ",inputPrYr!$B20,"  ")</f>
        <v>  </v>
      </c>
      <c r="B15" s="126"/>
      <c r="C15" s="75"/>
      <c r="D15" s="127"/>
      <c r="E15" s="128"/>
      <c r="F15" s="75"/>
      <c r="G15" s="129"/>
      <c r="H15" s="75"/>
      <c r="I15" s="75"/>
      <c r="J15" s="75"/>
      <c r="K15" s="130">
        <f>IF(inputOth!D21&gt;0,ROUND(D15*#REF!*-1,0),"")</f>
      </c>
    </row>
    <row r="16" spans="1:11" ht="15.75">
      <c r="A16" s="75" t="str">
        <f>IF(inputPrYr!$B21&gt;"  ",inputPrYr!$B21,"  ")</f>
        <v>  </v>
      </c>
      <c r="B16" s="126"/>
      <c r="C16" s="75"/>
      <c r="D16" s="127"/>
      <c r="E16" s="128"/>
      <c r="F16" s="75"/>
      <c r="G16" s="129"/>
      <c r="H16" s="75"/>
      <c r="I16" s="75"/>
      <c r="J16" s="75"/>
      <c r="K16" s="130">
        <f>IF(inputOth!D22&gt;0,ROUND(D16*#REF!*-1,0),"")</f>
      </c>
    </row>
    <row r="17" spans="1:11" ht="15.75">
      <c r="A17" s="75" t="str">
        <f>IF(inputPrYr!$B22&gt;"  ",inputPrYr!$B22,"  ")</f>
        <v>  </v>
      </c>
      <c r="B17" s="126"/>
      <c r="C17" s="75"/>
      <c r="D17" s="127"/>
      <c r="E17" s="128"/>
      <c r="F17" s="75"/>
      <c r="G17" s="129"/>
      <c r="H17" s="75"/>
      <c r="I17" s="75"/>
      <c r="J17" s="75"/>
      <c r="K17" s="130">
        <f>IF(inputOth!D23&gt;0,ROUND(D17*#REF!*-1,0),"")</f>
      </c>
    </row>
    <row r="18" spans="1:11" s="255" customFormat="1" ht="16.5" thickBot="1">
      <c r="A18" s="249" t="s">
        <v>168</v>
      </c>
      <c r="B18" s="250"/>
      <c r="C18" s="251">
        <f>SUM(C11:C17)</f>
        <v>2619</v>
      </c>
      <c r="D18" s="252">
        <f>SUM(D11:D17)</f>
        <v>2.269</v>
      </c>
      <c r="E18" s="253"/>
      <c r="F18" s="251">
        <f>SUM(F11:F17)</f>
        <v>192</v>
      </c>
      <c r="G18" s="251"/>
      <c r="H18" s="251">
        <f>SUM(H11:H17)</f>
        <v>3</v>
      </c>
      <c r="I18" s="251">
        <f>SUM(I11:I17)</f>
        <v>49</v>
      </c>
      <c r="J18" s="251">
        <f>SUM(J11:J17)</f>
        <v>0</v>
      </c>
      <c r="K18" s="254" t="e">
        <f>SUM(K11:K17)</f>
        <v>#REF!</v>
      </c>
    </row>
    <row r="19" spans="1:11" ht="16.5" thickTop="1">
      <c r="A19" s="14"/>
      <c r="B19" s="14"/>
      <c r="C19" s="14"/>
      <c r="D19" s="14"/>
      <c r="E19" s="14"/>
      <c r="F19" s="14"/>
      <c r="G19" s="14"/>
      <c r="H19" s="14"/>
      <c r="I19" s="14"/>
      <c r="J19" s="14"/>
      <c r="K19" s="77"/>
    </row>
    <row r="20" spans="1:11" ht="15.75">
      <c r="A20" s="22" t="s">
        <v>19</v>
      </c>
      <c r="B20" s="63"/>
      <c r="C20" s="14"/>
      <c r="D20" s="14"/>
      <c r="E20" s="14"/>
      <c r="F20" s="72">
        <f>inputOth!E29</f>
        <v>192</v>
      </c>
      <c r="G20" s="14"/>
      <c r="H20" s="14"/>
      <c r="I20" s="14"/>
      <c r="J20" s="14"/>
      <c r="K20" s="77"/>
    </row>
    <row r="21" spans="1:11" ht="15.75">
      <c r="A21" s="14"/>
      <c r="B21" s="14"/>
      <c r="C21" s="14"/>
      <c r="D21" s="14"/>
      <c r="E21" s="14"/>
      <c r="F21" s="14"/>
      <c r="G21" s="14"/>
      <c r="H21" s="14"/>
      <c r="I21" s="14"/>
      <c r="J21" s="14"/>
      <c r="K21" s="77"/>
    </row>
    <row r="22" spans="1:11" ht="15.75">
      <c r="A22" s="22" t="s">
        <v>20</v>
      </c>
      <c r="B22" s="14"/>
      <c r="C22" s="14"/>
      <c r="D22" s="14"/>
      <c r="E22" s="14"/>
      <c r="F22" s="14"/>
      <c r="G22" s="72">
        <f>inputPrYr!E69</f>
        <v>0</v>
      </c>
      <c r="H22" s="72">
        <f>inputOth!E30</f>
        <v>3</v>
      </c>
      <c r="I22" s="14"/>
      <c r="J22" s="14"/>
      <c r="K22" s="77"/>
    </row>
    <row r="23" spans="1:11" ht="15.75">
      <c r="A23" s="14"/>
      <c r="B23" s="14"/>
      <c r="C23" s="14"/>
      <c r="D23" s="14"/>
      <c r="E23" s="14"/>
      <c r="F23" s="14"/>
      <c r="G23" s="14"/>
      <c r="H23" s="14"/>
      <c r="I23" s="14"/>
      <c r="J23" s="14"/>
      <c r="K23" s="77"/>
    </row>
    <row r="24" spans="1:11" ht="15.75">
      <c r="A24" s="22" t="s">
        <v>65</v>
      </c>
      <c r="B24" s="14"/>
      <c r="C24" s="14"/>
      <c r="D24" s="14"/>
      <c r="E24" s="14"/>
      <c r="F24" s="14"/>
      <c r="G24" s="14"/>
      <c r="H24" s="14"/>
      <c r="I24" s="72">
        <f>inputOth!E31</f>
        <v>49</v>
      </c>
      <c r="J24" s="24"/>
      <c r="K24" s="77"/>
    </row>
    <row r="25" spans="1:11" ht="15.75">
      <c r="A25" s="14"/>
      <c r="B25" s="14"/>
      <c r="C25" s="14"/>
      <c r="D25" s="14"/>
      <c r="E25" s="14"/>
      <c r="F25" s="14"/>
      <c r="G25" s="14"/>
      <c r="H25" s="14"/>
      <c r="I25" s="14"/>
      <c r="J25" s="14"/>
      <c r="K25" s="77"/>
    </row>
    <row r="26" spans="1:11" ht="15.75">
      <c r="A26" s="14" t="s">
        <v>145</v>
      </c>
      <c r="B26" s="14"/>
      <c r="C26" s="14"/>
      <c r="D26" s="14"/>
      <c r="E26" s="14"/>
      <c r="F26" s="14"/>
      <c r="G26" s="14"/>
      <c r="H26" s="14"/>
      <c r="I26" s="14"/>
      <c r="J26" s="72">
        <f>inputOth!E33</f>
        <v>0</v>
      </c>
      <c r="K26" s="77"/>
    </row>
    <row r="27" spans="1:11" ht="15.75">
      <c r="A27" s="14"/>
      <c r="B27" s="14"/>
      <c r="C27" s="14"/>
      <c r="D27" s="14"/>
      <c r="E27" s="14"/>
      <c r="F27" s="14"/>
      <c r="G27" s="14"/>
      <c r="H27" s="14"/>
      <c r="I27" s="14"/>
      <c r="J27" s="24"/>
      <c r="K27" s="77"/>
    </row>
    <row r="28" spans="1:11" ht="15.75">
      <c r="A28" s="22" t="s">
        <v>21</v>
      </c>
      <c r="B28" s="14"/>
      <c r="C28" s="14"/>
      <c r="D28" s="14"/>
      <c r="E28" s="14"/>
      <c r="F28" s="131">
        <f>IF(C18=0,0,F20/C18)</f>
        <v>0.07331042382588775</v>
      </c>
      <c r="G28" s="14"/>
      <c r="H28" s="14"/>
      <c r="I28" s="14"/>
      <c r="J28" s="14"/>
      <c r="K28" s="77"/>
    </row>
    <row r="29" spans="1:11" ht="15.75">
      <c r="A29" s="14"/>
      <c r="B29" s="132"/>
      <c r="C29" s="14"/>
      <c r="D29" s="14"/>
      <c r="E29" s="14"/>
      <c r="F29" s="14"/>
      <c r="G29" s="14"/>
      <c r="H29" s="14"/>
      <c r="I29" s="14"/>
      <c r="J29" s="14"/>
      <c r="K29" s="77"/>
    </row>
    <row r="30" spans="1:11" ht="15.75">
      <c r="A30" s="22" t="s">
        <v>22</v>
      </c>
      <c r="B30" s="14"/>
      <c r="C30" s="14"/>
      <c r="D30" s="14"/>
      <c r="E30" s="14"/>
      <c r="F30" s="14"/>
      <c r="G30" s="133">
        <f>IF(C18=0,0,G22/C18)</f>
        <v>0</v>
      </c>
      <c r="H30" s="134">
        <f>IF(C18=0,0,H22/C18)</f>
        <v>0.001145475372279496</v>
      </c>
      <c r="I30" s="14"/>
      <c r="J30" s="14"/>
      <c r="K30" s="77"/>
    </row>
    <row r="31" spans="1:11" ht="15.75">
      <c r="A31" s="14"/>
      <c r="B31" s="14"/>
      <c r="C31" s="14"/>
      <c r="D31" s="14"/>
      <c r="E31" s="14"/>
      <c r="F31" s="14"/>
      <c r="G31" s="14"/>
      <c r="H31" s="14"/>
      <c r="I31" s="14"/>
      <c r="J31" s="14"/>
      <c r="K31" s="77"/>
    </row>
    <row r="32" spans="1:11" ht="15.75">
      <c r="A32" s="22" t="s">
        <v>66</v>
      </c>
      <c r="B32" s="14"/>
      <c r="C32" s="14"/>
      <c r="D32" s="14"/>
      <c r="E32" s="14"/>
      <c r="F32" s="14"/>
      <c r="G32" s="14"/>
      <c r="H32" s="14"/>
      <c r="I32" s="131">
        <f>IF(C18=0,0,I24/C18)</f>
        <v>0.018709431080565102</v>
      </c>
      <c r="J32" s="135"/>
      <c r="K32" s="77"/>
    </row>
    <row r="33" spans="1:11" ht="15.75">
      <c r="A33" s="77"/>
      <c r="B33" s="77"/>
      <c r="C33" s="77"/>
      <c r="D33" s="77"/>
      <c r="E33" s="77"/>
      <c r="F33" s="77"/>
      <c r="G33" s="77"/>
      <c r="H33" s="77"/>
      <c r="I33" s="77"/>
      <c r="J33" s="77"/>
      <c r="K33" s="77"/>
    </row>
    <row r="34" spans="1:11" ht="15.75">
      <c r="A34" s="77" t="s">
        <v>146</v>
      </c>
      <c r="B34" s="77"/>
      <c r="C34" s="77"/>
      <c r="D34" s="77"/>
      <c r="E34" s="77"/>
      <c r="F34" s="77"/>
      <c r="G34" s="77"/>
      <c r="H34" s="77"/>
      <c r="I34" s="77"/>
      <c r="J34" s="131">
        <f>IF(C18=0,0,J26/C18)</f>
        <v>0</v>
      </c>
      <c r="K34" s="77"/>
    </row>
    <row r="35" spans="1:11" ht="15.75">
      <c r="A35" s="77"/>
      <c r="B35" s="77"/>
      <c r="C35" s="77"/>
      <c r="D35" s="77"/>
      <c r="E35" s="77"/>
      <c r="F35" s="77"/>
      <c r="G35" s="77"/>
      <c r="H35" s="77"/>
      <c r="I35" s="77"/>
      <c r="J35" s="77"/>
      <c r="K35" s="77"/>
    </row>
    <row r="39" spans="1:8" ht="15.75">
      <c r="A39" s="136"/>
      <c r="B39" s="136"/>
      <c r="C39" s="136"/>
      <c r="D39" s="136"/>
      <c r="E39" s="136"/>
      <c r="F39" s="136"/>
      <c r="G39" s="136"/>
      <c r="H39" s="16"/>
    </row>
  </sheetData>
  <sheetProtection/>
  <mergeCells count="4">
    <mergeCell ref="C9:C10"/>
    <mergeCell ref="F9:K9"/>
    <mergeCell ref="D9:D10"/>
    <mergeCell ref="A6:K6"/>
  </mergeCells>
  <printOptions/>
  <pageMargins left="0.4" right="0.4" top="0.83" bottom="0.85" header="0.3" footer="0.6"/>
  <pageSetup blackAndWhite="1" fitToHeight="1" fitToWidth="1" horizontalDpi="300" verticalDpi="300" orientation="portrait" scale="88" r:id="rId1"/>
  <headerFooter alignWithMargins="0">
    <oddHeader>&amp;RState of Kansas
Township
</oddHeader>
    <oddFooter>&amp;Lrevised 5/14/09&amp;CPage No. 3</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H61"/>
  <sheetViews>
    <sheetView zoomScalePageLayoutView="0" workbookViewId="0" topLeftCell="A1">
      <selection activeCell="D23" sqref="D23"/>
    </sheetView>
  </sheetViews>
  <sheetFormatPr defaultColWidth="8.796875" defaultRowHeight="15.75"/>
  <cols>
    <col min="1" max="1" width="27.296875" style="16" customWidth="1"/>
    <col min="2" max="2" width="9.5" style="16" customWidth="1"/>
    <col min="3" max="3" width="10.3984375" style="16" customWidth="1"/>
    <col min="4" max="4" width="5.69921875" style="16" customWidth="1"/>
    <col min="5" max="5" width="9.59765625" style="16" customWidth="1"/>
    <col min="6" max="6" width="6.59765625" style="16" customWidth="1"/>
    <col min="7" max="7" width="13.69921875" style="16" customWidth="1"/>
    <col min="8" max="16384" width="8.796875" style="16" customWidth="1"/>
  </cols>
  <sheetData>
    <row r="1" spans="1:7" ht="15.75">
      <c r="A1" s="248" t="str">
        <f>inputPrYr!D2</f>
        <v>Blaine Township</v>
      </c>
      <c r="B1" s="14"/>
      <c r="C1" s="14"/>
      <c r="D1" s="14"/>
      <c r="E1" s="14"/>
      <c r="F1" s="14"/>
      <c r="G1" s="15">
        <f>inputPrYr!D5</f>
        <v>2012</v>
      </c>
    </row>
    <row r="2" spans="1:7" ht="15.75">
      <c r="A2" s="17" t="s">
        <v>62</v>
      </c>
      <c r="B2" s="14"/>
      <c r="C2" s="14"/>
      <c r="D2" s="14"/>
      <c r="E2" s="14"/>
      <c r="F2" s="14"/>
      <c r="G2" s="18"/>
    </row>
    <row r="3" spans="1:7" ht="15.75">
      <c r="A3" s="14"/>
      <c r="B3" s="19"/>
      <c r="C3" s="20"/>
      <c r="D3" s="20"/>
      <c r="E3" s="20"/>
      <c r="F3" s="20"/>
      <c r="G3" s="21"/>
    </row>
    <row r="4" spans="1:7" ht="15.75">
      <c r="A4" s="22" t="s">
        <v>24</v>
      </c>
      <c r="B4" s="19"/>
      <c r="C4" s="335" t="s">
        <v>25</v>
      </c>
      <c r="D4" s="336"/>
      <c r="E4" s="339" t="s">
        <v>26</v>
      </c>
      <c r="F4" s="340"/>
      <c r="G4" s="23" t="s">
        <v>27</v>
      </c>
    </row>
    <row r="5" spans="1:7" ht="15.75">
      <c r="A5" s="258" t="str">
        <f>inputPrYr!B16</f>
        <v>General</v>
      </c>
      <c r="B5" s="25"/>
      <c r="C5" s="337" t="str">
        <f>CONCATENATE("Actual ",$G$1-2,"")</f>
        <v>Actual 2010</v>
      </c>
      <c r="D5" s="338"/>
      <c r="E5" s="337" t="str">
        <f>CONCATENATE("Estimate ",$G$1-1,"")</f>
        <v>Estimate 2011</v>
      </c>
      <c r="F5" s="338"/>
      <c r="G5" s="27" t="str">
        <f>CONCATENATE("Year ",$G$1,"")</f>
        <v>Year 2012</v>
      </c>
    </row>
    <row r="6" spans="1:7" s="230" customFormat="1" ht="15.75">
      <c r="A6" s="45" t="s">
        <v>101</v>
      </c>
      <c r="B6" s="256"/>
      <c r="C6" s="341">
        <v>5063</v>
      </c>
      <c r="D6" s="342"/>
      <c r="E6" s="326">
        <f>C42</f>
        <v>5818</v>
      </c>
      <c r="F6" s="327"/>
      <c r="G6" s="47">
        <f>E42</f>
        <v>4017</v>
      </c>
    </row>
    <row r="7" spans="1:7" s="230" customFormat="1" ht="15.75">
      <c r="A7" s="45" t="s">
        <v>103</v>
      </c>
      <c r="B7" s="256"/>
      <c r="C7" s="326"/>
      <c r="D7" s="327"/>
      <c r="E7" s="326"/>
      <c r="F7" s="327"/>
      <c r="G7" s="257"/>
    </row>
    <row r="8" spans="1:7" ht="15.75">
      <c r="A8" s="28" t="s">
        <v>29</v>
      </c>
      <c r="B8" s="29"/>
      <c r="C8" s="319">
        <v>2516</v>
      </c>
      <c r="D8" s="320"/>
      <c r="E8" s="333">
        <f>ROUND(inputPrYr!E16*inputPrYr!E13,0)</f>
        <v>2567</v>
      </c>
      <c r="F8" s="334"/>
      <c r="G8" s="33" t="s">
        <v>180</v>
      </c>
    </row>
    <row r="9" spans="1:7" ht="15.75">
      <c r="A9" s="28" t="s">
        <v>30</v>
      </c>
      <c r="B9" s="29"/>
      <c r="C9" s="319">
        <v>0</v>
      </c>
      <c r="D9" s="320"/>
      <c r="E9" s="319">
        <v>0</v>
      </c>
      <c r="F9" s="320"/>
      <c r="G9" s="34">
        <v>0</v>
      </c>
    </row>
    <row r="10" spans="1:7" ht="15.75">
      <c r="A10" s="28" t="s">
        <v>31</v>
      </c>
      <c r="B10" s="29"/>
      <c r="C10" s="319">
        <v>181</v>
      </c>
      <c r="D10" s="320"/>
      <c r="E10" s="319">
        <v>225</v>
      </c>
      <c r="F10" s="320"/>
      <c r="G10" s="32">
        <f>mvalloc!F11</f>
        <v>192</v>
      </c>
    </row>
    <row r="11" spans="1:7" ht="15.75">
      <c r="A11" s="28" t="s">
        <v>32</v>
      </c>
      <c r="B11" s="29"/>
      <c r="C11" s="319">
        <v>4</v>
      </c>
      <c r="D11" s="320"/>
      <c r="E11" s="319">
        <v>4</v>
      </c>
      <c r="F11" s="320"/>
      <c r="G11" s="32">
        <f>mvalloc!H11</f>
        <v>3</v>
      </c>
    </row>
    <row r="12" spans="1:7" ht="15.75">
      <c r="A12" s="35" t="s">
        <v>60</v>
      </c>
      <c r="B12" s="29"/>
      <c r="C12" s="319">
        <v>43</v>
      </c>
      <c r="D12" s="320"/>
      <c r="E12" s="319">
        <v>46</v>
      </c>
      <c r="F12" s="320"/>
      <c r="G12" s="32">
        <f>mvalloc!I11</f>
        <v>49</v>
      </c>
    </row>
    <row r="13" spans="1:7" ht="15.75">
      <c r="A13" s="35" t="s">
        <v>134</v>
      </c>
      <c r="B13" s="29"/>
      <c r="C13" s="319">
        <v>0</v>
      </c>
      <c r="D13" s="320"/>
      <c r="E13" s="319">
        <v>0</v>
      </c>
      <c r="F13" s="320"/>
      <c r="G13" s="32">
        <f>mvalloc!J11</f>
        <v>0</v>
      </c>
    </row>
    <row r="14" spans="1:7" ht="15.75">
      <c r="A14" s="28" t="s">
        <v>33</v>
      </c>
      <c r="B14" s="29"/>
      <c r="C14" s="319">
        <v>548</v>
      </c>
      <c r="D14" s="320"/>
      <c r="E14" s="319">
        <v>363</v>
      </c>
      <c r="F14" s="320"/>
      <c r="G14" s="32">
        <f>inputOth!E12</f>
        <v>383</v>
      </c>
    </row>
    <row r="15" spans="1:7" ht="15.75">
      <c r="A15" s="37" t="s">
        <v>208</v>
      </c>
      <c r="B15" s="38"/>
      <c r="C15" s="319">
        <v>3</v>
      </c>
      <c r="D15" s="320"/>
      <c r="E15" s="319">
        <v>0</v>
      </c>
      <c r="F15" s="320"/>
      <c r="G15" s="34">
        <v>0</v>
      </c>
    </row>
    <row r="16" spans="1:7" ht="15.75">
      <c r="A16" s="37"/>
      <c r="B16" s="38"/>
      <c r="C16" s="319"/>
      <c r="D16" s="320"/>
      <c r="E16" s="319"/>
      <c r="F16" s="320"/>
      <c r="G16" s="34"/>
    </row>
    <row r="17" spans="1:7" ht="15.75">
      <c r="A17" s="39"/>
      <c r="B17" s="38"/>
      <c r="C17" s="319"/>
      <c r="D17" s="320"/>
      <c r="E17" s="319"/>
      <c r="F17" s="320"/>
      <c r="G17" s="34"/>
    </row>
    <row r="18" spans="1:7" ht="15.75">
      <c r="A18" s="39"/>
      <c r="B18" s="38"/>
      <c r="C18" s="319"/>
      <c r="D18" s="320"/>
      <c r="E18" s="319"/>
      <c r="F18" s="320"/>
      <c r="G18" s="34"/>
    </row>
    <row r="19" spans="1:7" ht="15.75">
      <c r="A19" s="40" t="s">
        <v>153</v>
      </c>
      <c r="B19" s="41"/>
      <c r="C19" s="319">
        <v>0</v>
      </c>
      <c r="D19" s="320"/>
      <c r="E19" s="319">
        <v>0</v>
      </c>
      <c r="F19" s="320"/>
      <c r="G19" s="30">
        <v>0</v>
      </c>
    </row>
    <row r="20" spans="1:7" ht="15.75">
      <c r="A20" s="40" t="s">
        <v>154</v>
      </c>
      <c r="B20" s="41"/>
      <c r="C20" s="321">
        <f>IF(C21*0.1&lt;C19,"Exceed 10% Rule","")</f>
      </c>
      <c r="D20" s="322"/>
      <c r="E20" s="321">
        <f>IF(E21*0.1&lt;E19,"Exceed 10% Rule","")</f>
      </c>
      <c r="F20" s="322"/>
      <c r="G20" s="42">
        <f>IF(G21*0.1+G47&lt;G19,"Exceed 10% Rule","")</f>
      </c>
    </row>
    <row r="21" spans="1:7" ht="15.75">
      <c r="A21" s="43" t="s">
        <v>35</v>
      </c>
      <c r="B21" s="29"/>
      <c r="C21" s="331">
        <f>SUM(C8:C19)</f>
        <v>3295</v>
      </c>
      <c r="D21" s="332"/>
      <c r="E21" s="331">
        <f>SUM(E8:E19)</f>
        <v>3205</v>
      </c>
      <c r="F21" s="332"/>
      <c r="G21" s="44">
        <f>SUM(G8:G19)</f>
        <v>627</v>
      </c>
    </row>
    <row r="22" spans="1:7" ht="15.75">
      <c r="A22" s="45" t="s">
        <v>36</v>
      </c>
      <c r="B22" s="29"/>
      <c r="C22" s="331">
        <f>C21+C6</f>
        <v>8358</v>
      </c>
      <c r="D22" s="332"/>
      <c r="E22" s="331">
        <f>E21+E6</f>
        <v>9023</v>
      </c>
      <c r="F22" s="332"/>
      <c r="G22" s="44">
        <f>G21+G6</f>
        <v>4644</v>
      </c>
    </row>
    <row r="23" spans="1:7" s="230" customFormat="1" ht="15.75">
      <c r="A23" s="45" t="s">
        <v>37</v>
      </c>
      <c r="B23" s="256"/>
      <c r="C23" s="326"/>
      <c r="D23" s="327"/>
      <c r="E23" s="326"/>
      <c r="F23" s="327"/>
      <c r="G23" s="47"/>
    </row>
    <row r="24" spans="1:7" ht="15.75">
      <c r="A24" s="37" t="s">
        <v>202</v>
      </c>
      <c r="B24" s="38"/>
      <c r="C24" s="319">
        <v>0</v>
      </c>
      <c r="D24" s="320"/>
      <c r="E24" s="319">
        <v>500</v>
      </c>
      <c r="F24" s="320"/>
      <c r="G24" s="34">
        <v>500</v>
      </c>
    </row>
    <row r="25" spans="1:7" ht="15.75">
      <c r="A25" s="39" t="s">
        <v>203</v>
      </c>
      <c r="B25" s="38"/>
      <c r="C25" s="319">
        <f>(3*12)+116+95</f>
        <v>247</v>
      </c>
      <c r="D25" s="320"/>
      <c r="E25" s="319">
        <v>500</v>
      </c>
      <c r="F25" s="320"/>
      <c r="G25" s="34">
        <v>1782</v>
      </c>
    </row>
    <row r="26" spans="1:7" ht="15.75">
      <c r="A26" s="39" t="s">
        <v>204</v>
      </c>
      <c r="B26" s="38"/>
      <c r="C26" s="319">
        <f>1143+1143</f>
        <v>2286</v>
      </c>
      <c r="D26" s="320"/>
      <c r="E26" s="319">
        <v>3000</v>
      </c>
      <c r="F26" s="320"/>
      <c r="G26" s="34">
        <v>3500</v>
      </c>
    </row>
    <row r="27" spans="1:7" ht="15.75">
      <c r="A27" s="39" t="s">
        <v>207</v>
      </c>
      <c r="B27" s="38"/>
      <c r="C27" s="319">
        <v>0</v>
      </c>
      <c r="D27" s="320"/>
      <c r="E27" s="319">
        <v>1000</v>
      </c>
      <c r="F27" s="320"/>
      <c r="G27" s="34">
        <v>1500</v>
      </c>
    </row>
    <row r="28" spans="1:7" ht="15.75">
      <c r="A28" s="39"/>
      <c r="B28" s="38"/>
      <c r="C28" s="319"/>
      <c r="D28" s="320"/>
      <c r="E28" s="319"/>
      <c r="F28" s="320"/>
      <c r="G28" s="34"/>
    </row>
    <row r="29" spans="1:7" ht="15.75">
      <c r="A29" s="37"/>
      <c r="B29" s="38"/>
      <c r="C29" s="319"/>
      <c r="D29" s="320"/>
      <c r="E29" s="319"/>
      <c r="F29" s="320"/>
      <c r="G29" s="34"/>
    </row>
    <row r="30" spans="1:7" ht="15.75">
      <c r="A30" s="37"/>
      <c r="B30" s="38"/>
      <c r="C30" s="319"/>
      <c r="D30" s="320"/>
      <c r="E30" s="319"/>
      <c r="F30" s="320"/>
      <c r="G30" s="34"/>
    </row>
    <row r="31" spans="1:7" ht="15.75">
      <c r="A31" s="39"/>
      <c r="B31" s="38"/>
      <c r="C31" s="319"/>
      <c r="D31" s="320"/>
      <c r="E31" s="319"/>
      <c r="F31" s="320"/>
      <c r="G31" s="34"/>
    </row>
    <row r="32" spans="1:7" ht="15.75">
      <c r="A32" s="39"/>
      <c r="B32" s="38"/>
      <c r="C32" s="319"/>
      <c r="D32" s="320"/>
      <c r="E32" s="319"/>
      <c r="F32" s="320"/>
      <c r="G32" s="34"/>
    </row>
    <row r="33" spans="1:7" ht="15.75">
      <c r="A33" s="37"/>
      <c r="B33" s="38"/>
      <c r="C33" s="319"/>
      <c r="D33" s="320"/>
      <c r="E33" s="319"/>
      <c r="F33" s="320"/>
      <c r="G33" s="34"/>
    </row>
    <row r="34" spans="1:7" ht="15.75">
      <c r="A34" s="39"/>
      <c r="B34" s="38"/>
      <c r="C34" s="319"/>
      <c r="D34" s="320"/>
      <c r="E34" s="319"/>
      <c r="F34" s="320"/>
      <c r="G34" s="34"/>
    </row>
    <row r="35" spans="1:7" ht="15.75">
      <c r="A35" s="39"/>
      <c r="B35" s="38"/>
      <c r="C35" s="319"/>
      <c r="D35" s="320"/>
      <c r="E35" s="319"/>
      <c r="F35" s="320"/>
      <c r="G35" s="34"/>
    </row>
    <row r="36" spans="1:7" ht="15.75">
      <c r="A36" s="37"/>
      <c r="B36" s="38"/>
      <c r="C36" s="319"/>
      <c r="D36" s="320"/>
      <c r="E36" s="319"/>
      <c r="F36" s="320"/>
      <c r="G36" s="34"/>
    </row>
    <row r="37" spans="1:7" ht="15.75">
      <c r="A37" s="39"/>
      <c r="B37" s="38"/>
      <c r="C37" s="319"/>
      <c r="D37" s="320"/>
      <c r="E37" s="319"/>
      <c r="F37" s="320"/>
      <c r="G37" s="34"/>
    </row>
    <row r="38" spans="1:7" ht="15.75">
      <c r="A38" s="35" t="s">
        <v>156</v>
      </c>
      <c r="B38" s="41"/>
      <c r="C38" s="319">
        <v>7</v>
      </c>
      <c r="D38" s="320"/>
      <c r="E38" s="319">
        <v>6</v>
      </c>
      <c r="F38" s="320"/>
      <c r="G38" s="273">
        <f>nhood!E6</f>
        <v>5</v>
      </c>
    </row>
    <row r="39" spans="1:7" ht="15.75">
      <c r="A39" s="35" t="s">
        <v>153</v>
      </c>
      <c r="B39" s="41"/>
      <c r="C39" s="319">
        <v>0</v>
      </c>
      <c r="D39" s="320"/>
      <c r="E39" s="319">
        <v>0</v>
      </c>
      <c r="F39" s="320"/>
      <c r="G39" s="30">
        <v>0</v>
      </c>
    </row>
    <row r="40" spans="1:7" ht="15.75">
      <c r="A40" s="35" t="s">
        <v>155</v>
      </c>
      <c r="B40" s="41"/>
      <c r="C40" s="321">
        <f>IF(C41*0.1&lt;C39,"Exceed 10% Rule","")</f>
      </c>
      <c r="D40" s="322"/>
      <c r="E40" s="321">
        <f>IF(E41*0.1&lt;E39,"Exceed 10% Rule","")</f>
      </c>
      <c r="F40" s="322"/>
      <c r="G40" s="42">
        <f>IF(G41*0.1&lt;G39,"Exceed 10% Rule","")</f>
      </c>
    </row>
    <row r="41" spans="1:7" ht="15.75">
      <c r="A41" s="45" t="s">
        <v>38</v>
      </c>
      <c r="B41" s="29"/>
      <c r="C41" s="326">
        <f>SUM(C24:C39)</f>
        <v>2540</v>
      </c>
      <c r="D41" s="327"/>
      <c r="E41" s="326">
        <f>SUM(E24:E39)</f>
        <v>5006</v>
      </c>
      <c r="F41" s="327"/>
      <c r="G41" s="47">
        <f>SUM(G24:G37,G38:G39)</f>
        <v>7287</v>
      </c>
    </row>
    <row r="42" spans="1:7" s="230" customFormat="1" ht="15.75">
      <c r="A42" s="45" t="s">
        <v>102</v>
      </c>
      <c r="B42" s="256"/>
      <c r="C42" s="331">
        <f>C22-C41</f>
        <v>5818</v>
      </c>
      <c r="D42" s="332"/>
      <c r="E42" s="331">
        <f>SUM(E22-E41)</f>
        <v>4017</v>
      </c>
      <c r="F42" s="332"/>
      <c r="G42" s="257" t="s">
        <v>180</v>
      </c>
    </row>
    <row r="43" spans="1:8" ht="15.75">
      <c r="A43" s="48" t="str">
        <f>CONCATENATE("",G1-2,"/",G1-1," Budget Authority Amount:")</f>
        <v>2010/2011 Budget Authority Amount:</v>
      </c>
      <c r="B43" s="49">
        <f>inputOth!B44</f>
        <v>6031</v>
      </c>
      <c r="C43" s="50">
        <f>inputPrYr!D16</f>
        <v>6538</v>
      </c>
      <c r="D43" s="323" t="s">
        <v>160</v>
      </c>
      <c r="E43" s="324"/>
      <c r="F43" s="325"/>
      <c r="G43" s="34"/>
      <c r="H43" s="51">
        <f>IF(G41/0.95-G41&lt;G43,"Exceeds 5%","")</f>
      </c>
    </row>
    <row r="44" spans="1:7" ht="15.75">
      <c r="A44" s="48"/>
      <c r="B44" s="52">
        <f>IF(C41&gt;B43,"See Tab A","")</f>
      </c>
      <c r="C44" s="52">
        <f>IF(E41&gt;C43,"See Tab C","")</f>
      </c>
      <c r="D44" s="14"/>
      <c r="E44" s="315" t="s">
        <v>161</v>
      </c>
      <c r="F44" s="316"/>
      <c r="G44" s="32">
        <f>G41+G43</f>
        <v>7287</v>
      </c>
    </row>
    <row r="45" spans="1:7" ht="15.75">
      <c r="A45" s="48"/>
      <c r="B45" s="52">
        <f>IF(C42&lt;0,"See Tab B","")</f>
      </c>
      <c r="C45" s="62">
        <f>IF(E42&lt;0,"See Tab D","")</f>
      </c>
      <c r="D45" s="14"/>
      <c r="E45" s="315" t="s">
        <v>39</v>
      </c>
      <c r="F45" s="316"/>
      <c r="G45" s="46">
        <f>IF(G44-G22&gt;0,G44-G22,0)</f>
        <v>2643</v>
      </c>
    </row>
    <row r="46" spans="1:7" ht="15.75">
      <c r="A46" s="53"/>
      <c r="B46" s="53"/>
      <c r="C46" s="53"/>
      <c r="D46" s="317" t="s">
        <v>162</v>
      </c>
      <c r="E46" s="318"/>
      <c r="F46" s="54">
        <f>inputOth!$E$38</f>
        <v>0</v>
      </c>
      <c r="G46" s="32">
        <f>ROUND(IF(F46&gt;0,(G45*F46),0),0)</f>
        <v>0</v>
      </c>
    </row>
    <row r="47" spans="1:7" ht="15.75">
      <c r="A47" s="14"/>
      <c r="B47" s="14"/>
      <c r="C47" s="328" t="str">
        <f>CONCATENATE("Amount of  ",$G$1-1," Ad Valorem Tax")</f>
        <v>Amount of  2011 Ad Valorem Tax</v>
      </c>
      <c r="D47" s="329"/>
      <c r="E47" s="329"/>
      <c r="F47" s="330"/>
      <c r="G47" s="44">
        <f>G45+G46</f>
        <v>2643</v>
      </c>
    </row>
    <row r="48" spans="1:7" ht="15.75">
      <c r="A48" s="14"/>
      <c r="B48" s="14"/>
      <c r="C48" s="14"/>
      <c r="D48" s="14"/>
      <c r="E48" s="14"/>
      <c r="F48" s="14"/>
      <c r="G48" s="14"/>
    </row>
    <row r="49" spans="1:7" s="56" customFormat="1" ht="15.75">
      <c r="A49" s="19"/>
      <c r="B49" s="19"/>
      <c r="C49" s="19"/>
      <c r="D49" s="19"/>
      <c r="E49" s="55"/>
      <c r="F49" s="55"/>
      <c r="G49" s="19"/>
    </row>
    <row r="50" spans="1:7" s="58" customFormat="1" ht="15.75">
      <c r="A50" s="14"/>
      <c r="B50" s="14"/>
      <c r="C50" s="14"/>
      <c r="D50" s="14"/>
      <c r="E50" s="57"/>
      <c r="F50" s="57"/>
      <c r="G50" s="14"/>
    </row>
    <row r="51" spans="1:7" ht="15.75">
      <c r="A51" s="53" t="s">
        <v>23</v>
      </c>
      <c r="B51" s="59">
        <v>4</v>
      </c>
      <c r="C51" s="14"/>
      <c r="D51" s="14"/>
      <c r="E51" s="14"/>
      <c r="F51" s="14"/>
      <c r="G51" s="57"/>
    </row>
    <row r="53" ht="15.75">
      <c r="A53" s="12"/>
    </row>
    <row r="56" ht="15.75">
      <c r="G56" s="60"/>
    </row>
    <row r="58" ht="15.75">
      <c r="G58" s="60"/>
    </row>
    <row r="60" ht="15.75">
      <c r="C60" s="61"/>
    </row>
    <row r="61" spans="3:7" ht="15.75">
      <c r="C61" s="60"/>
      <c r="G61" s="60"/>
    </row>
  </sheetData>
  <sheetProtection/>
  <mergeCells count="83">
    <mergeCell ref="C42:D42"/>
    <mergeCell ref="E41:F41"/>
    <mergeCell ref="E42:F42"/>
    <mergeCell ref="C28:D28"/>
    <mergeCell ref="C29:D29"/>
    <mergeCell ref="C30:D30"/>
    <mergeCell ref="C31:D31"/>
    <mergeCell ref="E37:F37"/>
    <mergeCell ref="C32:D32"/>
    <mergeCell ref="C33:D33"/>
    <mergeCell ref="C24:D24"/>
    <mergeCell ref="C25:D25"/>
    <mergeCell ref="C26:D26"/>
    <mergeCell ref="C27:D27"/>
    <mergeCell ref="C34:D34"/>
    <mergeCell ref="C35:D35"/>
    <mergeCell ref="E33:F33"/>
    <mergeCell ref="E34:F34"/>
    <mergeCell ref="E35:F35"/>
    <mergeCell ref="E36:F36"/>
    <mergeCell ref="C37:D37"/>
    <mergeCell ref="C36:D36"/>
    <mergeCell ref="E28:F28"/>
    <mergeCell ref="E29:F29"/>
    <mergeCell ref="E38:F38"/>
    <mergeCell ref="E24:F24"/>
    <mergeCell ref="E25:F25"/>
    <mergeCell ref="E26:F26"/>
    <mergeCell ref="E27:F27"/>
    <mergeCell ref="E30:F30"/>
    <mergeCell ref="E31:F31"/>
    <mergeCell ref="E32:F32"/>
    <mergeCell ref="C12:D12"/>
    <mergeCell ref="C13:D13"/>
    <mergeCell ref="C17:D17"/>
    <mergeCell ref="C8:D8"/>
    <mergeCell ref="C9:D9"/>
    <mergeCell ref="C10:D10"/>
    <mergeCell ref="C11:D11"/>
    <mergeCell ref="C18:D18"/>
    <mergeCell ref="C14:D14"/>
    <mergeCell ref="C15:D15"/>
    <mergeCell ref="C16:D16"/>
    <mergeCell ref="E18:F18"/>
    <mergeCell ref="E13:F13"/>
    <mergeCell ref="E14:F14"/>
    <mergeCell ref="E15:F15"/>
    <mergeCell ref="E19:F19"/>
    <mergeCell ref="E20:F20"/>
    <mergeCell ref="C6:D6"/>
    <mergeCell ref="C19:D19"/>
    <mergeCell ref="E9:F9"/>
    <mergeCell ref="E10:F10"/>
    <mergeCell ref="E11:F11"/>
    <mergeCell ref="E12:F12"/>
    <mergeCell ref="E16:F16"/>
    <mergeCell ref="E17:F17"/>
    <mergeCell ref="C4:D4"/>
    <mergeCell ref="C5:D5"/>
    <mergeCell ref="E7:F7"/>
    <mergeCell ref="E6:F6"/>
    <mergeCell ref="E4:F4"/>
    <mergeCell ref="E5:F5"/>
    <mergeCell ref="C47:F47"/>
    <mergeCell ref="C7:D7"/>
    <mergeCell ref="E21:F21"/>
    <mergeCell ref="E22:F22"/>
    <mergeCell ref="E23:F23"/>
    <mergeCell ref="E8:F8"/>
    <mergeCell ref="C20:D20"/>
    <mergeCell ref="C21:D21"/>
    <mergeCell ref="C22:D22"/>
    <mergeCell ref="C23:D23"/>
    <mergeCell ref="E45:F45"/>
    <mergeCell ref="D46:E46"/>
    <mergeCell ref="C38:D38"/>
    <mergeCell ref="C39:D39"/>
    <mergeCell ref="C40:D40"/>
    <mergeCell ref="E39:F39"/>
    <mergeCell ref="E40:F40"/>
    <mergeCell ref="D43:F43"/>
    <mergeCell ref="E44:F44"/>
    <mergeCell ref="C41:D41"/>
  </mergeCells>
  <conditionalFormatting sqref="G43">
    <cfRule type="cellIs" priority="4" dxfId="13" operator="greaterThan" stopIfTrue="1">
      <formula>$G$41/0.95-$G$41</formula>
    </cfRule>
  </conditionalFormatting>
  <conditionalFormatting sqref="C39:D39">
    <cfRule type="cellIs" priority="5" dxfId="13" operator="greaterThan" stopIfTrue="1">
      <formula>$C$41*0.1</formula>
    </cfRule>
  </conditionalFormatting>
  <conditionalFormatting sqref="E39:F39">
    <cfRule type="cellIs" priority="6" dxfId="13" operator="greaterThan" stopIfTrue="1">
      <formula>$E$41*0.1</formula>
    </cfRule>
  </conditionalFormatting>
  <conditionalFormatting sqref="G39">
    <cfRule type="cellIs" priority="7" dxfId="13" operator="greaterThan" stopIfTrue="1">
      <formula>$G$41*0.1</formula>
    </cfRule>
  </conditionalFormatting>
  <conditionalFormatting sqref="C42:F42">
    <cfRule type="cellIs" priority="9" dxfId="0" operator="lessThan" stopIfTrue="1">
      <formula>0</formula>
    </cfRule>
  </conditionalFormatting>
  <conditionalFormatting sqref="E41:F41">
    <cfRule type="cellIs" priority="10" dxfId="0" operator="greaterThan" stopIfTrue="1">
      <formula>$C$43</formula>
    </cfRule>
  </conditionalFormatting>
  <conditionalFormatting sqref="C41:D41">
    <cfRule type="cellIs" priority="2" dxfId="0" operator="greaterThan" stopIfTrue="1">
      <formula>$B$43</formula>
    </cfRule>
  </conditionalFormatting>
  <conditionalFormatting sqref="C19:D19">
    <cfRule type="cellIs" priority="12" dxfId="13" operator="greaterThan" stopIfTrue="1">
      <formula>$C$21*0.1</formula>
    </cfRule>
  </conditionalFormatting>
  <conditionalFormatting sqref="E19:F19">
    <cfRule type="cellIs" priority="13" dxfId="13" operator="greaterThan" stopIfTrue="1">
      <formula>$E$21*0.1</formula>
    </cfRule>
  </conditionalFormatting>
  <conditionalFormatting sqref="G19">
    <cfRule type="cellIs" priority="14" dxfId="13" operator="greaterThan" stopIfTrue="1">
      <formula>$G$21*0.1+$G$47</formula>
    </cfRule>
  </conditionalFormatting>
  <conditionalFormatting sqref="C37:D37">
    <cfRule type="expression" priority="15" dxfId="0" stopIfTrue="1">
      <formula>"Mike"</formula>
    </cfRule>
  </conditionalFormatting>
  <printOptions/>
  <pageMargins left="0.49" right="0.54" top="0.96" bottom="0.5" header="0.41" footer="0.3"/>
  <pageSetup blackAndWhite="1" fitToHeight="1" fitToWidth="1" horizontalDpi="300" verticalDpi="300" orientation="portrait" scale="90" r:id="rId1"/>
  <headerFooter alignWithMargins="0">
    <oddHeader>&amp;RState of Kansas
Township
</oddHeader>
    <oddFooter>&amp;Lrevised 8/25/09</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99"/>
  <sheetViews>
    <sheetView zoomScale="75" zoomScaleNormal="75" zoomScalePageLayoutView="0" workbookViewId="0" topLeftCell="A1">
      <selection activeCell="D23" sqref="D23"/>
    </sheetView>
  </sheetViews>
  <sheetFormatPr defaultColWidth="8.796875" defaultRowHeight="15.75"/>
  <cols>
    <col min="1" max="1" width="20.69921875" style="16" customWidth="1"/>
    <col min="2" max="2" width="12.69921875" style="16" customWidth="1"/>
    <col min="3" max="3" width="9.69921875" style="16" customWidth="1"/>
    <col min="4" max="4" width="12.69921875" style="16" customWidth="1"/>
    <col min="5" max="5" width="9.69921875" style="16" customWidth="1"/>
    <col min="6" max="6" width="12.69921875" style="16" customWidth="1"/>
    <col min="7" max="7" width="10.69921875" style="16" customWidth="1"/>
    <col min="8" max="8" width="9.69921875" style="16" customWidth="1"/>
    <col min="9" max="16384" width="8.796875" style="16" customWidth="1"/>
  </cols>
  <sheetData>
    <row r="1" spans="1:8" ht="15.75">
      <c r="A1" s="97" t="s">
        <v>63</v>
      </c>
      <c r="B1" s="98"/>
      <c r="C1" s="98"/>
      <c r="D1" s="98"/>
      <c r="E1" s="98"/>
      <c r="F1" s="98"/>
      <c r="G1" s="98"/>
      <c r="H1" s="98">
        <f>inputPrYr!D5</f>
        <v>2012</v>
      </c>
    </row>
    <row r="2" spans="1:8" ht="15.75">
      <c r="A2" s="14"/>
      <c r="B2" s="14"/>
      <c r="C2" s="14"/>
      <c r="D2" s="14"/>
      <c r="E2" s="14"/>
      <c r="F2" s="22" t="s">
        <v>41</v>
      </c>
      <c r="G2" s="22" t="s">
        <v>42</v>
      </c>
      <c r="H2" s="14"/>
    </row>
    <row r="3" spans="1:8" ht="15.75">
      <c r="A3" s="301" t="s">
        <v>43</v>
      </c>
      <c r="B3" s="301"/>
      <c r="C3" s="301"/>
      <c r="D3" s="301"/>
      <c r="E3" s="301"/>
      <c r="F3" s="301"/>
      <c r="G3" s="301"/>
      <c r="H3" s="301"/>
    </row>
    <row r="4" spans="1:8" ht="15.75">
      <c r="A4" s="345" t="str">
        <f>inputPrYr!D2</f>
        <v>Blaine Township</v>
      </c>
      <c r="B4" s="345"/>
      <c r="C4" s="345"/>
      <c r="D4" s="345"/>
      <c r="E4" s="345"/>
      <c r="F4" s="345"/>
      <c r="G4" s="345"/>
      <c r="H4" s="345"/>
    </row>
    <row r="5" spans="1:8" ht="15.75">
      <c r="A5" s="345" t="str">
        <f>inputPrYr!D3</f>
        <v>Smith County</v>
      </c>
      <c r="B5" s="345"/>
      <c r="C5" s="345"/>
      <c r="D5" s="345"/>
      <c r="E5" s="345"/>
      <c r="F5" s="345"/>
      <c r="G5" s="345"/>
      <c r="H5" s="345"/>
    </row>
    <row r="6" spans="1:8" ht="15.75">
      <c r="A6" s="301" t="str">
        <f>CONCATENATE("will meet on ",inputBudSum!B5," at ",inputBudSum!B7," at ",inputBudSum!B9," for the purpose of hearing and")</f>
        <v>will meet on ______________ at _________ at ______________ for the purpose of hearing and</v>
      </c>
      <c r="B6" s="301"/>
      <c r="C6" s="301"/>
      <c r="D6" s="301"/>
      <c r="E6" s="301"/>
      <c r="F6" s="301"/>
      <c r="G6" s="301"/>
      <c r="H6" s="301"/>
    </row>
    <row r="7" spans="1:8" ht="15.75">
      <c r="A7" s="100" t="s">
        <v>0</v>
      </c>
      <c r="B7" s="98"/>
      <c r="C7" s="98"/>
      <c r="D7" s="98"/>
      <c r="E7" s="98"/>
      <c r="F7" s="98"/>
      <c r="G7" s="98"/>
      <c r="H7" s="98"/>
    </row>
    <row r="8" spans="1:8" ht="15.75">
      <c r="A8" s="100" t="str">
        <f>CONCATENATE("Detailed budget information is available at ",inputBudSum!B12," and will be available at this hearing.")</f>
        <v>Detailed budget information is available at  and will be available at this hearing.</v>
      </c>
      <c r="B8" s="98"/>
      <c r="C8" s="98"/>
      <c r="D8" s="98"/>
      <c r="E8" s="98"/>
      <c r="F8" s="98"/>
      <c r="G8" s="98"/>
      <c r="H8" s="98"/>
    </row>
    <row r="9" spans="1:8" ht="15.75">
      <c r="A9" s="97" t="s">
        <v>64</v>
      </c>
      <c r="B9" s="101"/>
      <c r="C9" s="101"/>
      <c r="D9" s="101"/>
      <c r="E9" s="101"/>
      <c r="F9" s="101"/>
      <c r="G9" s="101"/>
      <c r="H9" s="101"/>
    </row>
    <row r="10" spans="1:8" ht="15.75">
      <c r="A10" s="100" t="str">
        <f>CONCATENATE("Proposed Budget ",H1," Expenditures and Amount of ",H1-1," Ad Valorem Tax establish the maximum limits")</f>
        <v>Proposed Budget 2012 Expenditures and Amount of 2011 Ad Valorem Tax establish the maximum limits</v>
      </c>
      <c r="B10" s="98"/>
      <c r="C10" s="98"/>
      <c r="D10" s="98"/>
      <c r="E10" s="98"/>
      <c r="F10" s="98"/>
      <c r="G10" s="98"/>
      <c r="H10" s="98"/>
    </row>
    <row r="11" spans="1:8" ht="15.75">
      <c r="A11" s="100" t="str">
        <f>CONCATENATE("of the ",H1," budget.  Estimated Tax Rate is subject to change depending on the final assessed valuation.")</f>
        <v>of the 2012 budget.  Estimated Tax Rate is subject to change depending on the final assessed valuation.</v>
      </c>
      <c r="B11" s="98"/>
      <c r="C11" s="98"/>
      <c r="D11" s="98"/>
      <c r="E11" s="98"/>
      <c r="F11" s="98"/>
      <c r="G11" s="98"/>
      <c r="H11" s="98"/>
    </row>
    <row r="12" spans="1:9" ht="15.75">
      <c r="A12" s="22"/>
      <c r="B12" s="19"/>
      <c r="C12" s="19"/>
      <c r="D12" s="19"/>
      <c r="E12" s="19"/>
      <c r="F12" s="19"/>
      <c r="G12" s="19"/>
      <c r="H12" s="19"/>
      <c r="I12" s="102"/>
    </row>
    <row r="13" spans="1:9" ht="15.75">
      <c r="A13" s="14"/>
      <c r="B13" s="103" t="str">
        <f>CONCATENATE("Prior Year Actual ",H1-2,"")</f>
        <v>Prior Year Actual 2010</v>
      </c>
      <c r="C13" s="104"/>
      <c r="D13" s="103" t="str">
        <f>CONCATENATE("Current Year Estimate ",H1-1,"")</f>
        <v>Current Year Estimate 2011</v>
      </c>
      <c r="E13" s="105"/>
      <c r="F13" s="106" t="str">
        <f>CONCATENATE("Proposed Budget ",H1,"")</f>
        <v>Proposed Budget 2012</v>
      </c>
      <c r="G13" s="107"/>
      <c r="H13" s="105"/>
      <c r="I13" s="102"/>
    </row>
    <row r="14" spans="1:9" ht="22.5" customHeight="1">
      <c r="A14" s="14"/>
      <c r="B14" s="68"/>
      <c r="C14" s="23" t="s">
        <v>40</v>
      </c>
      <c r="D14" s="23"/>
      <c r="E14" s="23" t="s">
        <v>40</v>
      </c>
      <c r="F14" s="108"/>
      <c r="G14" s="293" t="str">
        <f>CONCATENATE("Amount of ",H1-1," Ad Valorem Tax")</f>
        <v>Amount of 2011 Ad Valorem Tax</v>
      </c>
      <c r="H14" s="23" t="s">
        <v>44</v>
      </c>
      <c r="I14" s="102"/>
    </row>
    <row r="15" spans="1:9" ht="15.75">
      <c r="A15" s="14"/>
      <c r="B15" s="109"/>
      <c r="C15" s="109" t="s">
        <v>45</v>
      </c>
      <c r="D15" s="109"/>
      <c r="E15" s="109" t="s">
        <v>45</v>
      </c>
      <c r="F15" s="109" t="s">
        <v>149</v>
      </c>
      <c r="G15" s="343"/>
      <c r="H15" s="109" t="s">
        <v>45</v>
      </c>
      <c r="I15" s="102"/>
    </row>
    <row r="16" spans="1:9" ht="15.75">
      <c r="A16" s="26" t="s">
        <v>177</v>
      </c>
      <c r="B16" s="27" t="s">
        <v>46</v>
      </c>
      <c r="C16" s="27" t="s">
        <v>47</v>
      </c>
      <c r="D16" s="27" t="s">
        <v>46</v>
      </c>
      <c r="E16" s="27" t="s">
        <v>47</v>
      </c>
      <c r="F16" s="27" t="s">
        <v>205</v>
      </c>
      <c r="G16" s="344"/>
      <c r="H16" s="27" t="s">
        <v>47</v>
      </c>
      <c r="I16" s="102"/>
    </row>
    <row r="17" spans="1:9" ht="15.75">
      <c r="A17" s="75" t="str">
        <f>inputPrYr!B16</f>
        <v>General</v>
      </c>
      <c r="B17" s="75">
        <f>IF(gen!$C$41&lt;&gt;0,gen!$C$41,"  ")</f>
        <v>2540</v>
      </c>
      <c r="C17" s="268">
        <f>IF(inputPrYr!D39&gt;0,inputPrYr!D39,"0.000")</f>
        <v>2.201</v>
      </c>
      <c r="D17" s="75">
        <f>IF(gen!$E$41&lt;&gt;0,gen!$E$41,"  ")</f>
        <v>5006</v>
      </c>
      <c r="E17" s="268">
        <f>IF(inputOth!D17&gt;0,inputOth!D17,"0.000")</f>
        <v>2.269</v>
      </c>
      <c r="F17" s="75">
        <f>IF(gen!$G$41&lt;&gt;0,gen!$G$41,"  ")</f>
        <v>7287</v>
      </c>
      <c r="G17" s="274">
        <f>IF(gen!$G$47&lt;&gt;0,gen!$G$47,"0")</f>
        <v>2643</v>
      </c>
      <c r="H17" s="271">
        <f>IF(gen!G47&gt;0,ROUND(G17/$F$28*1000,3),"0.000")</f>
        <v>2.308</v>
      </c>
      <c r="I17" s="102"/>
    </row>
    <row r="18" spans="1:9" ht="15.75">
      <c r="A18" s="75"/>
      <c r="B18" s="75"/>
      <c r="C18" s="269"/>
      <c r="D18" s="75"/>
      <c r="E18" s="269"/>
      <c r="F18" s="75"/>
      <c r="G18" s="275"/>
      <c r="H18" s="272"/>
      <c r="I18" s="102"/>
    </row>
    <row r="19" spans="1:8" ht="15.75">
      <c r="A19" s="75"/>
      <c r="B19" s="75"/>
      <c r="C19" s="269"/>
      <c r="D19" s="75"/>
      <c r="E19" s="269"/>
      <c r="F19" s="75"/>
      <c r="G19" s="275"/>
      <c r="H19" s="272"/>
    </row>
    <row r="20" spans="1:8" ht="15.75">
      <c r="A20" s="75"/>
      <c r="B20" s="75"/>
      <c r="C20" s="269"/>
      <c r="D20" s="75"/>
      <c r="E20" s="269"/>
      <c r="F20" s="75"/>
      <c r="G20" s="275"/>
      <c r="H20" s="272"/>
    </row>
    <row r="21" spans="1:8" ht="15.75">
      <c r="A21" s="75"/>
      <c r="B21" s="75"/>
      <c r="C21" s="269"/>
      <c r="D21" s="75"/>
      <c r="E21" s="269"/>
      <c r="F21" s="75"/>
      <c r="G21" s="275"/>
      <c r="H21" s="272"/>
    </row>
    <row r="22" spans="1:8" ht="15.75">
      <c r="A22" s="75"/>
      <c r="B22" s="75"/>
      <c r="C22" s="269"/>
      <c r="D22" s="75"/>
      <c r="E22" s="269"/>
      <c r="F22" s="75"/>
      <c r="G22" s="275"/>
      <c r="H22" s="272"/>
    </row>
    <row r="23" spans="1:8" s="230" customFormat="1" ht="15.75">
      <c r="A23" s="249" t="s">
        <v>179</v>
      </c>
      <c r="B23" s="259">
        <f aca="true" t="shared" si="0" ref="B23:H23">SUM(B17:B22)</f>
        <v>2540</v>
      </c>
      <c r="C23" s="270">
        <f t="shared" si="0"/>
        <v>2.201</v>
      </c>
      <c r="D23" s="259">
        <f t="shared" si="0"/>
        <v>5006</v>
      </c>
      <c r="E23" s="270">
        <f t="shared" si="0"/>
        <v>2.269</v>
      </c>
      <c r="F23" s="259">
        <f t="shared" si="0"/>
        <v>7287</v>
      </c>
      <c r="G23" s="259">
        <f t="shared" si="0"/>
        <v>2643</v>
      </c>
      <c r="H23" s="270">
        <f t="shared" si="0"/>
        <v>2.308</v>
      </c>
    </row>
    <row r="24" spans="1:8" ht="15.75">
      <c r="A24" s="70" t="s">
        <v>48</v>
      </c>
      <c r="B24" s="75">
        <v>0</v>
      </c>
      <c r="C24" s="14"/>
      <c r="D24" s="75">
        <v>0</v>
      </c>
      <c r="E24" s="63"/>
      <c r="F24" s="75">
        <v>0</v>
      </c>
      <c r="G24" s="14"/>
      <c r="H24" s="14"/>
    </row>
    <row r="25" spans="1:8" ht="15.75">
      <c r="A25" s="70" t="s">
        <v>49</v>
      </c>
      <c r="B25" s="111">
        <f>B23-B24</f>
        <v>2540</v>
      </c>
      <c r="C25" s="14"/>
      <c r="D25" s="111">
        <f>D23-D24</f>
        <v>5006</v>
      </c>
      <c r="E25" s="14"/>
      <c r="F25" s="111">
        <f>F23-F24</f>
        <v>7287</v>
      </c>
      <c r="G25" s="14"/>
      <c r="H25" s="14"/>
    </row>
    <row r="26" spans="1:8" ht="15.75">
      <c r="A26" s="70" t="s">
        <v>50</v>
      </c>
      <c r="B26" s="75">
        <f>inputPrYr!E48</f>
        <v>2515</v>
      </c>
      <c r="C26" s="63"/>
      <c r="D26" s="75">
        <f>inputPrYr!E23</f>
        <v>2619</v>
      </c>
      <c r="E26" s="14"/>
      <c r="F26" s="112" t="s">
        <v>180</v>
      </c>
      <c r="G26" s="14"/>
      <c r="H26" s="14"/>
    </row>
    <row r="27" spans="1:8" ht="15.75">
      <c r="A27" s="22" t="s">
        <v>51</v>
      </c>
      <c r="B27" s="14"/>
      <c r="C27" s="63"/>
      <c r="D27" s="14"/>
      <c r="E27" s="63"/>
      <c r="F27" s="14"/>
      <c r="G27" s="14"/>
      <c r="H27" s="14"/>
    </row>
    <row r="28" spans="1:8" ht="15.75">
      <c r="A28" s="70" t="s">
        <v>52</v>
      </c>
      <c r="B28" s="75">
        <f>inputPrYr!E49</f>
        <v>1142792</v>
      </c>
      <c r="C28" s="14"/>
      <c r="D28" s="75">
        <f>inputOth!E26</f>
        <v>1154297</v>
      </c>
      <c r="E28" s="14"/>
      <c r="F28" s="75">
        <f>inputOth!E7</f>
        <v>1145006</v>
      </c>
      <c r="G28" s="14"/>
      <c r="H28" s="14"/>
    </row>
    <row r="29" spans="1:8" ht="15.75">
      <c r="A29" s="22" t="s">
        <v>53</v>
      </c>
      <c r="B29" s="14"/>
      <c r="C29" s="14"/>
      <c r="D29" s="14"/>
      <c r="E29" s="14"/>
      <c r="F29" s="14"/>
      <c r="G29" s="14"/>
      <c r="H29" s="14"/>
    </row>
    <row r="30" spans="1:8" ht="15.75">
      <c r="A30" s="22" t="s">
        <v>54</v>
      </c>
      <c r="B30" s="113">
        <f>H1-3</f>
        <v>2009</v>
      </c>
      <c r="C30" s="14"/>
      <c r="D30" s="113">
        <f>H1-2</f>
        <v>2010</v>
      </c>
      <c r="E30" s="14"/>
      <c r="F30" s="113">
        <f>H1-1</f>
        <v>2011</v>
      </c>
      <c r="G30" s="14"/>
      <c r="H30" s="14"/>
    </row>
    <row r="31" spans="1:8" ht="15.75">
      <c r="A31" s="22" t="s">
        <v>55</v>
      </c>
      <c r="B31" s="265">
        <f>inputPrYr!D53</f>
        <v>0</v>
      </c>
      <c r="C31" s="48"/>
      <c r="D31" s="265">
        <f>inputPrYr!E53</f>
        <v>0</v>
      </c>
      <c r="E31" s="48"/>
      <c r="F31" s="265">
        <v>0</v>
      </c>
      <c r="G31" s="14"/>
      <c r="H31" s="14"/>
    </row>
    <row r="32" spans="1:8" ht="15.75">
      <c r="A32" s="22" t="s">
        <v>34</v>
      </c>
      <c r="B32" s="265">
        <f>inputPrYr!D54</f>
        <v>0</v>
      </c>
      <c r="C32" s="48"/>
      <c r="D32" s="265">
        <f>inputPrYr!E54</f>
        <v>0</v>
      </c>
      <c r="E32" s="48"/>
      <c r="F32" s="265">
        <v>0</v>
      </c>
      <c r="G32" s="14"/>
      <c r="H32" s="14"/>
    </row>
    <row r="33" spans="1:8" ht="15.75">
      <c r="A33" s="22" t="s">
        <v>56</v>
      </c>
      <c r="B33" s="265">
        <f>inputPrYr!D55</f>
        <v>0</v>
      </c>
      <c r="C33" s="48"/>
      <c r="D33" s="265">
        <f>inputPrYr!E55</f>
        <v>0</v>
      </c>
      <c r="E33" s="48"/>
      <c r="F33" s="265">
        <v>0</v>
      </c>
      <c r="G33" s="14"/>
      <c r="H33" s="14"/>
    </row>
    <row r="34" spans="1:8" s="230" customFormat="1" ht="16.5" thickBot="1">
      <c r="A34" s="67" t="s">
        <v>57</v>
      </c>
      <c r="B34" s="266">
        <f>SUM(B31:B33)</f>
        <v>0</v>
      </c>
      <c r="C34" s="267"/>
      <c r="D34" s="266">
        <f>SUM(D31:D33)</f>
        <v>0</v>
      </c>
      <c r="E34" s="267"/>
      <c r="F34" s="266">
        <f>SUM(F31:F33)</f>
        <v>0</v>
      </c>
      <c r="G34" s="17"/>
      <c r="H34" s="17"/>
    </row>
    <row r="35" spans="1:8" ht="16.5" thickTop="1">
      <c r="A35" s="22" t="s">
        <v>58</v>
      </c>
      <c r="B35" s="48"/>
      <c r="C35" s="48"/>
      <c r="D35" s="48"/>
      <c r="E35" s="48"/>
      <c r="F35" s="48"/>
      <c r="G35" s="14"/>
      <c r="H35" s="14"/>
    </row>
    <row r="36" spans="1:8" ht="15.75">
      <c r="A36" s="14"/>
      <c r="B36" s="14"/>
      <c r="C36" s="14"/>
      <c r="D36" s="14"/>
      <c r="E36" s="14"/>
      <c r="F36" s="14"/>
      <c r="G36" s="14"/>
      <c r="H36" s="14"/>
    </row>
    <row r="37" spans="1:8" ht="15.75">
      <c r="A37" s="115"/>
      <c r="B37" s="115"/>
      <c r="C37" s="14"/>
      <c r="D37" s="14"/>
      <c r="E37" s="14"/>
      <c r="F37" s="14"/>
      <c r="G37" s="14"/>
      <c r="H37" s="14"/>
    </row>
    <row r="38" spans="1:8" ht="15.75">
      <c r="A38" s="100" t="s">
        <v>59</v>
      </c>
      <c r="B38" s="98"/>
      <c r="C38" s="14"/>
      <c r="D38" s="14"/>
      <c r="E38" s="14"/>
      <c r="F38" s="14"/>
      <c r="G38" s="14"/>
      <c r="H38" s="14"/>
    </row>
    <row r="39" spans="1:8" ht="15.75">
      <c r="A39" s="14"/>
      <c r="B39" s="14"/>
      <c r="C39" s="14"/>
      <c r="D39" s="14"/>
      <c r="E39" s="14"/>
      <c r="F39" s="14"/>
      <c r="G39" s="14"/>
      <c r="H39" s="14"/>
    </row>
    <row r="40" spans="1:8" ht="15.75">
      <c r="A40" s="14"/>
      <c r="B40" s="53" t="s">
        <v>23</v>
      </c>
      <c r="C40" s="74">
        <v>5</v>
      </c>
      <c r="D40" s="14"/>
      <c r="E40" s="14"/>
      <c r="F40" s="14"/>
      <c r="G40" s="14"/>
      <c r="H40" s="14"/>
    </row>
    <row r="41" spans="1:3" ht="15.75">
      <c r="A41" s="73"/>
      <c r="B41" s="73"/>
      <c r="C41" s="73"/>
    </row>
    <row r="43" spans="1:7" ht="15.75">
      <c r="A43" s="73"/>
      <c r="B43" s="73"/>
      <c r="C43" s="73"/>
      <c r="D43" s="73"/>
      <c r="E43" s="73"/>
      <c r="F43" s="73"/>
      <c r="G43" s="73"/>
    </row>
    <row r="44" ht="15.75">
      <c r="H44" s="73"/>
    </row>
    <row r="65" spans="1:6" ht="15.75">
      <c r="A65" s="73"/>
      <c r="B65" s="73"/>
      <c r="C65" s="73"/>
      <c r="D65" s="73"/>
      <c r="E65" s="73"/>
      <c r="F65" s="73"/>
    </row>
    <row r="72" spans="1:7" ht="15.75">
      <c r="A72" s="73"/>
      <c r="B72" s="73"/>
      <c r="C72" s="73"/>
      <c r="D72" s="73"/>
      <c r="E72" s="73"/>
      <c r="F72" s="73"/>
      <c r="G72" s="73"/>
    </row>
    <row r="73" ht="15.75">
      <c r="H73" s="73"/>
    </row>
    <row r="78" spans="1:7" ht="15.75">
      <c r="A78" s="73"/>
      <c r="B78" s="73"/>
      <c r="C78" s="73"/>
      <c r="D78" s="73"/>
      <c r="E78" s="73"/>
      <c r="F78" s="73"/>
      <c r="G78" s="73"/>
    </row>
    <row r="79" ht="15.75">
      <c r="H79" s="73"/>
    </row>
    <row r="99" spans="1:7" ht="15.75">
      <c r="A99" s="73"/>
      <c r="B99" s="73"/>
      <c r="C99" s="73"/>
      <c r="D99" s="73"/>
      <c r="E99" s="73"/>
      <c r="F99" s="73"/>
      <c r="G99" s="73"/>
    </row>
  </sheetData>
  <sheetProtection/>
  <mergeCells count="5">
    <mergeCell ref="A3:H3"/>
    <mergeCell ref="G14:G16"/>
    <mergeCell ref="A6:H6"/>
    <mergeCell ref="A5:H5"/>
    <mergeCell ref="A4:H4"/>
  </mergeCells>
  <printOptions/>
  <pageMargins left="0.5" right="0.52" top="0.96" bottom="0.5" header="0.41" footer="0.3"/>
  <pageSetup blackAndWhite="1" fitToHeight="1" fitToWidth="1" horizontalDpi="300" verticalDpi="300" orientation="portrait" scale="75" r:id="rId1"/>
  <headerFooter alignWithMargins="0">
    <oddHeader>&amp;RState of Kansas
Township
</oddHeader>
    <oddFooter>&amp;Lrevised 8/25/09</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F36"/>
  <sheetViews>
    <sheetView zoomScalePageLayoutView="0" workbookViewId="0" topLeftCell="A1">
      <selection activeCell="D23" sqref="D23"/>
    </sheetView>
  </sheetViews>
  <sheetFormatPr defaultColWidth="8.796875" defaultRowHeight="15.75"/>
  <cols>
    <col min="1" max="1" width="10.59765625" style="12" customWidth="1"/>
    <col min="2" max="2" width="13.69921875" style="12" customWidth="1"/>
    <col min="3" max="5" width="12.69921875" style="12" customWidth="1"/>
    <col min="6" max="16384" width="8.796875" style="12" customWidth="1"/>
  </cols>
  <sheetData>
    <row r="1" spans="1:6" ht="15.75">
      <c r="A1" s="248" t="str">
        <f>inputPrYr!D2</f>
        <v>Blaine Township</v>
      </c>
      <c r="B1" s="14"/>
      <c r="C1" s="14"/>
      <c r="D1" s="14"/>
      <c r="E1" s="14"/>
      <c r="F1" s="14">
        <f>inputPrYr!D5</f>
        <v>2012</v>
      </c>
    </row>
    <row r="2" spans="1:6" ht="15.75">
      <c r="A2" s="14"/>
      <c r="B2" s="14"/>
      <c r="C2" s="14"/>
      <c r="D2" s="14"/>
      <c r="E2" s="14"/>
      <c r="F2" s="14"/>
    </row>
    <row r="3" spans="1:6" ht="15.75">
      <c r="A3" s="14"/>
      <c r="B3" s="292" t="str">
        <f>CONCATENATE("",F1," Neighborhood Revitalization Rebate")</f>
        <v>2012 Neighborhood Revitalization Rebate</v>
      </c>
      <c r="C3" s="300"/>
      <c r="D3" s="300"/>
      <c r="E3" s="300"/>
      <c r="F3" s="14"/>
    </row>
    <row r="4" spans="1:6" ht="15.75">
      <c r="A4" s="14"/>
      <c r="B4" s="14"/>
      <c r="C4" s="14"/>
      <c r="D4" s="14"/>
      <c r="E4" s="14"/>
      <c r="F4" s="14"/>
    </row>
    <row r="5" spans="1:6" ht="51" customHeight="1">
      <c r="A5" s="14"/>
      <c r="B5" s="81" t="str">
        <f>CONCATENATE("Budgeted Funds                            for ",F1,"")</f>
        <v>Budgeted Funds                            for 2012</v>
      </c>
      <c r="C5" s="81" t="str">
        <f>CONCATENATE("",F1-1," Ad Valorem before Rebate**")</f>
        <v>2011 Ad Valorem before Rebate**</v>
      </c>
      <c r="D5" s="82" t="str">
        <f>CONCATENATE("",F1-1," Mil Rate before Rebate")</f>
        <v>2011 Mil Rate before Rebate</v>
      </c>
      <c r="E5" s="83" t="str">
        <f>CONCATENATE("Estimate ",F1," NR Rebate")</f>
        <v>Estimate 2012 NR Rebate</v>
      </c>
      <c r="F5" s="84"/>
    </row>
    <row r="6" spans="1:6" ht="15.75">
      <c r="A6" s="14"/>
      <c r="B6" s="70" t="str">
        <f>inputPrYr!B16</f>
        <v>General</v>
      </c>
      <c r="C6" s="85">
        <v>2638</v>
      </c>
      <c r="D6" s="86">
        <f>IF(C6&gt;0,C6/$D$18,"0.000")</f>
        <v>2.3039180580713112</v>
      </c>
      <c r="E6" s="87">
        <f>IF(C6&gt;0,ROUND(D6*$D$22,0),"0")</f>
        <v>5</v>
      </c>
      <c r="F6" s="84"/>
    </row>
    <row r="7" spans="1:6" ht="15.75">
      <c r="A7" s="14"/>
      <c r="B7" s="70"/>
      <c r="C7" s="85"/>
      <c r="D7" s="86">
        <f aca="true" t="shared" si="0" ref="D7:D12">IF(C7&gt;0,C7/$D$18,"")</f>
      </c>
      <c r="E7" s="87">
        <f aca="true" t="shared" si="1" ref="E7:E12">IF(C7&gt;0,ROUND(D7*$D$22,0),"")</f>
      </c>
      <c r="F7" s="84"/>
    </row>
    <row r="8" spans="1:6" ht="15.75">
      <c r="A8" s="14"/>
      <c r="B8" s="70"/>
      <c r="C8" s="85"/>
      <c r="D8" s="86">
        <f t="shared" si="0"/>
      </c>
      <c r="E8" s="87">
        <f t="shared" si="1"/>
      </c>
      <c r="F8" s="84"/>
    </row>
    <row r="9" spans="1:6" ht="15.75">
      <c r="A9" s="14"/>
      <c r="B9" s="70"/>
      <c r="C9" s="85"/>
      <c r="D9" s="86">
        <f t="shared" si="0"/>
      </c>
      <c r="E9" s="87">
        <f t="shared" si="1"/>
      </c>
      <c r="F9" s="84"/>
    </row>
    <row r="10" spans="1:6" ht="15.75">
      <c r="A10" s="14"/>
      <c r="B10" s="70"/>
      <c r="C10" s="88"/>
      <c r="D10" s="86">
        <f t="shared" si="0"/>
      </c>
      <c r="E10" s="87">
        <f t="shared" si="1"/>
      </c>
      <c r="F10" s="84"/>
    </row>
    <row r="11" spans="1:6" ht="15.75">
      <c r="A11" s="14"/>
      <c r="B11" s="70"/>
      <c r="C11" s="88"/>
      <c r="D11" s="86">
        <f t="shared" si="0"/>
      </c>
      <c r="E11" s="87">
        <f t="shared" si="1"/>
      </c>
      <c r="F11" s="84"/>
    </row>
    <row r="12" spans="1:6" ht="15.75">
      <c r="A12" s="14"/>
      <c r="B12" s="70"/>
      <c r="C12" s="88"/>
      <c r="D12" s="86">
        <f t="shared" si="0"/>
      </c>
      <c r="E12" s="87">
        <f t="shared" si="1"/>
      </c>
      <c r="F12" s="84"/>
    </row>
    <row r="13" spans="1:6" s="264" customFormat="1" ht="17.25" thickBot="1">
      <c r="A13" s="17"/>
      <c r="B13" s="260" t="s">
        <v>152</v>
      </c>
      <c r="C13" s="261">
        <f>SUM(C6:C12)</f>
        <v>2638</v>
      </c>
      <c r="D13" s="262">
        <f>SUM(D6:D12)</f>
        <v>2.3039180580713112</v>
      </c>
      <c r="E13" s="261">
        <f>SUM(E6:E12)</f>
        <v>5</v>
      </c>
      <c r="F13" s="263"/>
    </row>
    <row r="14" spans="1:6" ht="16.5" thickTop="1">
      <c r="A14" s="14"/>
      <c r="B14" s="14"/>
      <c r="C14" s="14"/>
      <c r="D14" s="14"/>
      <c r="E14" s="14"/>
      <c r="F14" s="84"/>
    </row>
    <row r="15" spans="1:6" ht="15.75">
      <c r="A15" s="14"/>
      <c r="B15" s="14"/>
      <c r="C15" s="14"/>
      <c r="D15" s="14"/>
      <c r="E15" s="14"/>
      <c r="F15" s="84"/>
    </row>
    <row r="16" spans="1:6" ht="15.75">
      <c r="A16" s="348" t="str">
        <f>CONCATENATE("",F1-1," July 1 Valuation:")</f>
        <v>2011 July 1 Valuation:</v>
      </c>
      <c r="B16" s="347"/>
      <c r="C16" s="348"/>
      <c r="D16" s="89">
        <f>inputOth!E7</f>
        <v>1145006</v>
      </c>
      <c r="E16" s="14"/>
      <c r="F16" s="84"/>
    </row>
    <row r="17" spans="1:6" ht="15.75">
      <c r="A17" s="14"/>
      <c r="B17" s="14"/>
      <c r="C17" s="14"/>
      <c r="D17" s="14"/>
      <c r="E17" s="14"/>
      <c r="F17" s="84"/>
    </row>
    <row r="18" spans="1:6" ht="15.75">
      <c r="A18" s="14"/>
      <c r="B18" s="348" t="s">
        <v>188</v>
      </c>
      <c r="C18" s="348"/>
      <c r="D18" s="90">
        <f>IF(D16&gt;0,(D16*0.001),"")</f>
        <v>1145.006</v>
      </c>
      <c r="E18" s="14"/>
      <c r="F18" s="84"/>
    </row>
    <row r="19" spans="1:6" ht="15.75">
      <c r="A19" s="14"/>
      <c r="B19" s="48"/>
      <c r="C19" s="48"/>
      <c r="D19" s="91"/>
      <c r="E19" s="14"/>
      <c r="F19" s="84"/>
    </row>
    <row r="20" spans="1:6" ht="15.75">
      <c r="A20" s="346" t="s">
        <v>189</v>
      </c>
      <c r="B20" s="291"/>
      <c r="C20" s="291"/>
      <c r="D20" s="92">
        <f>inputOth!E13</f>
        <v>2237</v>
      </c>
      <c r="E20" s="93"/>
      <c r="F20" s="93"/>
    </row>
    <row r="21" spans="1:6" ht="15.75">
      <c r="A21" s="93"/>
      <c r="B21" s="93"/>
      <c r="C21" s="93"/>
      <c r="D21" s="94"/>
      <c r="E21" s="93"/>
      <c r="F21" s="93"/>
    </row>
    <row r="22" spans="1:6" ht="15.75">
      <c r="A22" s="93"/>
      <c r="B22" s="346" t="s">
        <v>190</v>
      </c>
      <c r="C22" s="347"/>
      <c r="D22" s="95">
        <f>IF(D20&gt;0,(D20*0.001),"")</f>
        <v>2.237</v>
      </c>
      <c r="E22" s="93"/>
      <c r="F22" s="93"/>
    </row>
    <row r="23" spans="1:6" ht="15.75">
      <c r="A23" s="93"/>
      <c r="B23" s="93"/>
      <c r="C23" s="93"/>
      <c r="D23" s="93"/>
      <c r="E23" s="93"/>
      <c r="F23" s="93"/>
    </row>
    <row r="24" spans="1:6" ht="15.75">
      <c r="A24" s="93"/>
      <c r="B24" s="93"/>
      <c r="C24" s="93"/>
      <c r="D24" s="93"/>
      <c r="E24" s="93"/>
      <c r="F24" s="93"/>
    </row>
    <row r="25" spans="1:6" ht="15.75">
      <c r="A25" s="93"/>
      <c r="B25" s="93"/>
      <c r="C25" s="93"/>
      <c r="D25" s="93"/>
      <c r="E25" s="93"/>
      <c r="F25" s="93"/>
    </row>
    <row r="26" spans="1:6" ht="15.75">
      <c r="A26" s="241" t="str">
        <f>CONCATENATE("**This information comes from the ",F1," Budget Summary page.  See instructions tab #11 for completing")</f>
        <v>**This information comes from the 2012 Budget Summary page.  See instructions tab #11 for completing</v>
      </c>
      <c r="B26" s="93"/>
      <c r="C26" s="93"/>
      <c r="D26" s="93"/>
      <c r="E26" s="93"/>
      <c r="F26" s="93"/>
    </row>
    <row r="27" spans="1:6" ht="15.75">
      <c r="A27" s="241" t="s">
        <v>1</v>
      </c>
      <c r="B27" s="93"/>
      <c r="C27" s="93"/>
      <c r="D27" s="93"/>
      <c r="E27" s="93"/>
      <c r="F27" s="93"/>
    </row>
    <row r="28" spans="1:6" ht="15.75">
      <c r="A28" s="241"/>
      <c r="B28" s="93"/>
      <c r="C28" s="93"/>
      <c r="D28" s="93"/>
      <c r="E28" s="93"/>
      <c r="F28" s="93"/>
    </row>
    <row r="29" spans="1:6" ht="15.75">
      <c r="A29" s="241"/>
      <c r="B29" s="93"/>
      <c r="C29" s="93"/>
      <c r="D29" s="93"/>
      <c r="E29" s="93"/>
      <c r="F29" s="93"/>
    </row>
    <row r="30" spans="1:6" ht="15.75">
      <c r="A30" s="241"/>
      <c r="B30" s="93"/>
      <c r="C30" s="93"/>
      <c r="D30" s="93"/>
      <c r="E30" s="93"/>
      <c r="F30" s="93"/>
    </row>
    <row r="31" spans="1:6" ht="15.75">
      <c r="A31" s="241"/>
      <c r="B31" s="93"/>
      <c r="C31" s="93"/>
      <c r="D31" s="93"/>
      <c r="E31" s="93"/>
      <c r="F31" s="93"/>
    </row>
    <row r="32" spans="1:6" ht="15.75">
      <c r="A32" s="241"/>
      <c r="B32" s="93"/>
      <c r="C32" s="93"/>
      <c r="D32" s="93"/>
      <c r="E32" s="93"/>
      <c r="F32" s="93"/>
    </row>
    <row r="33" spans="1:6" ht="15.75">
      <c r="A33" s="241"/>
      <c r="B33" s="93"/>
      <c r="C33" s="93"/>
      <c r="D33" s="93"/>
      <c r="E33" s="93"/>
      <c r="F33" s="93"/>
    </row>
    <row r="34" spans="1:6" ht="15.75">
      <c r="A34" s="93"/>
      <c r="B34" s="93"/>
      <c r="C34" s="93"/>
      <c r="D34" s="93"/>
      <c r="E34" s="93"/>
      <c r="F34" s="93"/>
    </row>
    <row r="35" spans="1:6" ht="15.75">
      <c r="A35" s="93"/>
      <c r="B35" s="79" t="s">
        <v>23</v>
      </c>
      <c r="C35" s="65">
        <v>6</v>
      </c>
      <c r="D35" s="93"/>
      <c r="E35" s="93"/>
      <c r="F35" s="93"/>
    </row>
    <row r="36" spans="1:6" ht="15.75">
      <c r="A36" s="84"/>
      <c r="B36" s="14"/>
      <c r="C36" s="14"/>
      <c r="D36" s="96"/>
      <c r="E36" s="84"/>
      <c r="F36" s="84"/>
    </row>
  </sheetData>
  <sheetProtection/>
  <mergeCells count="5">
    <mergeCell ref="B22:C22"/>
    <mergeCell ref="B3:E3"/>
    <mergeCell ref="A16:C16"/>
    <mergeCell ref="B18:C18"/>
    <mergeCell ref="A20:C20"/>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oddFooter>&amp;Lrevised 12/28/09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Sharon</cp:lastModifiedBy>
  <cp:lastPrinted>2011-06-27T21:26:59Z</cp:lastPrinted>
  <dcterms:created xsi:type="dcterms:W3CDTF">1998-08-26T16:30:41Z</dcterms:created>
  <dcterms:modified xsi:type="dcterms:W3CDTF">2011-12-08T16:31:14Z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Version">
    <vt:i4>30</vt:i4>
  </property>
  <property fmtid="{D5CDD505-2E9C-101B-9397-08002B2CF9AE}" pid="3" name="tabName">
    <vt:lpwstr>B</vt:lpwstr>
  </property>
  <property fmtid="{D5CDD505-2E9C-101B-9397-08002B2CF9AE}" pid="4" name="tabIndex">
    <vt:lpwstr/>
  </property>
  <property fmtid="{D5CDD505-2E9C-101B-9397-08002B2CF9AE}" pid="5" name="workpaperIndex">
    <vt:lpwstr/>
  </property>
  <property fmtid="{D5CDD505-2E9C-101B-9397-08002B2CF9AE}" pid="6" name="Refresh">
    <vt:bool>true</vt:bool>
  </property>
  <property fmtid="{D5CDD505-2E9C-101B-9397-08002B2CF9AE}" pid="7" name="Refresh97">
    <vt:bool>false</vt:bool>
  </property>
</Properties>
</file>