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89" firstSheet="2"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debt" sheetId="10" r:id="rId10"/>
    <sheet name="gen" sheetId="11" r:id="rId11"/>
    <sheet name="DebtService" sheetId="12" r:id="rId12"/>
    <sheet name="road" sheetId="13" r:id="rId13"/>
    <sheet name="Cemetery" sheetId="14" r:id="rId14"/>
    <sheet name="summ_pdf" sheetId="15" r:id="rId15"/>
    <sheet name="summ" sheetId="16" r:id="rId16"/>
    <sheet name="SpecRoad&amp;Noxious" sheetId="17" r:id="rId17"/>
    <sheet name="TransferStatutes" sheetId="18" r:id="rId18"/>
    <sheet name="levypage10" sheetId="19" r:id="rId19"/>
    <sheet name="levypage11" sheetId="20" r:id="rId20"/>
    <sheet name="levypage12"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15">'summ'!$A$1:$H$52</definedName>
  </definedNames>
  <calcPr fullCalcOnLoad="1"/>
</workbook>
</file>

<file path=xl/comments11.xml><?xml version="1.0" encoding="utf-8"?>
<comments xmlns="http://schemas.openxmlformats.org/spreadsheetml/2006/main">
  <authors>
    <author>lleggett</author>
  </authors>
  <commentList>
    <comment ref="C24" authorId="0">
      <text>
        <r>
          <rPr>
            <b/>
            <sz val="8"/>
            <rFont val="Tahoma"/>
            <family val="0"/>
          </rPr>
          <t>lleggett:</t>
        </r>
        <r>
          <rPr>
            <sz val="8"/>
            <rFont val="Tahoma"/>
            <family val="0"/>
          </rPr>
          <t xml:space="preserve">
</t>
        </r>
      </text>
    </comment>
  </commentList>
</comments>
</file>

<file path=xl/sharedStrings.xml><?xml version="1.0" encoding="utf-8"?>
<sst xmlns="http://schemas.openxmlformats.org/spreadsheetml/2006/main" count="1514" uniqueCount="852">
  <si>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</si>
  <si>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</si>
  <si>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</si>
  <si>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</si>
  <si>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</si>
  <si>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</si>
  <si>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</si>
  <si>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</si>
  <si>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</si>
  <si>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</si>
  <si>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</si>
  <si>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</si>
  <si>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</si>
  <si>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</si>
  <si>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</si>
  <si>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</si>
  <si>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</si>
  <si>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</si>
  <si>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</si>
  <si>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</si>
  <si>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</si>
  <si>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</si>
  <si>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</si>
  <si>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</si>
  <si>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</si>
  <si>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</si>
  <si>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</si>
  <si>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</si>
  <si>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</si>
  <si>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</si>
  <si>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</si>
  <si>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</si>
  <si>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</si>
  <si>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</si>
  <si>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</si>
  <si>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</si>
  <si>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</si>
  <si>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</si>
  <si>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</si>
  <si>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</si>
  <si>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</si>
  <si>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</si>
  <si>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</si>
  <si>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</si>
  <si>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</si>
  <si>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</si>
  <si>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</si>
  <si>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</si>
  <si>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</si>
  <si>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</si>
  <si>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</si>
  <si>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</si>
  <si>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</si>
  <si>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</si>
  <si>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</si>
  <si>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</si>
  <si>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</si>
  <si>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</si>
  <si>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</si>
  <si>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</si>
  <si>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</si>
  <si>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</si>
  <si>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</si>
  <si>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</si>
  <si>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</si>
  <si>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</si>
  <si>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</si>
  <si>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</si>
  <si>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</si>
  <si>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</si>
  <si>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</si>
  <si>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</si>
  <si>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</si>
  <si>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</si>
  <si>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</si>
  <si>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</si>
  <si>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</si>
  <si>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</si>
  <si>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</si>
  <si>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</si>
  <si>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</si>
  <si>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</si>
  <si>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</si>
  <si>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</si>
  <si>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</si>
  <si>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</si>
  <si>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</si>
  <si>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</si>
  <si>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</si>
  <si>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</si>
  <si>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</si>
  <si>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</si>
  <si>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</si>
  <si>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</si>
  <si>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</si>
  <si>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Labor</t>
  </si>
  <si>
    <t>Operating Expenses</t>
  </si>
  <si>
    <t>Materials Supplies</t>
  </si>
  <si>
    <t xml:space="preserve">Insurance </t>
  </si>
  <si>
    <t>Materials/Supplies</t>
  </si>
  <si>
    <t>Kechi Township</t>
  </si>
  <si>
    <t>Sedgwick County</t>
  </si>
  <si>
    <t>City of Kechi</t>
  </si>
  <si>
    <t>Cemetery</t>
  </si>
  <si>
    <t>Excise Tax</t>
  </si>
  <si>
    <t>Refund</t>
  </si>
  <si>
    <t>Transfer from Cemetery Fund</t>
  </si>
  <si>
    <t>O/C Fees</t>
  </si>
  <si>
    <t>Lot Sales</t>
  </si>
  <si>
    <t>Permits</t>
  </si>
  <si>
    <t>Rent</t>
  </si>
  <si>
    <t>Employee Benefit</t>
  </si>
  <si>
    <t xml:space="preserve">Land Purchase </t>
  </si>
  <si>
    <t>Transfer to General Fund</t>
  </si>
  <si>
    <t>mv Excise Tax</t>
  </si>
  <si>
    <t>August 9, 2011</t>
  </si>
  <si>
    <t>10 a.m.</t>
  </si>
  <si>
    <t>900 E 69th St North, Wichita, Ks</t>
  </si>
  <si>
    <t>Sedgwick County Clerk's Office, 525 N Main, Wichita</t>
  </si>
  <si>
    <t>Cat Backhoe Loader</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</si>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</sst>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8"/>
      <name val="Tahoma"/>
      <family val="0"/>
    </font>
    <font>
      <b/>
      <sz val="8"/>
      <name val="Tahoma"/>
      <family val="0"/>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ourier Ne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6"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7"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9" fillId="0" borderId="0" xfId="0" applyFont="1" applyAlignment="1">
      <alignment horizontal="left"/>
    </xf>
    <xf numFmtId="0" fontId="36" fillId="34" borderId="35" xfId="0" applyFont="1" applyFill="1" applyBorder="1" applyAlignment="1">
      <alignment/>
    </xf>
    <xf numFmtId="0" fontId="36" fillId="34" borderId="36" xfId="0" applyFont="1" applyFill="1" applyBorder="1" applyAlignment="1">
      <alignment/>
    </xf>
    <xf numFmtId="187" fontId="36" fillId="33" borderId="12" xfId="0" applyNumberFormat="1" applyFont="1" applyFill="1" applyBorder="1" applyAlignment="1" applyProtection="1">
      <alignment horizontal="center"/>
      <protection locked="0"/>
    </xf>
    <xf numFmtId="0" fontId="37" fillId="34" borderId="0" xfId="0" applyFont="1" applyFill="1" applyAlignment="1">
      <alignment horizontal="center" wrapText="1"/>
    </xf>
    <xf numFmtId="0" fontId="36"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6" fillId="34" borderId="0" xfId="0" applyFont="1" applyFill="1" applyAlignment="1">
      <alignment wrapText="1"/>
    </xf>
    <xf numFmtId="0" fontId="37" fillId="34" borderId="30" xfId="0" applyFont="1" applyFill="1" applyBorder="1" applyAlignment="1">
      <alignment horizontal="center" vertical="center"/>
    </xf>
    <xf numFmtId="187" fontId="36" fillId="34" borderId="0" xfId="0" applyNumberFormat="1" applyFont="1" applyFill="1" applyAlignment="1">
      <alignment/>
    </xf>
    <xf numFmtId="0" fontId="36" fillId="0" borderId="0" xfId="0" applyFont="1" applyAlignment="1">
      <alignment wrapText="1"/>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7" fillId="34" borderId="0" xfId="0" applyFont="1" applyFill="1" applyBorder="1" applyAlignment="1">
      <alignment horizontal="center" wrapText="1"/>
    </xf>
    <xf numFmtId="5" fontId="36" fillId="34" borderId="12" xfId="0" applyNumberFormat="1" applyFont="1" applyFill="1" applyBorder="1" applyAlignment="1">
      <alignment horizontal="center"/>
    </xf>
    <xf numFmtId="0" fontId="37" fillId="0" borderId="0" xfId="0" applyFont="1" applyAlignment="1">
      <alignment horizontal="center" wrapText="1"/>
    </xf>
    <xf numFmtId="0" fontId="36" fillId="0" borderId="30" xfId="0" applyFont="1" applyBorder="1" applyAlignment="1">
      <alignment horizontal="center" vertical="center"/>
    </xf>
    <xf numFmtId="0" fontId="36" fillId="34" borderId="0" xfId="0" applyFont="1" applyFill="1" applyBorder="1" applyAlignment="1">
      <alignment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6" fillId="34" borderId="15" xfId="0" applyFont="1" applyFill="1" applyBorder="1" applyAlignment="1">
      <alignment horizontal="center"/>
    </xf>
    <xf numFmtId="0" fontId="36" fillId="34" borderId="0" xfId="0" applyFont="1" applyFill="1" applyBorder="1" applyAlignment="1">
      <alignment horizontal="center"/>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190500</xdr:colOff>
      <xdr:row>56</xdr:row>
      <xdr:rowOff>161925</xdr:rowOff>
    </xdr:to>
    <xdr:pic>
      <xdr:nvPicPr>
        <xdr:cNvPr id="1" name="Picture 1"/>
        <xdr:cNvPicPr preferRelativeResize="1">
          <a:picLocks noChangeAspect="1"/>
        </xdr:cNvPicPr>
      </xdr:nvPicPr>
      <xdr:blipFill>
        <a:blip r:embed="rId1"/>
        <a:stretch>
          <a:fillRect/>
        </a:stretch>
      </xdr:blipFill>
      <xdr:spPr>
        <a:xfrm>
          <a:off x="0" y="0"/>
          <a:ext cx="7734300" cy="11363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209550</xdr:colOff>
      <xdr:row>54</xdr:row>
      <xdr:rowOff>85725</xdr:rowOff>
    </xdr:to>
    <xdr:pic>
      <xdr:nvPicPr>
        <xdr:cNvPr id="1" name="Picture 1"/>
        <xdr:cNvPicPr preferRelativeResize="1">
          <a:picLocks noChangeAspect="1"/>
        </xdr:cNvPicPr>
      </xdr:nvPicPr>
      <xdr:blipFill>
        <a:blip r:embed="rId1"/>
        <a:stretch>
          <a:fillRect/>
        </a:stretch>
      </xdr:blipFill>
      <xdr:spPr>
        <a:xfrm>
          <a:off x="0" y="0"/>
          <a:ext cx="7753350" cy="10887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823</v>
      </c>
    </row>
    <row r="3" ht="34.5" customHeight="1">
      <c r="A3" s="219" t="s">
        <v>610</v>
      </c>
    </row>
    <row r="4" ht="15.75">
      <c r="A4" s="220"/>
    </row>
    <row r="5" ht="52.5" customHeight="1">
      <c r="A5" s="221" t="s">
        <v>824</v>
      </c>
    </row>
    <row r="6" ht="15.75">
      <c r="A6" s="221"/>
    </row>
    <row r="7" ht="51" customHeight="1">
      <c r="A7" s="221" t="s">
        <v>843</v>
      </c>
    </row>
    <row r="8" ht="15.75">
      <c r="A8" s="221"/>
    </row>
    <row r="9" ht="15.75">
      <c r="A9" s="221" t="s">
        <v>611</v>
      </c>
    </row>
    <row r="12" ht="15.75">
      <c r="A12" s="218" t="s">
        <v>671</v>
      </c>
    </row>
    <row r="14" ht="15.75">
      <c r="A14" s="220" t="s">
        <v>672</v>
      </c>
    </row>
    <row r="17" ht="38.25" customHeight="1">
      <c r="A17" s="222" t="s">
        <v>796</v>
      </c>
    </row>
    <row r="18" ht="9.75" customHeight="1">
      <c r="A18" s="222"/>
    </row>
    <row r="21" ht="15.75">
      <c r="A21" s="218" t="s">
        <v>612</v>
      </c>
    </row>
    <row r="23" ht="34.5" customHeight="1">
      <c r="A23" s="221" t="s">
        <v>673</v>
      </c>
    </row>
    <row r="24" ht="9.75" customHeight="1">
      <c r="A24" s="221"/>
    </row>
    <row r="25" ht="15.75">
      <c r="A25" s="223" t="s">
        <v>613</v>
      </c>
    </row>
    <row r="26" ht="15.75">
      <c r="A26" s="221"/>
    </row>
    <row r="27" ht="17.25" customHeight="1">
      <c r="A27" s="224" t="s">
        <v>614</v>
      </c>
    </row>
    <row r="28" ht="17.25" customHeight="1">
      <c r="A28" s="225"/>
    </row>
    <row r="29" ht="87.75" customHeight="1">
      <c r="A29" s="226" t="s">
        <v>649</v>
      </c>
    </row>
    <row r="31" ht="15.75">
      <c r="A31" s="227" t="s">
        <v>615</v>
      </c>
    </row>
    <row r="33" ht="15.75">
      <c r="A33" s="155" t="s">
        <v>674</v>
      </c>
    </row>
    <row r="35" ht="15.75">
      <c r="A35" s="221" t="s">
        <v>616</v>
      </c>
    </row>
    <row r="36" ht="15.75">
      <c r="A36" s="221"/>
    </row>
    <row r="37" ht="72" customHeight="1">
      <c r="A37" s="221" t="s">
        <v>73</v>
      </c>
    </row>
    <row r="39" ht="15.75">
      <c r="A39" s="218" t="s">
        <v>617</v>
      </c>
    </row>
    <row r="41" ht="70.5" customHeight="1">
      <c r="A41" s="221" t="s">
        <v>30</v>
      </c>
    </row>
    <row r="42" ht="52.5" customHeight="1">
      <c r="A42" s="228" t="s">
        <v>618</v>
      </c>
    </row>
    <row r="43" ht="33" customHeight="1">
      <c r="A43" s="221" t="s">
        <v>648</v>
      </c>
    </row>
    <row r="44" ht="10.5" customHeight="1">
      <c r="A44" s="221"/>
    </row>
    <row r="45" ht="108" customHeight="1">
      <c r="A45" s="221" t="s">
        <v>31</v>
      </c>
    </row>
    <row r="46" ht="59.25" customHeight="1">
      <c r="A46" s="221" t="s">
        <v>619</v>
      </c>
    </row>
    <row r="47" ht="101.25" customHeight="1">
      <c r="A47" s="221" t="s">
        <v>711</v>
      </c>
    </row>
    <row r="48" ht="74.25" customHeight="1">
      <c r="A48" s="221" t="s">
        <v>74</v>
      </c>
    </row>
    <row r="49" ht="69.75" customHeight="1">
      <c r="A49" s="221" t="s">
        <v>458</v>
      </c>
    </row>
    <row r="50" ht="12" customHeight="1">
      <c r="A50" s="221"/>
    </row>
    <row r="51" ht="81" customHeight="1">
      <c r="A51" s="221" t="s">
        <v>75</v>
      </c>
    </row>
    <row r="52" ht="81" customHeight="1">
      <c r="A52" s="221" t="s">
        <v>322</v>
      </c>
    </row>
    <row r="53" ht="81" customHeight="1">
      <c r="A53" s="221" t="s">
        <v>320</v>
      </c>
    </row>
    <row r="54" ht="48" customHeight="1">
      <c r="A54" s="221" t="s">
        <v>321</v>
      </c>
    </row>
    <row r="55" ht="11.25" customHeight="1"/>
    <row r="56" ht="72" customHeight="1">
      <c r="A56" s="221" t="s">
        <v>76</v>
      </c>
    </row>
    <row r="57" ht="54" customHeight="1">
      <c r="A57" s="221" t="s">
        <v>447</v>
      </c>
    </row>
    <row r="58" ht="54.75" customHeight="1">
      <c r="A58" s="221" t="s">
        <v>448</v>
      </c>
    </row>
    <row r="59" ht="14.25" customHeight="1">
      <c r="A59" s="221"/>
    </row>
    <row r="60" ht="68.25" customHeight="1">
      <c r="A60" s="221" t="s">
        <v>449</v>
      </c>
    </row>
    <row r="61" ht="12.75" customHeight="1">
      <c r="A61" s="221"/>
    </row>
    <row r="62" ht="41.25" customHeight="1">
      <c r="A62" s="221" t="s">
        <v>450</v>
      </c>
    </row>
    <row r="63" ht="24" customHeight="1">
      <c r="A63" s="221" t="s">
        <v>328</v>
      </c>
    </row>
    <row r="64" ht="72" customHeight="1">
      <c r="A64" s="221" t="s">
        <v>329</v>
      </c>
    </row>
    <row r="65" ht="56.25" customHeight="1">
      <c r="A65" s="221" t="s">
        <v>326</v>
      </c>
    </row>
    <row r="66" ht="15.75">
      <c r="A66" s="221" t="s">
        <v>327</v>
      </c>
    </row>
    <row r="67" ht="15.75" customHeight="1">
      <c r="A67" s="221"/>
    </row>
    <row r="68" ht="68.25" customHeight="1">
      <c r="A68" s="221" t="s">
        <v>451</v>
      </c>
    </row>
    <row r="69" s="221" customFormat="1" ht="14.25" customHeight="1">
      <c r="A69" s="117"/>
    </row>
    <row r="70" ht="87.75" customHeight="1">
      <c r="A70" s="221" t="s">
        <v>459</v>
      </c>
    </row>
    <row r="71" ht="12" customHeight="1"/>
    <row r="72" ht="78.75" customHeight="1">
      <c r="A72" s="221" t="s">
        <v>452</v>
      </c>
    </row>
    <row r="73" ht="78.75" customHeight="1">
      <c r="A73" s="600" t="s">
        <v>32</v>
      </c>
    </row>
    <row r="74" ht="78.75" customHeight="1">
      <c r="A74" s="600" t="s">
        <v>33</v>
      </c>
    </row>
    <row r="75" ht="73.5" customHeight="1">
      <c r="A75" s="221" t="s">
        <v>34</v>
      </c>
    </row>
    <row r="76" ht="120.75" customHeight="1">
      <c r="A76" s="221" t="s">
        <v>35</v>
      </c>
    </row>
    <row r="77" ht="72.75" customHeight="1">
      <c r="A77" s="221" t="s">
        <v>36</v>
      </c>
    </row>
    <row r="78" ht="72.75" customHeight="1">
      <c r="A78" s="600" t="s">
        <v>37</v>
      </c>
    </row>
    <row r="79" ht="100.5" customHeight="1">
      <c r="A79" s="221" t="s">
        <v>38</v>
      </c>
    </row>
    <row r="80" ht="110.25" customHeight="1">
      <c r="A80" s="221" t="s">
        <v>473</v>
      </c>
    </row>
    <row r="81" ht="100.5" customHeight="1">
      <c r="A81" s="229" t="s">
        <v>474</v>
      </c>
    </row>
    <row r="82" ht="61.5" customHeight="1">
      <c r="A82" s="383" t="s">
        <v>475</v>
      </c>
    </row>
    <row r="83" ht="118.5" customHeight="1">
      <c r="A83" s="221" t="s">
        <v>476</v>
      </c>
    </row>
    <row r="84" ht="86.25" customHeight="1">
      <c r="A84" s="229" t="s">
        <v>477</v>
      </c>
    </row>
    <row r="85" ht="101.25" customHeight="1">
      <c r="A85" s="229" t="s">
        <v>478</v>
      </c>
    </row>
    <row r="86" ht="133.5" customHeight="1">
      <c r="A86" s="221" t="s">
        <v>479</v>
      </c>
    </row>
    <row r="87" ht="137.25" customHeight="1">
      <c r="A87" s="221" t="s">
        <v>480</v>
      </c>
    </row>
    <row r="88" ht="101.25" customHeight="1">
      <c r="A88" s="221" t="s">
        <v>77</v>
      </c>
    </row>
    <row r="89" ht="9.75" customHeight="1">
      <c r="A89" s="229"/>
    </row>
    <row r="90" ht="119.25" customHeight="1">
      <c r="A90" s="221" t="s">
        <v>453</v>
      </c>
    </row>
    <row r="91" ht="117" customHeight="1">
      <c r="A91" s="229" t="s">
        <v>454</v>
      </c>
    </row>
    <row r="92" ht="58.5" customHeight="1">
      <c r="A92" s="229" t="s">
        <v>455</v>
      </c>
    </row>
    <row r="93" ht="21" customHeight="1">
      <c r="A93" s="221" t="s">
        <v>456</v>
      </c>
    </row>
    <row r="94" ht="3.75" customHeight="1"/>
    <row r="95" ht="64.5" customHeight="1">
      <c r="A95" s="221" t="s">
        <v>457</v>
      </c>
    </row>
    <row r="96" ht="22.5" customHeight="1">
      <c r="A96" s="221" t="s">
        <v>460</v>
      </c>
    </row>
    <row r="97" ht="102" customHeight="1">
      <c r="A97" s="600" t="s">
        <v>84</v>
      </c>
    </row>
    <row r="98" ht="116.25" customHeight="1">
      <c r="A98" s="600" t="s">
        <v>85</v>
      </c>
    </row>
    <row r="99" ht="90" customHeight="1">
      <c r="A99" s="221" t="s">
        <v>78</v>
      </c>
    </row>
    <row r="100" ht="48.75" customHeight="1">
      <c r="A100" s="221" t="s">
        <v>79</v>
      </c>
    </row>
    <row r="101" ht="61.5" customHeight="1">
      <c r="A101" s="221" t="s">
        <v>80</v>
      </c>
    </row>
    <row r="102" ht="9" customHeight="1"/>
    <row r="103" ht="78.75" customHeight="1">
      <c r="A103" s="221" t="s">
        <v>461</v>
      </c>
    </row>
    <row r="105" ht="73.5" customHeight="1">
      <c r="A105" s="600" t="s">
        <v>81</v>
      </c>
    </row>
    <row r="106" ht="108" customHeight="1">
      <c r="A106" s="600" t="s">
        <v>82</v>
      </c>
    </row>
    <row r="107" ht="96" customHeight="1">
      <c r="A107" s="600" t="s">
        <v>83</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7">
      <selection activeCell="A24" sqref="A24"/>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Kechi Township</v>
      </c>
      <c r="B1" s="281"/>
      <c r="C1" s="281"/>
      <c r="D1" s="281"/>
      <c r="E1" s="281"/>
      <c r="F1" s="281"/>
      <c r="G1" s="281"/>
      <c r="H1" s="281"/>
      <c r="I1" s="66"/>
      <c r="J1" s="66"/>
      <c r="K1" s="231">
        <f>inputPrYr!D9</f>
        <v>2012</v>
      </c>
    </row>
    <row r="2" spans="1:11" ht="15.75">
      <c r="A2" s="280" t="str">
        <f>inputPrYr!$D$4</f>
        <v>Sedgwick County</v>
      </c>
      <c r="B2" s="281"/>
      <c r="C2" s="281"/>
      <c r="D2" s="281"/>
      <c r="E2" s="281"/>
      <c r="F2" s="281"/>
      <c r="G2" s="281"/>
      <c r="H2" s="281"/>
      <c r="I2" s="66"/>
      <c r="J2" s="66"/>
      <c r="K2" s="216"/>
    </row>
    <row r="3" spans="1:11" ht="15.75">
      <c r="A3" s="283" t="s">
        <v>510</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488</v>
      </c>
      <c r="C5" s="235" t="s">
        <v>496</v>
      </c>
      <c r="D5" s="235"/>
      <c r="E5" s="235" t="s">
        <v>755</v>
      </c>
      <c r="F5" s="285"/>
      <c r="G5" s="286"/>
      <c r="H5" s="285" t="s">
        <v>489</v>
      </c>
      <c r="I5" s="286"/>
      <c r="J5" s="285" t="s">
        <v>489</v>
      </c>
      <c r="K5" s="286"/>
    </row>
    <row r="6" spans="1:11" ht="15.75">
      <c r="A6" s="66"/>
      <c r="B6" s="287" t="s">
        <v>490</v>
      </c>
      <c r="C6" s="287" t="s">
        <v>754</v>
      </c>
      <c r="D6" s="287" t="s">
        <v>755</v>
      </c>
      <c r="E6" s="287" t="s">
        <v>557</v>
      </c>
      <c r="F6" s="288" t="s">
        <v>491</v>
      </c>
      <c r="G6" s="289"/>
      <c r="H6" s="288">
        <f>K1-1</f>
        <v>2011</v>
      </c>
      <c r="I6" s="289"/>
      <c r="J6" s="288">
        <f>K1</f>
        <v>2012</v>
      </c>
      <c r="K6" s="289"/>
    </row>
    <row r="7" spans="1:11" ht="15.75">
      <c r="A7" s="290" t="s">
        <v>492</v>
      </c>
      <c r="B7" s="237" t="s">
        <v>493</v>
      </c>
      <c r="C7" s="237" t="s">
        <v>780</v>
      </c>
      <c r="D7" s="237" t="s">
        <v>494</v>
      </c>
      <c r="E7" s="291" t="str">
        <f>CONCATENATE("Jan 1,",K1-1,"")</f>
        <v>Jan 1,2011</v>
      </c>
      <c r="F7" s="90" t="s">
        <v>496</v>
      </c>
      <c r="G7" s="90" t="s">
        <v>497</v>
      </c>
      <c r="H7" s="90" t="s">
        <v>496</v>
      </c>
      <c r="I7" s="90" t="s">
        <v>497</v>
      </c>
      <c r="J7" s="90" t="s">
        <v>496</v>
      </c>
      <c r="K7" s="90" t="s">
        <v>497</v>
      </c>
    </row>
    <row r="8" spans="1:11" ht="15.75">
      <c r="A8" s="292" t="s">
        <v>484</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587</v>
      </c>
      <c r="B11" s="300"/>
      <c r="C11" s="301"/>
      <c r="D11" s="267"/>
      <c r="E11" s="181">
        <f>SUM(E9:E10)</f>
        <v>0</v>
      </c>
      <c r="F11" s="302"/>
      <c r="G11" s="302"/>
      <c r="H11" s="181">
        <f>SUM(H9:H10)</f>
        <v>0</v>
      </c>
      <c r="I11" s="181">
        <f>SUM(I9:I10)</f>
        <v>0</v>
      </c>
      <c r="J11" s="181">
        <f>SUM(J9:J10)</f>
        <v>0</v>
      </c>
      <c r="K11" s="181">
        <f>SUM(K9:K10)</f>
        <v>0</v>
      </c>
    </row>
    <row r="12" spans="1:11" ht="15.75">
      <c r="A12" s="212" t="s">
        <v>772</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588</v>
      </c>
      <c r="B15" s="300"/>
      <c r="C15" s="301"/>
      <c r="D15" s="267"/>
      <c r="E15" s="181">
        <f>SUM(E13:E14)</f>
        <v>0</v>
      </c>
      <c r="F15" s="303"/>
      <c r="G15" s="303"/>
      <c r="H15" s="181">
        <f>SUM(H13:H14)</f>
        <v>0</v>
      </c>
      <c r="I15" s="181">
        <f>SUM(I13:I14)</f>
        <v>0</v>
      </c>
      <c r="J15" s="181">
        <f>SUM(J13:J14)</f>
        <v>0</v>
      </c>
      <c r="K15" s="181">
        <f>SUM(K13:K14)</f>
        <v>0</v>
      </c>
    </row>
    <row r="16" spans="1:11" ht="15.75">
      <c r="A16" s="304" t="s">
        <v>512</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509</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495</v>
      </c>
      <c r="D20" s="210"/>
      <c r="E20" s="235" t="s">
        <v>732</v>
      </c>
      <c r="F20" s="210"/>
      <c r="G20" s="210"/>
      <c r="H20" s="210"/>
      <c r="I20" s="315"/>
      <c r="J20" s="316"/>
      <c r="K20" s="311"/>
    </row>
    <row r="21" spans="1:11" s="312" customFormat="1" ht="15.75">
      <c r="A21" s="77"/>
      <c r="B21" s="287"/>
      <c r="C21" s="287" t="s">
        <v>490</v>
      </c>
      <c r="D21" s="287" t="s">
        <v>496</v>
      </c>
      <c r="E21" s="287" t="s">
        <v>755</v>
      </c>
      <c r="F21" s="287" t="s">
        <v>497</v>
      </c>
      <c r="G21" s="287" t="s">
        <v>498</v>
      </c>
      <c r="H21" s="287" t="s">
        <v>498</v>
      </c>
      <c r="I21" s="311"/>
      <c r="J21" s="311"/>
      <c r="K21" s="311"/>
    </row>
    <row r="22" spans="1:11" s="312" customFormat="1" ht="15.75">
      <c r="A22" s="77"/>
      <c r="B22" s="287" t="s">
        <v>499</v>
      </c>
      <c r="C22" s="287" t="s">
        <v>500</v>
      </c>
      <c r="D22" s="287" t="s">
        <v>754</v>
      </c>
      <c r="E22" s="287" t="s">
        <v>501</v>
      </c>
      <c r="F22" s="287" t="s">
        <v>541</v>
      </c>
      <c r="G22" s="287" t="s">
        <v>502</v>
      </c>
      <c r="H22" s="287" t="s">
        <v>502</v>
      </c>
      <c r="I22" s="311"/>
      <c r="J22" s="311"/>
      <c r="K22" s="311"/>
    </row>
    <row r="23" spans="1:11" s="312" customFormat="1" ht="15.75">
      <c r="A23" s="317" t="s">
        <v>503</v>
      </c>
      <c r="B23" s="237" t="s">
        <v>488</v>
      </c>
      <c r="C23" s="318" t="s">
        <v>504</v>
      </c>
      <c r="D23" s="237" t="s">
        <v>780</v>
      </c>
      <c r="E23" s="318" t="s">
        <v>558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t="s">
        <v>119</v>
      </c>
      <c r="B25" s="296">
        <v>40448</v>
      </c>
      <c r="C25" s="319">
        <v>48</v>
      </c>
      <c r="D25" s="297">
        <v>4.85</v>
      </c>
      <c r="E25" s="175">
        <v>50078.59</v>
      </c>
      <c r="F25" s="175">
        <v>50078.59</v>
      </c>
      <c r="G25" s="175">
        <v>14073.35</v>
      </c>
      <c r="H25" s="175">
        <v>14073.35</v>
      </c>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512</v>
      </c>
      <c r="B36" s="305"/>
      <c r="C36" s="306"/>
      <c r="D36" s="320"/>
      <c r="E36" s="309"/>
      <c r="F36" s="308">
        <f>SUM(F24:F35)</f>
        <v>50078.59</v>
      </c>
      <c r="G36" s="308">
        <f>SUM(G24:G35)</f>
        <v>14073.35</v>
      </c>
      <c r="H36" s="308">
        <f>SUM(H24:H35)</f>
        <v>14073.35</v>
      </c>
      <c r="I36" s="281"/>
      <c r="J36" s="281"/>
      <c r="K36" s="321"/>
    </row>
    <row r="37" spans="1:11" ht="15.75">
      <c r="A37" s="281"/>
      <c r="B37" s="281"/>
      <c r="C37" s="281"/>
      <c r="D37" s="281"/>
      <c r="E37" s="281"/>
      <c r="F37" s="281"/>
      <c r="G37" s="281"/>
      <c r="H37" s="281"/>
      <c r="I37" s="281"/>
      <c r="J37" s="281"/>
      <c r="K37" s="281"/>
    </row>
    <row r="38" spans="1:11" ht="15.75">
      <c r="A38" s="322" t="s">
        <v>677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A16" sqref="A1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Kechi Township</v>
      </c>
      <c r="C1" s="66"/>
      <c r="D1" s="66"/>
      <c r="E1" s="231">
        <f>inputPrYr!D9</f>
        <v>2012</v>
      </c>
    </row>
    <row r="2" spans="2:5" ht="15.75">
      <c r="B2" s="602" t="s">
        <v>29</v>
      </c>
      <c r="C2" s="66"/>
      <c r="D2" s="66"/>
      <c r="E2" s="324"/>
    </row>
    <row r="3" spans="2:5" ht="15.75">
      <c r="B3" s="66"/>
      <c r="C3" s="80"/>
      <c r="D3" s="80"/>
      <c r="E3" s="325"/>
    </row>
    <row r="4" spans="2:5" ht="15.75">
      <c r="B4" s="74" t="s">
        <v>761</v>
      </c>
      <c r="C4" s="412" t="s">
        <v>762</v>
      </c>
      <c r="D4" s="415" t="s">
        <v>763</v>
      </c>
      <c r="E4" s="76" t="s">
        <v>764</v>
      </c>
    </row>
    <row r="5" spans="2:5" ht="15.75">
      <c r="B5" s="513" t="str">
        <f>inputPrYr!B20</f>
        <v>General</v>
      </c>
      <c r="C5" s="413" t="str">
        <f>CONCATENATE("Actual ",$E$1-2,"")</f>
        <v>Actual 2010</v>
      </c>
      <c r="D5" s="413" t="str">
        <f>CONCATENATE("Estimate ",$E$1-1,"")</f>
        <v>Estimate 2011</v>
      </c>
      <c r="E5" s="81" t="str">
        <f>CONCATENATE("Year ",$E$1,"")</f>
        <v>Year 2012</v>
      </c>
    </row>
    <row r="6" spans="2:5" ht="15.75">
      <c r="B6" s="82" t="s">
        <v>553</v>
      </c>
      <c r="C6" s="326">
        <v>3675</v>
      </c>
      <c r="D6" s="414">
        <f>C47</f>
        <v>9604.370000000003</v>
      </c>
      <c r="E6" s="267">
        <f>D47</f>
        <v>5941.370000000003</v>
      </c>
    </row>
    <row r="7" spans="2:5" ht="15.75">
      <c r="B7" s="82" t="s">
        <v>555</v>
      </c>
      <c r="C7" s="414"/>
      <c r="D7" s="414"/>
      <c r="E7" s="328"/>
    </row>
    <row r="8" spans="2:5" ht="15.75">
      <c r="B8" s="82" t="s">
        <v>767</v>
      </c>
      <c r="C8" s="326">
        <f>29187-89-30</f>
        <v>29068</v>
      </c>
      <c r="D8" s="414">
        <f>inputPrYr!E20</f>
        <v>26427</v>
      </c>
      <c r="E8" s="328" t="s">
        <v>746</v>
      </c>
    </row>
    <row r="9" spans="2:5" ht="15.75">
      <c r="B9" s="82" t="s">
        <v>768</v>
      </c>
      <c r="C9" s="326">
        <f>2.28+339.47+24.16+0.1+8.31+7.12+67.6+1</f>
        <v>450.0400000000001</v>
      </c>
      <c r="D9" s="326">
        <v>300</v>
      </c>
      <c r="E9" s="175">
        <v>200</v>
      </c>
    </row>
    <row r="10" spans="2:5" ht="15.75">
      <c r="B10" s="82" t="s">
        <v>769</v>
      </c>
      <c r="C10" s="326">
        <v>3282</v>
      </c>
      <c r="D10" s="326">
        <v>2000</v>
      </c>
      <c r="E10" s="267">
        <f>mvalloc!G12</f>
        <v>1168</v>
      </c>
    </row>
    <row r="11" spans="2:5" ht="15.75">
      <c r="B11" s="82" t="s">
        <v>770</v>
      </c>
      <c r="C11" s="326">
        <v>89</v>
      </c>
      <c r="D11" s="326">
        <v>75</v>
      </c>
      <c r="E11" s="267">
        <f>mvalloc!I12</f>
        <v>22</v>
      </c>
    </row>
    <row r="12" spans="2:5" ht="15.75">
      <c r="B12" s="329" t="s">
        <v>505</v>
      </c>
      <c r="C12" s="326">
        <v>40</v>
      </c>
      <c r="D12" s="326">
        <v>35</v>
      </c>
      <c r="E12" s="267">
        <f>mvalloc!J12</f>
        <v>24</v>
      </c>
    </row>
    <row r="13" spans="2:5" ht="15.75">
      <c r="B13" s="329" t="s">
        <v>594</v>
      </c>
      <c r="C13" s="326"/>
      <c r="D13" s="326"/>
      <c r="E13" s="267">
        <f>inputOth!E70</f>
        <v>0</v>
      </c>
    </row>
    <row r="14" spans="2:5" ht="15.75">
      <c r="B14" s="329" t="s">
        <v>595</v>
      </c>
      <c r="C14" s="326"/>
      <c r="D14" s="326"/>
      <c r="E14" s="267">
        <f>mvalloc!K12</f>
        <v>0</v>
      </c>
    </row>
    <row r="15" spans="2:5" ht="15.75">
      <c r="B15" s="82" t="s">
        <v>771</v>
      </c>
      <c r="C15" s="326"/>
      <c r="D15" s="326"/>
      <c r="E15" s="267">
        <f>inputOth!E32</f>
        <v>0</v>
      </c>
    </row>
    <row r="16" spans="2:5" ht="15.75">
      <c r="B16" s="330" t="s">
        <v>114</v>
      </c>
      <c r="C16" s="326">
        <v>38.33</v>
      </c>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773</v>
      </c>
      <c r="C22" s="326"/>
      <c r="D22" s="326"/>
      <c r="E22" s="175"/>
    </row>
    <row r="23" spans="2:5" ht="15.75">
      <c r="B23" s="332" t="s">
        <v>719</v>
      </c>
      <c r="C23" s="326"/>
      <c r="D23" s="326"/>
      <c r="E23" s="175"/>
    </row>
    <row r="24" spans="2:5" ht="15.75">
      <c r="B24" s="332" t="s">
        <v>720</v>
      </c>
      <c r="C24" s="416">
        <f>IF(C25*0.1&lt;C23,"Exceed 10% Rule","")</f>
      </c>
      <c r="D24" s="416">
        <f>IF(D25*0.1&lt;D23,"Exceed 10% Rule","")</f>
      </c>
      <c r="E24" s="336">
        <f>IF(E25*0.1+E53&lt;E23,"Exceed 10% Rule","")</f>
      </c>
    </row>
    <row r="25" spans="2:5" ht="15.75">
      <c r="B25" s="334" t="s">
        <v>774</v>
      </c>
      <c r="C25" s="417">
        <f>SUM(C8:C23)</f>
        <v>32967.37</v>
      </c>
      <c r="D25" s="417">
        <f>SUM(D8:D23)</f>
        <v>28837</v>
      </c>
      <c r="E25" s="335">
        <f>SUM(E8:E23)</f>
        <v>1414</v>
      </c>
    </row>
    <row r="26" spans="2:5" ht="15.75">
      <c r="B26" s="100" t="s">
        <v>775</v>
      </c>
      <c r="C26" s="417">
        <f>C25+C6</f>
        <v>36642.37</v>
      </c>
      <c r="D26" s="417">
        <f>D25+D6</f>
        <v>38441.37</v>
      </c>
      <c r="E26" s="335">
        <f>E25+E6</f>
        <v>7355.370000000003</v>
      </c>
    </row>
    <row r="27" spans="2:5" ht="15.75">
      <c r="B27" s="82" t="s">
        <v>776</v>
      </c>
      <c r="C27" s="414"/>
      <c r="D27" s="414"/>
      <c r="E27" s="267"/>
    </row>
    <row r="28" spans="2:5" ht="15.75">
      <c r="B28" s="330"/>
      <c r="C28" s="326"/>
      <c r="D28" s="326"/>
      <c r="E28" s="175"/>
    </row>
    <row r="29" spans="2:5" ht="15.75">
      <c r="B29" s="331" t="s">
        <v>95</v>
      </c>
      <c r="C29" s="326"/>
      <c r="D29" s="326"/>
      <c r="E29" s="175"/>
    </row>
    <row r="30" spans="2:5" ht="15.75">
      <c r="B30" s="331" t="s">
        <v>537</v>
      </c>
      <c r="C30" s="326"/>
      <c r="D30" s="326"/>
      <c r="E30" s="175"/>
    </row>
    <row r="31" spans="2:5" ht="15.75">
      <c r="B31" s="331" t="s">
        <v>538</v>
      </c>
      <c r="C31" s="326"/>
      <c r="D31" s="326"/>
      <c r="E31" s="175"/>
    </row>
    <row r="32" spans="2:5" ht="15.75">
      <c r="B32" s="331" t="s">
        <v>96</v>
      </c>
      <c r="C32" s="326">
        <f>1015+5770</f>
        <v>6785</v>
      </c>
      <c r="D32" s="326">
        <v>7500</v>
      </c>
      <c r="E32" s="175">
        <v>7500</v>
      </c>
    </row>
    <row r="33" spans="2:5" ht="15.75">
      <c r="B33" s="330" t="s">
        <v>97</v>
      </c>
      <c r="C33" s="326"/>
      <c r="D33" s="326">
        <v>5000</v>
      </c>
      <c r="E33" s="175">
        <v>5000</v>
      </c>
    </row>
    <row r="34" spans="2:5" ht="15.75">
      <c r="B34" s="330" t="s">
        <v>98</v>
      </c>
      <c r="C34" s="326">
        <v>20253</v>
      </c>
      <c r="D34" s="326">
        <v>20000</v>
      </c>
      <c r="E34" s="175">
        <v>20000</v>
      </c>
    </row>
    <row r="35" spans="2:5" ht="15.75">
      <c r="B35" s="331"/>
      <c r="C35" s="326"/>
      <c r="D35" s="326"/>
      <c r="E35" s="175"/>
    </row>
    <row r="36" spans="2:5" ht="15.75">
      <c r="B36" s="331"/>
      <c r="C36" s="326"/>
      <c r="D36" s="326"/>
      <c r="E36" s="175"/>
    </row>
    <row r="37" spans="2:5" ht="15.75">
      <c r="B37" s="330"/>
      <c r="C37" s="326"/>
      <c r="D37" s="326"/>
      <c r="E37" s="175"/>
    </row>
    <row r="38" spans="2:5" ht="15.75">
      <c r="B38" s="331"/>
      <c r="C38" s="326"/>
      <c r="D38" s="326"/>
      <c r="E38" s="175"/>
    </row>
    <row r="39" spans="2:5" ht="15.75">
      <c r="B39" s="329" t="s">
        <v>678</v>
      </c>
      <c r="C39" s="326"/>
      <c r="D39" s="326"/>
      <c r="E39" s="175"/>
    </row>
    <row r="40" spans="2:10" ht="15.75">
      <c r="B40" s="329" t="s">
        <v>679</v>
      </c>
      <c r="C40" s="416">
        <f>IF(AND($C$39&gt;0,$C$8&gt;0),"Not Authorized","")</f>
      </c>
      <c r="D40" s="416">
        <f>IF(AND($D$39&gt;0,$D$8&gt;0),"Not Authorized","")</f>
      </c>
      <c r="E40" s="336">
        <f>IF(AND(E53&gt;0,$E$39&gt;0),"Not Authorized","")</f>
      </c>
      <c r="G40" s="665" t="str">
        <f>CONCATENATE("Projected Carryover Into ",E1+1,"")</f>
        <v>Projected Carryover Into 2013</v>
      </c>
      <c r="H40" s="666"/>
      <c r="I40" s="666"/>
      <c r="J40" s="641"/>
    </row>
    <row r="41" spans="2:10" ht="15.75">
      <c r="B41" s="82" t="s">
        <v>680</v>
      </c>
      <c r="C41" s="326"/>
      <c r="D41" s="326"/>
      <c r="E41" s="175"/>
      <c r="G41" s="536"/>
      <c r="H41" s="73"/>
      <c r="I41" s="73"/>
      <c r="J41" s="86"/>
    </row>
    <row r="42" spans="2:10" ht="15.75">
      <c r="B42" s="82" t="s">
        <v>91</v>
      </c>
      <c r="C42" s="416">
        <f>IF(C26*0.25&lt;C41,"Exceeds 25%","")</f>
      </c>
      <c r="D42" s="416">
        <f>IF(D26*0.25&lt;D41,"Exceeds 25%","")</f>
      </c>
      <c r="E42" s="336">
        <f>IF(E26*0.25+E53&lt;E41,"Exceeds 25%","")</f>
      </c>
      <c r="G42" s="537">
        <f>D47</f>
        <v>5941.370000000003</v>
      </c>
      <c r="H42" s="538" t="str">
        <f>CONCATENATE("",E1-1," Ending Cash Balance (est.)")</f>
        <v>2011 Ending Cash Balance (est.)</v>
      </c>
      <c r="I42" s="539"/>
      <c r="J42" s="86"/>
    </row>
    <row r="43" spans="2:10" ht="15.75">
      <c r="B43" s="329" t="s">
        <v>721</v>
      </c>
      <c r="C43" s="326"/>
      <c r="D43" s="326"/>
      <c r="E43" s="186">
        <f>nhood!E6</f>
      </c>
      <c r="G43" s="537">
        <f>E25</f>
        <v>1414</v>
      </c>
      <c r="H43" s="540" t="str">
        <f>CONCATENATE("",E1," Non-AV Receipts (est.)")</f>
        <v>2012 Non-AV Receipts (est.)</v>
      </c>
      <c r="I43" s="540"/>
      <c r="J43" s="86"/>
    </row>
    <row r="44" spans="2:10" ht="15.75">
      <c r="B44" s="329" t="s">
        <v>719</v>
      </c>
      <c r="C44" s="326"/>
      <c r="D44" s="326"/>
      <c r="E44" s="175"/>
      <c r="G44" s="541">
        <f>E53</f>
        <v>25144.629999999997</v>
      </c>
      <c r="H44" s="540" t="str">
        <f>CONCATENATE("",E1," Ad Valorem Tax (est.)")</f>
        <v>2012 Ad Valorem Tax (est.)</v>
      </c>
      <c r="I44" s="540"/>
      <c r="J44" s="86"/>
    </row>
    <row r="45" spans="2:10" ht="15.75">
      <c r="B45" s="329" t="s">
        <v>436</v>
      </c>
      <c r="C45" s="416">
        <f>IF(C46*0.1&lt;C44,"Exceed 10% Rule","")</f>
      </c>
      <c r="D45" s="416">
        <f>IF(D46*0.1&lt;D44,"Exceed 10% Rule","")</f>
      </c>
      <c r="E45" s="336">
        <f>IF(E46*0.1&lt;E44,"Exceed 10% Rule","")</f>
      </c>
      <c r="G45" s="537">
        <f>SUM(G42:G44)</f>
        <v>32500</v>
      </c>
      <c r="H45" s="540" t="str">
        <f>CONCATENATE("Total ",E1," Resources Available")</f>
        <v>Total 2012 Resources Available</v>
      </c>
      <c r="I45" s="539"/>
      <c r="J45" s="86"/>
    </row>
    <row r="46" spans="2:10" ht="15.75">
      <c r="B46" s="100" t="s">
        <v>777</v>
      </c>
      <c r="C46" s="417">
        <f>SUM(C28:C39,C41,C43:C44)</f>
        <v>27038</v>
      </c>
      <c r="D46" s="417">
        <f>SUM(D28:D39,D41,D43:D44)</f>
        <v>32500</v>
      </c>
      <c r="E46" s="335">
        <f>SUM(E28:E39,E43:E44,E41)</f>
        <v>32500</v>
      </c>
      <c r="G46" s="542"/>
      <c r="H46" s="540"/>
      <c r="I46" s="540"/>
      <c r="J46" s="86"/>
    </row>
    <row r="47" spans="2:10" ht="15.75">
      <c r="B47" s="82" t="s">
        <v>554</v>
      </c>
      <c r="C47" s="418">
        <f>C26-C46</f>
        <v>9604.370000000003</v>
      </c>
      <c r="D47" s="418">
        <f>D26-D46</f>
        <v>5941.370000000003</v>
      </c>
      <c r="E47" s="328" t="s">
        <v>746</v>
      </c>
      <c r="G47" s="541">
        <f>C46*0.05+C46</f>
        <v>28389.9</v>
      </c>
      <c r="H47" s="540" t="str">
        <f>CONCATENATE("Less ",E1-2," Expenditures + 5%")</f>
        <v>Less 2010 Expenditures + 5%</v>
      </c>
      <c r="I47" s="539"/>
      <c r="J47" s="86"/>
    </row>
    <row r="48" spans="2:10" ht="15.75">
      <c r="B48" s="121" t="str">
        <f>CONCATENATE("",E1-2,"/",E1-1," Budget Authority Amount:")</f>
        <v>2010/2011 Budget Authority Amount:</v>
      </c>
      <c r="C48" s="362">
        <f>inputOth!B83</f>
        <v>32500</v>
      </c>
      <c r="D48" s="69">
        <f>inputPrYr!D20</f>
        <v>32500</v>
      </c>
      <c r="E48" s="328" t="s">
        <v>746</v>
      </c>
      <c r="F48" s="337"/>
      <c r="G48" s="543">
        <f>G45-G47</f>
        <v>4110.0999999999985</v>
      </c>
      <c r="H48" s="544" t="str">
        <f>CONCATENATE("Projected ",E1+1," Carryover (est.)")</f>
        <v>Projected 2013 Carryover (est.)</v>
      </c>
      <c r="I48" s="545"/>
      <c r="J48" s="546"/>
    </row>
    <row r="49" spans="2:6" ht="15.75">
      <c r="B49" s="121"/>
      <c r="C49" s="659" t="s">
        <v>433</v>
      </c>
      <c r="D49" s="660"/>
      <c r="E49" s="175"/>
      <c r="F49" s="337">
        <f>IF(E46/0.95-E46&lt;E49,"Exceeds 5%","")</f>
      </c>
    </row>
    <row r="50" spans="2:10" ht="15.75">
      <c r="B50" s="528" t="str">
        <f>CONCATENATE(C70,"      ",D70)</f>
        <v>      </v>
      </c>
      <c r="C50" s="661" t="s">
        <v>434</v>
      </c>
      <c r="D50" s="662"/>
      <c r="E50" s="267">
        <f>E46+E49</f>
        <v>32500</v>
      </c>
      <c r="G50" s="547">
        <f>IF(inputOth!E11=0,"",ROUND(gen!E53/inputOth!E11*1000,3))</f>
        <v>1.194</v>
      </c>
      <c r="H50" s="548" t="str">
        <f>CONCATENATE("Projected ",E1-1," Mill Rate (est.)")</f>
        <v>Projected 2011 Mill Rate (est.)</v>
      </c>
      <c r="I50" s="549"/>
      <c r="J50" s="550"/>
    </row>
    <row r="51" spans="2:10" ht="15.75">
      <c r="B51" s="528" t="str">
        <f>CONCATENATE(C71,"       ",D71)</f>
        <v>       </v>
      </c>
      <c r="C51" s="531"/>
      <c r="D51" s="530" t="s">
        <v>779</v>
      </c>
      <c r="E51" s="186">
        <f>IF(E50-E26&gt;0,E50-E26,0)</f>
        <v>25144.629999999997</v>
      </c>
      <c r="G51" s="551"/>
      <c r="H51" s="551"/>
      <c r="I51" s="551"/>
      <c r="J51" s="551"/>
    </row>
    <row r="52" spans="2:10" ht="15.75">
      <c r="B52" s="216"/>
      <c r="C52" s="529" t="s">
        <v>435</v>
      </c>
      <c r="D52" s="533">
        <f>inputOth!$E$77</f>
        <v>0</v>
      </c>
      <c r="E52" s="267">
        <f>ROUND(IF(D52&gt;0,(E51*D52),0),0)</f>
        <v>0</v>
      </c>
      <c r="G52" s="665" t="str">
        <f>CONCATENATE("Desired Carryover Into ",E1+1,"")</f>
        <v>Desired Carryover Into 2013</v>
      </c>
      <c r="H52" s="667"/>
      <c r="I52" s="667"/>
      <c r="J52" s="641"/>
    </row>
    <row r="53" spans="2:10" ht="15.75">
      <c r="B53" s="66"/>
      <c r="C53" s="663" t="str">
        <f>CONCATENATE("Amount of  ",$E$1-1," Ad Valorem Tax")</f>
        <v>Amount of  2011 Ad Valorem Tax</v>
      </c>
      <c r="D53" s="664"/>
      <c r="E53" s="186">
        <f>E51+E52</f>
        <v>25144.629999999997</v>
      </c>
      <c r="G53" s="552"/>
      <c r="H53" s="73"/>
      <c r="I53" s="540"/>
      <c r="J53" s="553"/>
    </row>
    <row r="54" spans="2:10" ht="15.75">
      <c r="B54" s="66"/>
      <c r="C54" s="66"/>
      <c r="D54" s="66"/>
      <c r="E54" s="66"/>
      <c r="G54" s="554" t="s">
        <v>439</v>
      </c>
      <c r="H54" s="540"/>
      <c r="I54" s="540"/>
      <c r="J54" s="555">
        <v>0</v>
      </c>
    </row>
    <row r="55" spans="2:10" s="339" customFormat="1" ht="15.75">
      <c r="B55" s="73"/>
      <c r="C55" s="73"/>
      <c r="D55" s="274"/>
      <c r="E55" s="73"/>
      <c r="G55" s="552" t="s">
        <v>440</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760</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3"/>
  <headerFooter alignWithMargins="0">
    <oddHeader>&amp;RState of Kansas
Township
</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Kechi Township</v>
      </c>
      <c r="C1" s="66"/>
      <c r="D1" s="66"/>
      <c r="E1" s="342">
        <f>inputPrYr!$D$9</f>
        <v>2012</v>
      </c>
    </row>
    <row r="2" spans="2:5" ht="15.75">
      <c r="B2" s="66"/>
      <c r="C2" s="66"/>
      <c r="D2" s="66"/>
      <c r="E2" s="216"/>
    </row>
    <row r="3" spans="2:5" ht="15.75">
      <c r="B3" s="602" t="s">
        <v>29</v>
      </c>
      <c r="C3" s="213"/>
      <c r="D3" s="213"/>
      <c r="E3" s="68"/>
    </row>
    <row r="4" spans="2:5" ht="15.75">
      <c r="B4" s="66"/>
      <c r="C4" s="343"/>
      <c r="D4" s="343"/>
      <c r="E4" s="343"/>
    </row>
    <row r="5" spans="2:5" ht="15.75">
      <c r="B5" s="74" t="s">
        <v>761</v>
      </c>
      <c r="C5" s="412" t="s">
        <v>762</v>
      </c>
      <c r="D5" s="415" t="s">
        <v>763</v>
      </c>
      <c r="E5" s="76" t="s">
        <v>764</v>
      </c>
    </row>
    <row r="6" spans="2:5" ht="15.75">
      <c r="B6" s="513" t="s">
        <v>800</v>
      </c>
      <c r="C6" s="413" t="str">
        <f>CONCATENATE("Actual ",$E$1-2,"")</f>
        <v>Actual 2010</v>
      </c>
      <c r="D6" s="413" t="str">
        <f>CONCATENATE("Estimate ",$E$1-1,"")</f>
        <v>Estimate 2011</v>
      </c>
      <c r="E6" s="81" t="str">
        <f>CONCATENATE("Year ",$E$1,"")</f>
        <v>Year 2012</v>
      </c>
    </row>
    <row r="7" spans="2:5" ht="15.75">
      <c r="B7" s="82" t="s">
        <v>576</v>
      </c>
      <c r="C7" s="422"/>
      <c r="D7" s="532">
        <f>C52</f>
        <v>0</v>
      </c>
      <c r="E7" s="344">
        <f>D52</f>
        <v>0</v>
      </c>
    </row>
    <row r="8" spans="2:5" ht="15.75">
      <c r="B8" s="82" t="s">
        <v>555</v>
      </c>
      <c r="C8" s="419"/>
      <c r="D8" s="532"/>
      <c r="E8" s="344"/>
    </row>
    <row r="9" spans="2:5" ht="15.75">
      <c r="B9" s="82" t="s">
        <v>767</v>
      </c>
      <c r="C9" s="326"/>
      <c r="D9" s="419">
        <f>inputPrYr!E21</f>
        <v>0</v>
      </c>
      <c r="E9" s="328" t="s">
        <v>746</v>
      </c>
    </row>
    <row r="10" spans="2:5" ht="15.75">
      <c r="B10" s="82" t="s">
        <v>768</v>
      </c>
      <c r="C10" s="326"/>
      <c r="D10" s="326"/>
      <c r="E10" s="345"/>
    </row>
    <row r="11" spans="2:5" ht="15.75">
      <c r="B11" s="82" t="s">
        <v>769</v>
      </c>
      <c r="C11" s="326"/>
      <c r="D11" s="326"/>
      <c r="E11" s="346">
        <f>mvalloc!G13</f>
        <v>0</v>
      </c>
    </row>
    <row r="12" spans="2:5" ht="15.75">
      <c r="B12" s="82" t="s">
        <v>770</v>
      </c>
      <c r="C12" s="326"/>
      <c r="D12" s="326"/>
      <c r="E12" s="346">
        <f>mvalloc!I13</f>
        <v>0</v>
      </c>
    </row>
    <row r="13" spans="2:5" ht="15.75">
      <c r="B13" s="347" t="s">
        <v>535</v>
      </c>
      <c r="C13" s="326"/>
      <c r="D13" s="326"/>
      <c r="E13" s="346">
        <f>mvalloc!J13</f>
        <v>0</v>
      </c>
    </row>
    <row r="14" spans="2:5" ht="15.75">
      <c r="B14" s="347" t="s">
        <v>595</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586</v>
      </c>
      <c r="C25" s="326"/>
      <c r="D25" s="326"/>
      <c r="E25" s="345"/>
    </row>
    <row r="26" spans="2:5" ht="15.75">
      <c r="B26" s="350" t="s">
        <v>773</v>
      </c>
      <c r="C26" s="326"/>
      <c r="D26" s="326"/>
      <c r="E26" s="345"/>
    </row>
    <row r="27" spans="2:5" ht="15.75">
      <c r="B27" s="332" t="s">
        <v>719</v>
      </c>
      <c r="C27" s="326"/>
      <c r="D27" s="326"/>
      <c r="E27" s="175"/>
    </row>
    <row r="28" spans="2:5" ht="15.75">
      <c r="B28" s="332" t="s">
        <v>720</v>
      </c>
      <c r="C28" s="416">
        <f>IF(C29*0.1&lt;C27,"Exceed 10% Rule","")</f>
      </c>
      <c r="D28" s="416">
        <f>IF(D29*0.1&lt;D27,"Exceed 10% Rule","")</f>
      </c>
      <c r="E28" s="336">
        <f>IF(E29*0.1+E58&lt;E27,"Exceed 10% Rule","")</f>
      </c>
    </row>
    <row r="29" spans="2:5" ht="15.75">
      <c r="B29" s="100" t="s">
        <v>774</v>
      </c>
      <c r="C29" s="420">
        <f>SUM(C9:C27)</f>
        <v>0</v>
      </c>
      <c r="D29" s="420">
        <f>SUM(D9:D27)</f>
        <v>0</v>
      </c>
      <c r="E29" s="351">
        <f>SUM(E9:E27)</f>
        <v>0</v>
      </c>
    </row>
    <row r="30" spans="2:5" ht="15.75">
      <c r="B30" s="100" t="s">
        <v>775</v>
      </c>
      <c r="C30" s="420">
        <f>C7+C29</f>
        <v>0</v>
      </c>
      <c r="D30" s="420">
        <f>D7+D29</f>
        <v>0</v>
      </c>
      <c r="E30" s="352">
        <f>E7+E29</f>
        <v>0</v>
      </c>
    </row>
    <row r="31" spans="2:5" ht="15.75">
      <c r="B31" s="87" t="s">
        <v>776</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721</v>
      </c>
      <c r="C48" s="326"/>
      <c r="D48" s="326"/>
      <c r="E48" s="186">
        <f>nhood!E7</f>
      </c>
    </row>
    <row r="49" spans="2:5" ht="15.75">
      <c r="B49" s="329" t="s">
        <v>719</v>
      </c>
      <c r="C49" s="326"/>
      <c r="D49" s="326"/>
      <c r="E49" s="175"/>
    </row>
    <row r="50" spans="2:9" ht="15.75">
      <c r="B50" s="329" t="s">
        <v>436</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777</v>
      </c>
      <c r="C51" s="420">
        <f>SUM(C32:C49)</f>
        <v>0</v>
      </c>
      <c r="D51" s="420">
        <f>SUM(D32:D49)</f>
        <v>0</v>
      </c>
      <c r="E51" s="351">
        <f>SUM(E32:E49)</f>
        <v>0</v>
      </c>
      <c r="G51" s="536"/>
      <c r="H51" s="73"/>
      <c r="I51" s="86"/>
    </row>
    <row r="52" spans="2:9" ht="15.75">
      <c r="B52" s="82" t="s">
        <v>554</v>
      </c>
      <c r="C52" s="421">
        <f>C30-C51</f>
        <v>0</v>
      </c>
      <c r="D52" s="421">
        <f>D30-D51</f>
        <v>0</v>
      </c>
      <c r="E52" s="328" t="s">
        <v>746</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746</v>
      </c>
      <c r="F53" s="337"/>
      <c r="G53" s="561">
        <f>E29</f>
        <v>0</v>
      </c>
      <c r="H53" s="563" t="str">
        <f>CONCATENATE("",E1," Non-AV Receipts (est.)")</f>
        <v>2012 Non-AV Receipts (est.)</v>
      </c>
      <c r="I53" s="86"/>
    </row>
    <row r="54" spans="2:9" ht="15.75">
      <c r="B54" s="121"/>
      <c r="C54" s="659" t="s">
        <v>433</v>
      </c>
      <c r="D54" s="660"/>
      <c r="E54" s="175"/>
      <c r="F54" s="337">
        <f>IF(E51/0.95-E51&lt;E54,"Exceeds 5%","")</f>
      </c>
      <c r="G54" s="564">
        <f>E58</f>
        <v>0</v>
      </c>
      <c r="H54" s="563" t="str">
        <f>CONCATENATE("",E1," Ad Valorem Tax (est.)")</f>
        <v>2012 Ad Valorem Tax (est.)</v>
      </c>
      <c r="I54" s="86"/>
    </row>
    <row r="55" spans="2:9" ht="15.75">
      <c r="B55" s="528" t="str">
        <f>CONCATENATE(C68,"     ",D68)</f>
        <v>     </v>
      </c>
      <c r="C55" s="661" t="s">
        <v>434</v>
      </c>
      <c r="D55" s="662"/>
      <c r="E55" s="267">
        <f>E51+E54</f>
        <v>0</v>
      </c>
      <c r="G55" s="561">
        <f>SUM(G52:G54)</f>
        <v>0</v>
      </c>
      <c r="H55" s="563" t="str">
        <f>CONCATENATE("Total ",E1," Resources Available")</f>
        <v>Total 2012 Resources Available</v>
      </c>
      <c r="I55" s="86"/>
    </row>
    <row r="56" spans="2:9" ht="15.75">
      <c r="B56" s="528" t="str">
        <f>CONCATENATE(C69,"     ",D69)</f>
        <v>     </v>
      </c>
      <c r="C56" s="531"/>
      <c r="D56" s="530" t="s">
        <v>779</v>
      </c>
      <c r="E56" s="186">
        <f>IF(E55-E30&gt;0,E55-E30,0)</f>
        <v>0</v>
      </c>
      <c r="G56" s="565"/>
      <c r="H56" s="563"/>
      <c r="I56" s="86"/>
    </row>
    <row r="57" spans="2:9" ht="15.75">
      <c r="B57" s="216"/>
      <c r="C57" s="529" t="s">
        <v>435</v>
      </c>
      <c r="D57" s="533">
        <f>inputOth!$E77</f>
        <v>0</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760</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7">
      <selection activeCell="A16" sqref="A1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Kechi Township</v>
      </c>
      <c r="C1" s="66"/>
      <c r="D1" s="66"/>
      <c r="E1" s="231">
        <f>inputPrYr!D9</f>
        <v>2012</v>
      </c>
    </row>
    <row r="2" spans="2:5" ht="15.75">
      <c r="B2" s="602" t="s">
        <v>29</v>
      </c>
      <c r="C2" s="66"/>
      <c r="D2" s="213"/>
      <c r="E2" s="68"/>
    </row>
    <row r="3" spans="2:5" ht="15.75">
      <c r="B3" s="74" t="s">
        <v>761</v>
      </c>
      <c r="C3" s="72"/>
      <c r="D3" s="72"/>
      <c r="E3" s="72"/>
    </row>
    <row r="4" spans="2:5" ht="15.75">
      <c r="B4" s="66"/>
      <c r="C4" s="412" t="s">
        <v>762</v>
      </c>
      <c r="D4" s="415" t="s">
        <v>763</v>
      </c>
      <c r="E4" s="76" t="s">
        <v>764</v>
      </c>
    </row>
    <row r="5" spans="2:5" ht="15.75">
      <c r="B5" s="513" t="str">
        <f>inputPrYr!B22</f>
        <v>Road</v>
      </c>
      <c r="C5" s="413" t="str">
        <f>gen!C5</f>
        <v>Actual 2010</v>
      </c>
      <c r="D5" s="413" t="str">
        <f>gen!D5</f>
        <v>Estimate 2011</v>
      </c>
      <c r="E5" s="81" t="str">
        <f>gen!E5</f>
        <v>Year 2012</v>
      </c>
    </row>
    <row r="6" spans="2:5" ht="15.75">
      <c r="B6" s="82" t="s">
        <v>553</v>
      </c>
      <c r="C6" s="326">
        <v>55547</v>
      </c>
      <c r="D6" s="414">
        <f>C42</f>
        <v>130678</v>
      </c>
      <c r="E6" s="267">
        <f>D42</f>
        <v>101168</v>
      </c>
    </row>
    <row r="7" spans="2:5" ht="15.75">
      <c r="B7" s="82" t="s">
        <v>555</v>
      </c>
      <c r="C7" s="414"/>
      <c r="D7" s="414"/>
      <c r="E7" s="328"/>
    </row>
    <row r="8" spans="2:5" ht="15.75">
      <c r="B8" s="82" t="s">
        <v>767</v>
      </c>
      <c r="C8" s="326">
        <f>72738-480</f>
        <v>72258</v>
      </c>
      <c r="D8" s="414">
        <f>inputPrYr!E22</f>
        <v>77692</v>
      </c>
      <c r="E8" s="328" t="s">
        <v>746</v>
      </c>
    </row>
    <row r="9" spans="2:5" ht="15.75">
      <c r="B9" s="82" t="s">
        <v>768</v>
      </c>
      <c r="C9" s="326">
        <f>10+478+136+39+70</f>
        <v>733</v>
      </c>
      <c r="D9" s="326">
        <v>550</v>
      </c>
      <c r="E9" s="175">
        <v>500</v>
      </c>
    </row>
    <row r="10" spans="2:5" ht="15.75">
      <c r="B10" s="82" t="s">
        <v>769</v>
      </c>
      <c r="C10" s="326">
        <v>3412</v>
      </c>
      <c r="D10" s="326">
        <v>5080</v>
      </c>
      <c r="E10" s="267">
        <f>mvalloc!G14</f>
        <v>3432</v>
      </c>
    </row>
    <row r="11" spans="2:5" ht="15.75">
      <c r="B11" s="82" t="s">
        <v>770</v>
      </c>
      <c r="C11" s="326">
        <v>58</v>
      </c>
      <c r="D11" s="326">
        <v>75</v>
      </c>
      <c r="E11" s="267">
        <f>mvalloc!I14</f>
        <v>65</v>
      </c>
    </row>
    <row r="12" spans="2:5" ht="15.75">
      <c r="B12" s="82" t="s">
        <v>535</v>
      </c>
      <c r="C12" s="326">
        <v>88</v>
      </c>
      <c r="D12" s="326">
        <v>70</v>
      </c>
      <c r="E12" s="267">
        <f>mvalloc!J14</f>
        <v>70</v>
      </c>
    </row>
    <row r="13" spans="2:5" ht="15.75">
      <c r="B13" s="82" t="s">
        <v>595</v>
      </c>
      <c r="C13" s="326">
        <v>0</v>
      </c>
      <c r="D13" s="326"/>
      <c r="E13" s="267">
        <f>mvalloc!K14</f>
        <v>0</v>
      </c>
    </row>
    <row r="14" spans="2:5" ht="15.75">
      <c r="B14" s="82" t="s">
        <v>536</v>
      </c>
      <c r="C14" s="326">
        <v>60386</v>
      </c>
      <c r="D14" s="326">
        <v>60000</v>
      </c>
      <c r="E14" s="267">
        <f>inputOth!E72</f>
        <v>60000</v>
      </c>
    </row>
    <row r="15" spans="2:5" ht="15.75">
      <c r="B15" s="331" t="s">
        <v>104</v>
      </c>
      <c r="C15" s="326">
        <v>206</v>
      </c>
      <c r="D15" s="326">
        <v>0</v>
      </c>
      <c r="E15" s="175"/>
    </row>
    <row r="16" spans="2:5" ht="15.75">
      <c r="B16" s="331" t="s">
        <v>105</v>
      </c>
      <c r="C16" s="326">
        <v>1840</v>
      </c>
      <c r="D16" s="326">
        <v>0</v>
      </c>
      <c r="E16" s="175"/>
    </row>
    <row r="17" spans="2:5" ht="15.75">
      <c r="B17" s="331"/>
      <c r="C17" s="326"/>
      <c r="D17" s="326"/>
      <c r="E17" s="175"/>
    </row>
    <row r="18" spans="2:5" ht="15.75">
      <c r="B18" s="331" t="s">
        <v>106</v>
      </c>
      <c r="C18" s="326">
        <v>60000</v>
      </c>
      <c r="D18" s="326"/>
      <c r="E18" s="175"/>
    </row>
    <row r="19" spans="2:5" ht="15.75">
      <c r="B19" s="331"/>
      <c r="C19" s="326"/>
      <c r="D19" s="326"/>
      <c r="E19" s="175"/>
    </row>
    <row r="20" spans="2:5" ht="15.75">
      <c r="B20" s="331" t="s">
        <v>773</v>
      </c>
      <c r="C20" s="326">
        <v>244</v>
      </c>
      <c r="D20" s="326"/>
      <c r="E20" s="175"/>
    </row>
    <row r="21" spans="2:5" ht="15.75">
      <c r="B21" s="332" t="s">
        <v>719</v>
      </c>
      <c r="C21" s="326"/>
      <c r="D21" s="326"/>
      <c r="E21" s="175"/>
    </row>
    <row r="22" spans="2:5" ht="15.75">
      <c r="B22" s="332" t="s">
        <v>720</v>
      </c>
      <c r="C22" s="416">
        <f>IF(C23*0.1&lt;C21,"Exceed 10% Rule","")</f>
      </c>
      <c r="D22" s="416">
        <f>IF(D23*0.1&lt;D21,"Exceed 10% Rule","")</f>
      </c>
      <c r="E22" s="336">
        <f>IF(E23*0.1+E48&lt;E21,"Exceed 10% Rule","")</f>
      </c>
    </row>
    <row r="23" spans="2:5" ht="15.75">
      <c r="B23" s="334" t="s">
        <v>774</v>
      </c>
      <c r="C23" s="417">
        <f>SUM(C8:C21)</f>
        <v>199225</v>
      </c>
      <c r="D23" s="417">
        <f>SUM(D8:D21)</f>
        <v>143467</v>
      </c>
      <c r="E23" s="335">
        <f>SUM(E8:E21)</f>
        <v>64067</v>
      </c>
    </row>
    <row r="24" spans="2:5" ht="15.75">
      <c r="B24" s="100" t="s">
        <v>775</v>
      </c>
      <c r="C24" s="417">
        <f>C23+C6</f>
        <v>254772</v>
      </c>
      <c r="D24" s="417">
        <f>D23+D6</f>
        <v>274145</v>
      </c>
      <c r="E24" s="335">
        <f>E23+E6</f>
        <v>165235</v>
      </c>
    </row>
    <row r="25" spans="2:5" ht="15.75">
      <c r="B25" s="82" t="s">
        <v>776</v>
      </c>
      <c r="C25" s="414"/>
      <c r="D25" s="414"/>
      <c r="E25" s="267"/>
    </row>
    <row r="26" spans="2:5" ht="15.75">
      <c r="B26" s="331"/>
      <c r="C26" s="326"/>
      <c r="D26" s="326"/>
      <c r="E26" s="175"/>
    </row>
    <row r="27" spans="2:5" ht="15.75">
      <c r="B27" s="331" t="s">
        <v>95</v>
      </c>
      <c r="C27" s="326">
        <v>31349</v>
      </c>
      <c r="D27" s="326">
        <v>50000</v>
      </c>
      <c r="E27" s="175">
        <v>50000</v>
      </c>
    </row>
    <row r="28" spans="2:5" ht="15.75">
      <c r="B28" s="331" t="s">
        <v>537</v>
      </c>
      <c r="C28" s="326">
        <v>1385</v>
      </c>
      <c r="D28" s="326">
        <v>2400</v>
      </c>
      <c r="E28" s="175">
        <v>2400</v>
      </c>
    </row>
    <row r="29" spans="2:5" ht="15.75">
      <c r="B29" s="330" t="s">
        <v>538</v>
      </c>
      <c r="C29" s="326">
        <v>23299</v>
      </c>
      <c r="D29" s="326">
        <v>28000</v>
      </c>
      <c r="E29" s="175">
        <v>28000</v>
      </c>
    </row>
    <row r="30" spans="2:5" ht="15.75">
      <c r="B30" s="331" t="s">
        <v>96</v>
      </c>
      <c r="C30" s="326">
        <f>13478+440</f>
        <v>13918</v>
      </c>
      <c r="D30" s="326">
        <v>35000</v>
      </c>
      <c r="E30" s="175">
        <v>46693</v>
      </c>
    </row>
    <row r="31" spans="2:5" ht="15.75">
      <c r="B31" s="331" t="s">
        <v>99</v>
      </c>
      <c r="C31" s="326">
        <v>22562</v>
      </c>
      <c r="D31" s="326">
        <v>35000</v>
      </c>
      <c r="E31" s="175">
        <v>80000</v>
      </c>
    </row>
    <row r="32" spans="2:5" ht="15.75">
      <c r="B32" s="331" t="s">
        <v>539</v>
      </c>
      <c r="C32" s="326">
        <v>31021</v>
      </c>
      <c r="D32" s="326">
        <v>12577</v>
      </c>
      <c r="E32" s="175">
        <v>35000</v>
      </c>
    </row>
    <row r="33" spans="2:5" ht="15.75">
      <c r="B33" s="331" t="s">
        <v>560</v>
      </c>
      <c r="C33" s="326">
        <v>560</v>
      </c>
      <c r="D33" s="326">
        <v>10000</v>
      </c>
      <c r="E33" s="175">
        <v>10000</v>
      </c>
    </row>
    <row r="34" spans="2:5" ht="15.75">
      <c r="B34" s="330"/>
      <c r="C34" s="326"/>
      <c r="D34" s="326"/>
      <c r="E34" s="175"/>
    </row>
    <row r="35" spans="2:5" ht="15.75">
      <c r="B35" s="330"/>
      <c r="C35" s="326"/>
      <c r="D35" s="326"/>
      <c r="E35" s="175"/>
    </row>
    <row r="36" spans="2:5" ht="15.75">
      <c r="B36" s="82" t="s">
        <v>540</v>
      </c>
      <c r="C36" s="326"/>
      <c r="D36" s="326"/>
      <c r="E36" s="175"/>
    </row>
    <row r="37" spans="2:10" ht="15.75">
      <c r="B37" s="82" t="s">
        <v>441</v>
      </c>
      <c r="C37" s="416">
        <f>IF(C24*0.25&lt;C36,"Exceeds 25%","")</f>
      </c>
      <c r="D37" s="416">
        <f>IF(D24*0.25&lt;D36,"Exceeds 25%","")</f>
      </c>
      <c r="E37" s="336">
        <f>IF(E24*0.25+E48&lt;E36,"Exceeds 25%","")</f>
      </c>
      <c r="G37" s="665" t="str">
        <f>CONCATENATE("Projected Carryover Into ",E1+1,"")</f>
        <v>Projected Carryover Into 2013</v>
      </c>
      <c r="H37" s="666"/>
      <c r="I37" s="666"/>
      <c r="J37" s="641"/>
    </row>
    <row r="38" spans="2:10" ht="15.75">
      <c r="B38" s="329" t="s">
        <v>721</v>
      </c>
      <c r="C38" s="326"/>
      <c r="D38" s="326"/>
      <c r="E38" s="186">
        <f>nhood!E8</f>
      </c>
      <c r="G38" s="536"/>
      <c r="H38" s="73"/>
      <c r="I38" s="73"/>
      <c r="J38" s="86"/>
    </row>
    <row r="39" spans="2:10" ht="15.75">
      <c r="B39" s="329" t="s">
        <v>719</v>
      </c>
      <c r="C39" s="326"/>
      <c r="D39" s="326"/>
      <c r="E39" s="175"/>
      <c r="G39" s="537">
        <f>D42</f>
        <v>101168</v>
      </c>
      <c r="H39" s="538" t="str">
        <f>CONCATENATE("",E1-1," Ending Cash Balance (est.)")</f>
        <v>2011 Ending Cash Balance (est.)</v>
      </c>
      <c r="I39" s="539"/>
      <c r="J39" s="86"/>
    </row>
    <row r="40" spans="2:10" ht="15.75">
      <c r="B40" s="329" t="s">
        <v>436</v>
      </c>
      <c r="C40" s="416">
        <f>IF(C41*0.1&lt;C39,"Exceed 10% Rule","")</f>
      </c>
      <c r="D40" s="416">
        <f>IF(D41*0.1&lt;D39,"Exceed 10% Rule","")</f>
      </c>
      <c r="E40" s="336">
        <f>IF(E41*0.1&lt;E39,"Exceed 10% Rule","")</f>
      </c>
      <c r="G40" s="537">
        <f>E23</f>
        <v>64067</v>
      </c>
      <c r="H40" s="540" t="str">
        <f>CONCATENATE("",E1," Non-AV Receipts (est.)")</f>
        <v>2012 Non-AV Receipts (est.)</v>
      </c>
      <c r="I40" s="539"/>
      <c r="J40" s="86"/>
    </row>
    <row r="41" spans="2:10" ht="15.75">
      <c r="B41" s="100" t="s">
        <v>777</v>
      </c>
      <c r="C41" s="417">
        <f>SUM(C26:C39)</f>
        <v>124094</v>
      </c>
      <c r="D41" s="417">
        <f>SUM(D26:D39)</f>
        <v>172977</v>
      </c>
      <c r="E41" s="335">
        <f>SUM(E26:E36,E39)</f>
        <v>252093</v>
      </c>
      <c r="G41" s="541">
        <f>E48</f>
        <v>86858</v>
      </c>
      <c r="H41" s="540" t="str">
        <f>CONCATENATE("",E1," Ad Valorem Tax (est.)")</f>
        <v>2012 Ad Valorem Tax (est.)</v>
      </c>
      <c r="I41" s="539"/>
      <c r="J41" s="86"/>
    </row>
    <row r="42" spans="2:10" ht="15.75">
      <c r="B42" s="82" t="s">
        <v>554</v>
      </c>
      <c r="C42" s="418">
        <f>C24-C41</f>
        <v>130678</v>
      </c>
      <c r="D42" s="418">
        <f>D24-D41</f>
        <v>101168</v>
      </c>
      <c r="E42" s="328" t="s">
        <v>746</v>
      </c>
      <c r="G42" s="537">
        <f>SUM(G39:G41)</f>
        <v>252093</v>
      </c>
      <c r="H42" s="540" t="str">
        <f>CONCATENATE("Total ",E1," Resources Available")</f>
        <v>Total 2012 Resources Available</v>
      </c>
      <c r="I42" s="539"/>
      <c r="J42" s="86"/>
    </row>
    <row r="43" spans="2:10" ht="15.75">
      <c r="B43" s="121" t="str">
        <f>CONCATENATE("",$E$1-2,"/",$E$1-1," Budget Authority Amount:")</f>
        <v>2010/2011 Budget Authority Amount:</v>
      </c>
      <c r="C43" s="362">
        <f>inputOth!B85</f>
        <v>186977</v>
      </c>
      <c r="D43" s="85">
        <f>inputPrYr!D22</f>
        <v>172977</v>
      </c>
      <c r="E43" s="328" t="s">
        <v>746</v>
      </c>
      <c r="F43" s="337"/>
      <c r="G43" s="542"/>
      <c r="H43" s="540"/>
      <c r="I43" s="540"/>
      <c r="J43" s="86"/>
    </row>
    <row r="44" spans="2:10" ht="15.75">
      <c r="B44" s="121"/>
      <c r="C44" s="659" t="s">
        <v>433</v>
      </c>
      <c r="D44" s="660"/>
      <c r="E44" s="175"/>
      <c r="F44" s="337">
        <f>IF(E41/0.95-E41&lt;E44,"Exceeds 5%","")</f>
      </c>
      <c r="G44" s="541">
        <f>C41*0.05+C41</f>
        <v>130298.7</v>
      </c>
      <c r="H44" s="540" t="str">
        <f>CONCATENATE("Less ",E1-2," Expenditures + 5%")</f>
        <v>Less 2010 Expenditures + 5%</v>
      </c>
      <c r="I44" s="539"/>
      <c r="J44" s="86"/>
    </row>
    <row r="45" spans="2:10" ht="15.75">
      <c r="B45" s="528" t="str">
        <f>CONCATENATE(C70,"     ",D70)</f>
        <v>     </v>
      </c>
      <c r="C45" s="661" t="s">
        <v>434</v>
      </c>
      <c r="D45" s="662"/>
      <c r="E45" s="267">
        <f>E41+E44</f>
        <v>252093</v>
      </c>
      <c r="G45" s="543">
        <f>G42-G44</f>
        <v>121794.3</v>
      </c>
      <c r="H45" s="544" t="str">
        <f>CONCATENATE("Projected ",E1+1," Carryover (est.)")</f>
        <v>Projected 2013 Carryover (est.)</v>
      </c>
      <c r="I45" s="545"/>
      <c r="J45" s="546"/>
    </row>
    <row r="46" spans="2:5" ht="15.75">
      <c r="B46" s="528" t="str">
        <f>CONCATENATE(C71,"     ",D71)</f>
        <v>     </v>
      </c>
      <c r="C46" s="531"/>
      <c r="D46" s="530" t="s">
        <v>779</v>
      </c>
      <c r="E46" s="186">
        <f>IF(E45-E24&gt;0,E45-E24,0)</f>
        <v>86858</v>
      </c>
    </row>
    <row r="47" spans="2:10" ht="15.75">
      <c r="B47" s="216"/>
      <c r="C47" s="529" t="s">
        <v>435</v>
      </c>
      <c r="D47" s="533">
        <f>inputOth!$E$77</f>
        <v>0</v>
      </c>
      <c r="E47" s="267">
        <f>ROUND(IF(D47&gt;0,(E46*D47),0),0)</f>
        <v>0</v>
      </c>
      <c r="G47" s="547">
        <f>IF(inputOth!E8=0,"",ROUND(E48/inputOth!E8*1000,3))</f>
        <v>8.962</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86858</v>
      </c>
      <c r="G48" s="551"/>
      <c r="H48" s="551"/>
      <c r="I48" s="551"/>
      <c r="J48" s="551"/>
    </row>
    <row r="49" spans="2:10" ht="15.75">
      <c r="B49" s="66"/>
      <c r="C49" s="66"/>
      <c r="D49" s="66"/>
      <c r="E49" s="66"/>
      <c r="G49" s="665" t="str">
        <f>CONCATENATE("Desired Carryover Into ",E1+1,"")</f>
        <v>Desired Carryover Into 2013</v>
      </c>
      <c r="H49" s="667"/>
      <c r="I49" s="667"/>
      <c r="J49" s="641"/>
    </row>
    <row r="50" spans="2:10" ht="15.75">
      <c r="B50" s="66"/>
      <c r="C50" s="66"/>
      <c r="D50" s="66"/>
      <c r="E50" s="66"/>
      <c r="G50" s="552"/>
      <c r="H50" s="73"/>
      <c r="I50" s="540"/>
      <c r="J50" s="553"/>
    </row>
    <row r="51" spans="2:10" ht="15.75">
      <c r="B51" s="161" t="s">
        <v>781</v>
      </c>
      <c r="C51" s="209">
        <f>E1-2</f>
        <v>2010</v>
      </c>
      <c r="D51" s="66"/>
      <c r="E51" s="66"/>
      <c r="G51" s="554" t="s">
        <v>439</v>
      </c>
      <c r="H51" s="540"/>
      <c r="I51" s="540"/>
      <c r="J51" s="555">
        <v>0</v>
      </c>
    </row>
    <row r="52" spans="2:10" ht="15.75">
      <c r="B52" s="79" t="s">
        <v>782</v>
      </c>
      <c r="C52" s="81" t="s">
        <v>783</v>
      </c>
      <c r="D52" s="66"/>
      <c r="E52" s="66"/>
      <c r="G52" s="552" t="s">
        <v>440</v>
      </c>
      <c r="H52" s="73"/>
      <c r="I52" s="73"/>
      <c r="J52" s="556">
        <f>IF(J51=0,"",ROUND((J51+E48-G45)/inputOth!E8*1000,3)-G47)</f>
      </c>
    </row>
    <row r="53" spans="2:10" ht="15.75">
      <c r="B53" s="108" t="s">
        <v>765</v>
      </c>
      <c r="C53" s="527">
        <v>118861</v>
      </c>
      <c r="D53" s="66"/>
      <c r="E53" s="66"/>
      <c r="G53" s="557" t="str">
        <f>CONCATENATE("",E1," Total Expenditures Must Be:")</f>
        <v>2012 Total Expenditures Must Be:</v>
      </c>
      <c r="H53" s="558"/>
      <c r="I53" s="559"/>
      <c r="J53" s="560">
        <f>IF((J51&gt;0),(E41+J51-G45),0)</f>
        <v>0</v>
      </c>
    </row>
    <row r="54" spans="2:5" ht="15.75">
      <c r="B54" s="108" t="s">
        <v>784</v>
      </c>
      <c r="C54" s="362"/>
      <c r="D54" s="66"/>
      <c r="E54" s="66"/>
    </row>
    <row r="55" spans="2:5" ht="15.75">
      <c r="B55" s="108" t="s">
        <v>785</v>
      </c>
      <c r="C55" s="522">
        <f>IF(C36&gt;0,C36,0)</f>
        <v>0</v>
      </c>
      <c r="D55" s="353">
        <f>IF(C36&gt;(C24*0.25),"Exceeds 25% of Resources Available","")</f>
      </c>
      <c r="E55" s="66"/>
    </row>
    <row r="56" spans="2:5" ht="15.75">
      <c r="B56" s="108" t="s">
        <v>682</v>
      </c>
      <c r="C56" s="521">
        <f>IF(gen!C39&gt;0,gen!C39,0)</f>
        <v>0</v>
      </c>
      <c r="D56" s="671">
        <f>IF(AND(gen!C39&gt;0,gen!C41&gt;0),"Not Auth. Two General Transfers - Only One","")</f>
      </c>
      <c r="E56" s="66"/>
    </row>
    <row r="57" spans="2:5" ht="15.75">
      <c r="B57" s="108" t="s">
        <v>683</v>
      </c>
      <c r="C57" s="522">
        <f>IF(gen!C41&gt;0,gen!C41,0)</f>
        <v>0</v>
      </c>
      <c r="D57" s="672"/>
      <c r="E57" s="66"/>
    </row>
    <row r="58" spans="2:5" ht="15.75">
      <c r="B58" s="177"/>
      <c r="C58" s="527"/>
      <c r="D58" s="66"/>
      <c r="E58" s="66"/>
    </row>
    <row r="59" spans="2:5" ht="15.75">
      <c r="B59" s="177" t="s">
        <v>773</v>
      </c>
      <c r="C59" s="527"/>
      <c r="D59" s="66"/>
      <c r="E59" s="66"/>
    </row>
    <row r="60" spans="2:5" ht="15.75">
      <c r="B60" s="177" t="s">
        <v>772</v>
      </c>
      <c r="C60" s="527"/>
      <c r="D60" s="66"/>
      <c r="E60" s="66"/>
    </row>
    <row r="61" spans="2:5" ht="15.75">
      <c r="B61" s="354" t="s">
        <v>775</v>
      </c>
      <c r="C61" s="520">
        <f>SUM(C53,C55:C60)</f>
        <v>118861</v>
      </c>
      <c r="D61" s="66"/>
      <c r="E61" s="66"/>
    </row>
    <row r="62" spans="2:5" ht="15.75">
      <c r="B62" s="354" t="s">
        <v>777</v>
      </c>
      <c r="C62" s="527"/>
      <c r="D62" s="66"/>
      <c r="E62" s="66"/>
    </row>
    <row r="63" spans="2:5" ht="15.75">
      <c r="B63" s="354" t="s">
        <v>778</v>
      </c>
      <c r="C63" s="520">
        <f>C61-C62</f>
        <v>118861</v>
      </c>
      <c r="D63" s="66"/>
      <c r="E63" s="66"/>
    </row>
    <row r="64" spans="2:5" ht="15.75">
      <c r="B64" s="66"/>
      <c r="C64" s="66"/>
      <c r="D64" s="66"/>
      <c r="E64" s="66"/>
    </row>
    <row r="65" spans="2:5" ht="15.75">
      <c r="B65" s="216" t="s">
        <v>760</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A16" sqref="A16"/>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Kechi Township</v>
      </c>
      <c r="C1" s="66"/>
      <c r="D1" s="66"/>
      <c r="E1" s="231">
        <f>inputPrYr!D9</f>
        <v>2012</v>
      </c>
    </row>
    <row r="2" spans="2:5" ht="15.75">
      <c r="B2" s="66"/>
      <c r="C2" s="66"/>
      <c r="D2" s="66"/>
      <c r="E2" s="216"/>
    </row>
    <row r="3" spans="2:5" ht="15.75">
      <c r="B3" s="163" t="s">
        <v>575</v>
      </c>
      <c r="C3" s="72"/>
      <c r="D3" s="72"/>
      <c r="E3" s="72"/>
    </row>
    <row r="4" spans="2:5" ht="15.75">
      <c r="B4" s="74" t="s">
        <v>761</v>
      </c>
      <c r="C4" s="209" t="s">
        <v>762</v>
      </c>
      <c r="D4" s="76" t="s">
        <v>763</v>
      </c>
      <c r="E4" s="76" t="s">
        <v>764</v>
      </c>
    </row>
    <row r="5" spans="2:5" ht="15.75">
      <c r="B5" s="513" t="str">
        <f>inputPrYr!B34</f>
        <v>Cemetery</v>
      </c>
      <c r="C5" s="81" t="str">
        <f>gen!C5</f>
        <v>Actual 2010</v>
      </c>
      <c r="D5" s="81" t="str">
        <f>gen!D5</f>
        <v>Estimate 2011</v>
      </c>
      <c r="E5" s="81" t="str">
        <f>gen!E5</f>
        <v>Year 2012</v>
      </c>
    </row>
    <row r="6" spans="2:5" ht="15.75">
      <c r="B6" s="359" t="s">
        <v>576</v>
      </c>
      <c r="C6" s="175">
        <v>66547</v>
      </c>
      <c r="D6" s="267">
        <f>C29</f>
        <v>57303</v>
      </c>
      <c r="E6" s="267">
        <f>D29</f>
        <v>53803</v>
      </c>
    </row>
    <row r="7" spans="2:5" s="160" customFormat="1" ht="15.75">
      <c r="B7" s="360" t="s">
        <v>555</v>
      </c>
      <c r="C7" s="92"/>
      <c r="D7" s="92"/>
      <c r="E7" s="92"/>
    </row>
    <row r="8" spans="2:5" ht="15.75">
      <c r="B8" s="330" t="s">
        <v>107</v>
      </c>
      <c r="C8" s="175">
        <v>43582</v>
      </c>
      <c r="D8" s="175">
        <v>20000</v>
      </c>
      <c r="E8" s="175">
        <v>20000</v>
      </c>
    </row>
    <row r="9" spans="2:5" ht="15.75">
      <c r="B9" s="330" t="s">
        <v>108</v>
      </c>
      <c r="C9" s="175">
        <v>82775</v>
      </c>
      <c r="D9" s="175">
        <v>100000</v>
      </c>
      <c r="E9" s="175">
        <v>85000</v>
      </c>
    </row>
    <row r="10" spans="2:5" ht="15.75">
      <c r="B10" s="330" t="s">
        <v>109</v>
      </c>
      <c r="C10" s="175">
        <v>2382</v>
      </c>
      <c r="D10" s="175">
        <v>2500</v>
      </c>
      <c r="E10" s="175">
        <v>2500</v>
      </c>
    </row>
    <row r="11" spans="2:5" ht="15.75">
      <c r="B11" s="330" t="s">
        <v>110</v>
      </c>
      <c r="C11" s="175">
        <v>3700</v>
      </c>
      <c r="D11" s="175"/>
      <c r="E11" s="175"/>
    </row>
    <row r="12" spans="2:5" ht="15.75">
      <c r="B12" s="361" t="s">
        <v>773</v>
      </c>
      <c r="C12" s="175">
        <v>1873</v>
      </c>
      <c r="D12" s="175">
        <v>2000</v>
      </c>
      <c r="E12" s="175">
        <v>1800</v>
      </c>
    </row>
    <row r="13" spans="2:5" ht="15.75">
      <c r="B13" s="332" t="s">
        <v>719</v>
      </c>
      <c r="C13" s="175"/>
      <c r="D13" s="327"/>
      <c r="E13" s="327"/>
    </row>
    <row r="14" spans="2:5" ht="15.75">
      <c r="B14" s="332" t="s">
        <v>720</v>
      </c>
      <c r="C14" s="336">
        <f>IF(C15*0.1&lt;C13,"Exceed 10% Rule","")</f>
      </c>
      <c r="D14" s="333">
        <f>IF(D15*0.1&lt;D13,"Exceed 10% Rule","")</f>
      </c>
      <c r="E14" s="333">
        <f>IF(E15*0.1&lt;E13,"Exceed 10% Rule","")</f>
      </c>
    </row>
    <row r="15" spans="2:5" ht="15.75">
      <c r="B15" s="100" t="s">
        <v>774</v>
      </c>
      <c r="C15" s="335">
        <f>SUM(C8:C13)</f>
        <v>134312</v>
      </c>
      <c r="D15" s="335">
        <f>SUM(D8:D13)</f>
        <v>124500</v>
      </c>
      <c r="E15" s="335">
        <f>SUM(E8:E13)</f>
        <v>109300</v>
      </c>
    </row>
    <row r="16" spans="2:5" ht="15.75">
      <c r="B16" s="100" t="s">
        <v>775</v>
      </c>
      <c r="C16" s="355">
        <f>C6+C15</f>
        <v>200859</v>
      </c>
      <c r="D16" s="355">
        <f>D6+D15</f>
        <v>181803</v>
      </c>
      <c r="E16" s="355">
        <f>E6+E15</f>
        <v>163103</v>
      </c>
    </row>
    <row r="17" spans="2:5" ht="15.75">
      <c r="B17" s="82" t="s">
        <v>776</v>
      </c>
      <c r="C17" s="267"/>
      <c r="D17" s="267"/>
      <c r="E17" s="267"/>
    </row>
    <row r="18" spans="2:5" ht="15.75">
      <c r="B18" s="330" t="s">
        <v>539</v>
      </c>
      <c r="C18" s="175"/>
      <c r="D18" s="175">
        <v>10000</v>
      </c>
      <c r="E18" s="175">
        <v>10000</v>
      </c>
    </row>
    <row r="19" spans="2:5" ht="15.75">
      <c r="B19" s="330" t="s">
        <v>95</v>
      </c>
      <c r="C19" s="175">
        <v>33100</v>
      </c>
      <c r="D19" s="175">
        <v>35000</v>
      </c>
      <c r="E19" s="175">
        <v>35000</v>
      </c>
    </row>
    <row r="20" spans="2:5" ht="15.75">
      <c r="B20" s="330" t="s">
        <v>111</v>
      </c>
      <c r="C20" s="175">
        <v>14721</v>
      </c>
      <c r="D20" s="175">
        <v>15000</v>
      </c>
      <c r="E20" s="175">
        <v>15000</v>
      </c>
    </row>
    <row r="21" spans="2:5" ht="15.75">
      <c r="B21" s="330" t="s">
        <v>96</v>
      </c>
      <c r="C21" s="175">
        <v>15045</v>
      </c>
      <c r="D21" s="175">
        <v>60000</v>
      </c>
      <c r="E21" s="175">
        <v>60000</v>
      </c>
    </row>
    <row r="22" spans="2:5" ht="15.75">
      <c r="B22" s="330" t="s">
        <v>99</v>
      </c>
      <c r="C22" s="175">
        <v>20690</v>
      </c>
      <c r="D22" s="175">
        <v>5000</v>
      </c>
      <c r="E22" s="175">
        <v>5000</v>
      </c>
    </row>
    <row r="23" spans="2:5" ht="15.75">
      <c r="B23" s="330" t="s">
        <v>112</v>
      </c>
      <c r="C23" s="175"/>
      <c r="D23" s="175">
        <v>3000</v>
      </c>
      <c r="E23" s="175">
        <v>3000</v>
      </c>
    </row>
    <row r="24" spans="2:5" ht="15.75">
      <c r="B24" s="330" t="s">
        <v>560</v>
      </c>
      <c r="C24" s="175"/>
      <c r="D24" s="175">
        <v>0</v>
      </c>
      <c r="E24" s="175">
        <v>0</v>
      </c>
    </row>
    <row r="25" spans="2:5" ht="15.75">
      <c r="B25" s="330" t="s">
        <v>113</v>
      </c>
      <c r="C25" s="175">
        <v>60000</v>
      </c>
      <c r="D25" s="175">
        <v>0</v>
      </c>
      <c r="E25" s="175">
        <v>0</v>
      </c>
    </row>
    <row r="26" spans="2:5" ht="15.75">
      <c r="B26" s="329" t="s">
        <v>719</v>
      </c>
      <c r="C26" s="175"/>
      <c r="D26" s="327"/>
      <c r="E26" s="327"/>
    </row>
    <row r="27" spans="2:5" ht="15.75">
      <c r="B27" s="329" t="s">
        <v>436</v>
      </c>
      <c r="C27" s="336">
        <f>IF(C28*0.1&lt;C26,"Exceed 10% Rule","")</f>
      </c>
      <c r="D27" s="333">
        <f>IF(D28*0.1&lt;D26,"Exceed 10% Rule","")</f>
      </c>
      <c r="E27" s="333">
        <f>IF(E28*0.1&lt;E26,"Exceed 10% Rule","")</f>
      </c>
    </row>
    <row r="28" spans="2:5" ht="15.75">
      <c r="B28" s="100" t="s">
        <v>777</v>
      </c>
      <c r="C28" s="335">
        <f>SUM(C18:C26)</f>
        <v>143556</v>
      </c>
      <c r="D28" s="335">
        <f>SUM(D18:D26)</f>
        <v>128000</v>
      </c>
      <c r="E28" s="335">
        <f>SUM(E18:E26)</f>
        <v>128000</v>
      </c>
    </row>
    <row r="29" spans="2:5" ht="15.75">
      <c r="B29" s="82" t="s">
        <v>554</v>
      </c>
      <c r="C29" s="186">
        <f>C16-C28</f>
        <v>57303</v>
      </c>
      <c r="D29" s="186">
        <f>D16-D28</f>
        <v>53803</v>
      </c>
      <c r="E29" s="186">
        <f>E16-E28</f>
        <v>35103</v>
      </c>
    </row>
    <row r="30" spans="2:5" ht="15.75">
      <c r="B30" s="121" t="str">
        <f>CONCATENATE("",E1-2,"/",E1-1," Budget Authority Amount:")</f>
        <v>2010/2011 Budget Authority Amount:</v>
      </c>
      <c r="C30" s="362">
        <f>inputOth!B94</f>
        <v>127840</v>
      </c>
      <c r="D30" s="362">
        <f>inputPrYr!D34</f>
        <v>128000</v>
      </c>
      <c r="E30" s="534">
        <f>IF(E29&lt;0,"See Tab E","")</f>
      </c>
    </row>
    <row r="31" spans="2:5" ht="15.75">
      <c r="B31" s="121"/>
      <c r="C31" s="338" t="str">
        <f>IF(C28&gt;C30,"See Tab A","")</f>
        <v>See Tab A</v>
      </c>
      <c r="D31" s="338">
        <f>IF(D28&gt;D30,"See Tab C","")</f>
      </c>
      <c r="E31" s="194"/>
    </row>
    <row r="32" spans="2:5" ht="15.75">
      <c r="B32" s="121"/>
      <c r="C32" s="338">
        <f>IF(C29&lt;0,"See Tab B","")</f>
      </c>
      <c r="D32" s="194"/>
      <c r="E32" s="194"/>
    </row>
    <row r="33" spans="2:5" ht="15.75">
      <c r="B33" s="66"/>
      <c r="C33" s="194"/>
      <c r="D33" s="194"/>
      <c r="E33" s="194"/>
    </row>
    <row r="34" spans="2:5" ht="15.75">
      <c r="B34" s="74" t="s">
        <v>761</v>
      </c>
      <c r="C34" s="72"/>
      <c r="D34" s="72"/>
      <c r="E34" s="72"/>
    </row>
    <row r="35" spans="2:5" ht="15.75">
      <c r="B35" s="66"/>
      <c r="C35" s="209" t="s">
        <v>762</v>
      </c>
      <c r="D35" s="76" t="s">
        <v>763</v>
      </c>
      <c r="E35" s="76" t="s">
        <v>764</v>
      </c>
    </row>
    <row r="36" spans="2:5" ht="15.75">
      <c r="B36" s="514">
        <f>inputPrYr!B35</f>
        <v>0</v>
      </c>
      <c r="C36" s="81" t="str">
        <f>C5</f>
        <v>Actual 2010</v>
      </c>
      <c r="D36" s="81" t="str">
        <f>D5</f>
        <v>Estimate 2011</v>
      </c>
      <c r="E36" s="81" t="str">
        <f>E5</f>
        <v>Year 2012</v>
      </c>
    </row>
    <row r="37" spans="2:5" ht="15.75">
      <c r="B37" s="359" t="s">
        <v>576</v>
      </c>
      <c r="C37" s="175"/>
      <c r="D37" s="267">
        <f>C60</f>
        <v>0</v>
      </c>
      <c r="E37" s="267">
        <f>D60</f>
        <v>0</v>
      </c>
    </row>
    <row r="38" spans="2:5" s="160" customFormat="1" ht="15.75">
      <c r="B38" s="359" t="s">
        <v>555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773</v>
      </c>
      <c r="C43" s="175"/>
      <c r="D43" s="175"/>
      <c r="E43" s="175"/>
    </row>
    <row r="44" spans="2:5" ht="15.75">
      <c r="B44" s="332" t="s">
        <v>719</v>
      </c>
      <c r="C44" s="175"/>
      <c r="D44" s="327"/>
      <c r="E44" s="327"/>
    </row>
    <row r="45" spans="2:5" ht="15.75">
      <c r="B45" s="332" t="s">
        <v>720</v>
      </c>
      <c r="C45" s="336">
        <f>IF(C46*0.1&lt;C44,"Exceed 10% Rule","")</f>
      </c>
      <c r="D45" s="333">
        <f>IF(D46*0.1&lt;D44,"Exceed 10% Rule","")</f>
      </c>
      <c r="E45" s="333">
        <f>IF(E46*0.1&lt;E44,"Exceed 10% Rule","")</f>
      </c>
    </row>
    <row r="46" spans="2:5" ht="15.75">
      <c r="B46" s="100" t="s">
        <v>774</v>
      </c>
      <c r="C46" s="335">
        <f>SUM(C39:C44)</f>
        <v>0</v>
      </c>
      <c r="D46" s="335">
        <f>SUM(D39:D44)</f>
        <v>0</v>
      </c>
      <c r="E46" s="335">
        <f>SUM(E39:E44)</f>
        <v>0</v>
      </c>
    </row>
    <row r="47" spans="2:5" ht="15.75">
      <c r="B47" s="100" t="s">
        <v>775</v>
      </c>
      <c r="C47" s="335">
        <f>C37+C46</f>
        <v>0</v>
      </c>
      <c r="D47" s="335">
        <f>D37+D46</f>
        <v>0</v>
      </c>
      <c r="E47" s="335">
        <f>E37+E46</f>
        <v>0</v>
      </c>
    </row>
    <row r="48" spans="2:5" ht="15.75">
      <c r="B48" s="82" t="s">
        <v>776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719</v>
      </c>
      <c r="C57" s="175"/>
      <c r="D57" s="327"/>
      <c r="E57" s="327"/>
    </row>
    <row r="58" spans="2:5" ht="15.75">
      <c r="B58" s="329" t="s">
        <v>436</v>
      </c>
      <c r="C58" s="336">
        <f>IF(C59*0.1&lt;C57,"Exceed 10% Rule","")</f>
      </c>
      <c r="D58" s="333">
        <f>IF(D59*0.1&lt;D57,"Exceed 10% Rule","")</f>
      </c>
      <c r="E58" s="333">
        <f>IF(E59*0.1&lt;E57,"Exceed 10% Rule","")</f>
      </c>
    </row>
    <row r="59" spans="2:5" ht="15.75">
      <c r="B59" s="100" t="s">
        <v>777</v>
      </c>
      <c r="C59" s="335">
        <f>SUM(C49:C57)</f>
        <v>0</v>
      </c>
      <c r="D59" s="335">
        <f>SUM(D49:D57)</f>
        <v>0</v>
      </c>
      <c r="E59" s="335">
        <f>SUM(E49:E57)</f>
        <v>0</v>
      </c>
    </row>
    <row r="60" spans="2:5" ht="15.75">
      <c r="B60" s="82" t="s">
        <v>554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760</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J32" sqref="J32"/>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H29" sqref="H2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507</v>
      </c>
      <c r="B1" s="67"/>
      <c r="C1" s="67"/>
      <c r="D1" s="67"/>
      <c r="E1" s="67"/>
      <c r="F1" s="67"/>
      <c r="G1" s="67"/>
      <c r="H1" s="67">
        <f>inputPrYr!D9</f>
        <v>2012</v>
      </c>
    </row>
    <row r="2" spans="1:8" ht="15.75">
      <c r="A2" s="66"/>
      <c r="B2" s="66"/>
      <c r="C2" s="66"/>
      <c r="D2" s="66"/>
      <c r="E2" s="66"/>
      <c r="F2" s="74" t="s">
        <v>787</v>
      </c>
      <c r="G2" s="74" t="s">
        <v>788</v>
      </c>
      <c r="H2" s="66"/>
    </row>
    <row r="3" spans="1:8" ht="15.75">
      <c r="A3" s="633" t="s">
        <v>789</v>
      </c>
      <c r="B3" s="633"/>
      <c r="C3" s="633"/>
      <c r="D3" s="633"/>
      <c r="E3" s="633"/>
      <c r="F3" s="633"/>
      <c r="G3" s="633"/>
      <c r="H3" s="633"/>
    </row>
    <row r="4" spans="1:8" ht="15.75">
      <c r="A4" s="684" t="str">
        <f>inputPrYr!D3</f>
        <v>Kechi Township</v>
      </c>
      <c r="B4" s="684"/>
      <c r="C4" s="684"/>
      <c r="D4" s="684"/>
      <c r="E4" s="684"/>
      <c r="F4" s="684"/>
      <c r="G4" s="684"/>
      <c r="H4" s="684"/>
    </row>
    <row r="5" spans="1:8" ht="15.75">
      <c r="A5" s="684" t="str">
        <f>inputPrYr!D4</f>
        <v>Sedgwick County</v>
      </c>
      <c r="B5" s="684"/>
      <c r="C5" s="684"/>
      <c r="D5" s="684"/>
      <c r="E5" s="684"/>
      <c r="F5" s="684"/>
      <c r="G5" s="684"/>
      <c r="H5" s="684"/>
    </row>
    <row r="6" spans="1:8" ht="15.75">
      <c r="A6" s="683" t="str">
        <f>CONCATENATE("will meet on ",inputBudSum!B5," at ",inputBudSum!B7," at ",inputBudSum!B9," for the purpose of hearing and")</f>
        <v>will meet on August 9, 2011 at 10 a.m. at 900 E 69th St North, Wichita, Ks for the purpose of hearing and</v>
      </c>
      <c r="B6" s="683"/>
      <c r="C6" s="683"/>
      <c r="D6" s="683"/>
      <c r="E6" s="683"/>
      <c r="F6" s="683"/>
      <c r="G6" s="683"/>
      <c r="H6" s="683"/>
    </row>
    <row r="7" spans="1:8" ht="15.75">
      <c r="A7" s="70" t="s">
        <v>465</v>
      </c>
      <c r="B7" s="67"/>
      <c r="C7" s="67"/>
      <c r="D7" s="67"/>
      <c r="E7" s="67"/>
      <c r="F7" s="67"/>
      <c r="G7" s="67"/>
      <c r="H7" s="67"/>
    </row>
    <row r="8" spans="1:8" ht="15.75">
      <c r="A8" s="638" t="str">
        <f>CONCATENATE("Detailed budget information is available at ",inputBudSum!B12," and will be available at this hearing.")</f>
        <v>Detailed budget information is available at Sedgwick County Clerk's Office, 525 N Main, Wichita and will be available at this hearing.</v>
      </c>
      <c r="B8" s="647"/>
      <c r="C8" s="647"/>
      <c r="D8" s="647"/>
      <c r="E8" s="647"/>
      <c r="F8" s="647"/>
      <c r="G8" s="647"/>
      <c r="H8" s="647"/>
    </row>
    <row r="9" spans="1:8" ht="15.75">
      <c r="A9" s="165" t="s">
        <v>508</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783</v>
      </c>
      <c r="D14" s="76"/>
      <c r="E14" s="76" t="s">
        <v>783</v>
      </c>
      <c r="F14" s="210"/>
      <c r="G14" s="630" t="str">
        <f>CONCATENATE("Amount of ",H1-1," Ad Valorem Tax")</f>
        <v>Amount of 2011 Ad Valorem Tax</v>
      </c>
      <c r="H14" s="76" t="s">
        <v>790</v>
      </c>
      <c r="I14" s="203"/>
    </row>
    <row r="15" spans="1:9" ht="15.75">
      <c r="A15" s="66"/>
      <c r="B15" s="78"/>
      <c r="C15" s="78" t="s">
        <v>791</v>
      </c>
      <c r="D15" s="78"/>
      <c r="E15" s="78" t="s">
        <v>791</v>
      </c>
      <c r="F15" s="524" t="s">
        <v>663</v>
      </c>
      <c r="G15" s="681"/>
      <c r="H15" s="78" t="s">
        <v>791</v>
      </c>
      <c r="I15" s="203"/>
    </row>
    <row r="16" spans="1:10" ht="15.75">
      <c r="A16" s="211" t="s">
        <v>742</v>
      </c>
      <c r="B16" s="81" t="s">
        <v>792</v>
      </c>
      <c r="C16" s="81" t="s">
        <v>793</v>
      </c>
      <c r="D16" s="81" t="s">
        <v>792</v>
      </c>
      <c r="E16" s="81" t="s">
        <v>793</v>
      </c>
      <c r="F16" s="523" t="s">
        <v>432</v>
      </c>
      <c r="G16" s="682"/>
      <c r="H16" s="81" t="s">
        <v>793</v>
      </c>
      <c r="I16" s="203"/>
      <c r="J16" s="581"/>
    </row>
    <row r="17" spans="1:10" ht="15.75">
      <c r="A17" s="92" t="str">
        <f>inputPrYr!B20</f>
        <v>General</v>
      </c>
      <c r="B17" s="92">
        <f>IF(gen!$C$46&lt;&gt;0,gen!$C$46,"  ")</f>
        <v>27038</v>
      </c>
      <c r="C17" s="95">
        <f>IF(inputPrYr!D48&gt;0,inputPrYr!D48,"  ")</f>
        <v>1.521</v>
      </c>
      <c r="D17" s="92">
        <f>IF(gen!$D$46&lt;&gt;0,gen!$D$46,"  ")</f>
        <v>32500</v>
      </c>
      <c r="E17" s="95">
        <f>IF(inputOth!D37&gt;0,inputOth!D37,"  ")</f>
        <v>1.34</v>
      </c>
      <c r="F17" s="92">
        <f>IF(gen!$E$46&lt;&gt;0,gen!$E$46,"  ")</f>
        <v>32500</v>
      </c>
      <c r="G17" s="92">
        <f>IF(gen!$E$53&lt;&gt;0,gen!$E$53,"")</f>
        <v>25144.629999999997</v>
      </c>
      <c r="H17" s="95">
        <f>IF(gen!E53&gt;0,ROUND(G17/F38*1000,3)," ")</f>
        <v>1.194</v>
      </c>
      <c r="I17" s="203"/>
      <c r="J17" s="581"/>
    </row>
    <row r="18" spans="1:9" ht="15.75">
      <c r="A18" s="92" t="s">
        <v>800</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124094</v>
      </c>
      <c r="C19" s="95">
        <f>IF(inputPrYr!D50&gt;0,inputPrYr!D50,"  ")</f>
        <v>8.859</v>
      </c>
      <c r="D19" s="92">
        <f>IF(road!$D$41&lt;&gt;0,road!$D$41,"  ")</f>
        <v>172977</v>
      </c>
      <c r="E19" s="95">
        <f>IF(inputOth!D39&gt;0,inputOth!D39,"  ")</f>
        <v>9.307</v>
      </c>
      <c r="F19" s="92">
        <f>IF(road!$E$41&lt;&gt;0,road!$E$41,"  ")</f>
        <v>252093</v>
      </c>
      <c r="G19" s="92">
        <f>IF(road!$E$48&lt;&gt;0,road!$E$48,"  ")</f>
        <v>86858</v>
      </c>
      <c r="H19" s="95">
        <f>IF(road!E48&gt;0,ROUND(G19/F39*1000,3)," ")</f>
        <v>8.962</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3" t="str">
        <f>CONCATENATE("Estimated Value Of One Mill For ",H1,"")</f>
        <v>Estimated Value Of One Mill For 2012</v>
      </c>
      <c r="K22" s="678"/>
      <c r="L22" s="678"/>
      <c r="M22" s="679"/>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444</v>
      </c>
      <c r="K24" s="73"/>
      <c r="L24" s="73"/>
      <c r="M24" s="577">
        <f>ROUND(F38/1000,0)</f>
        <v>21058</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445</v>
      </c>
      <c r="K25" s="14"/>
      <c r="L25" s="14"/>
      <c r="M25" s="577">
        <f>ROUND(F39/1000,0)</f>
        <v>9692</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3" t="str">
        <f>CONCATENATE("Want The Mill Rate The Same As For ",H1-1,"?")</f>
        <v>Want The Mill Rate The Same As For 2011?</v>
      </c>
      <c r="K27" s="674"/>
      <c r="L27" s="674"/>
      <c r="M27" s="675"/>
    </row>
    <row r="28" spans="1:13" ht="15.75">
      <c r="A28" s="92" t="str">
        <f>IF(inputPrYr!$B34&gt;"  ",inputPrYr!$B34,"  ")</f>
        <v>Cemetery</v>
      </c>
      <c r="B28" s="92">
        <f>IF(Cemetery!$C$28&lt;&gt;0,Cemetery!$C$28,"  ")</f>
        <v>143556</v>
      </c>
      <c r="C28" s="95"/>
      <c r="D28" s="92">
        <f>IF(Cemetery!$D$28&lt;&gt;0,Cemetery!$D$28,"  ")</f>
        <v>128000</v>
      </c>
      <c r="E28" s="95"/>
      <c r="F28" s="92">
        <f>IF(Cemetery!$E$28&lt;&gt;0,Cemetery!$E$28,"  ")</f>
        <v>128000</v>
      </c>
      <c r="G28" s="92"/>
      <c r="H28" s="95"/>
      <c r="J28" s="576"/>
      <c r="K28" s="10"/>
      <c r="L28" s="10"/>
      <c r="M28" s="575"/>
    </row>
    <row r="29" spans="1:13" ht="15.75">
      <c r="A29" s="92" t="str">
        <f>IF(inputPrYr!$B35&gt;"  ",inputPrYr!$B35,"  ")</f>
        <v>  </v>
      </c>
      <c r="B29" s="92" t="str">
        <f>IF(Cemetery!$C$59&lt;&gt;0,Cemetery!$C$59,"  ")</f>
        <v>  </v>
      </c>
      <c r="C29" s="95"/>
      <c r="D29" s="92" t="str">
        <f>IF(Cemetery!$D$59&lt;&gt;0,Cemetery!$D$59,"  ")</f>
        <v>  </v>
      </c>
      <c r="E29" s="95"/>
      <c r="F29" s="92" t="str">
        <f>IF(Cemetery!$E$59&lt;&gt;0,Cemetery!$E$59,"  ")</f>
        <v>  </v>
      </c>
      <c r="G29" s="92"/>
      <c r="H29" s="95"/>
      <c r="J29" s="576" t="str">
        <f>CONCATENATE("",H1-1," Mill Rate Was:")</f>
        <v>2011 Mill Rate Was:</v>
      </c>
      <c r="K29" s="10"/>
      <c r="L29" s="10"/>
      <c r="M29" s="574">
        <f>E34</f>
        <v>10.647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4</v>
      </c>
      <c r="K31" s="572"/>
      <c r="L31" s="572"/>
      <c r="M31" s="571">
        <f>M43*-1</f>
        <v>3342</v>
      </c>
    </row>
    <row r="32" spans="1:13" ht="15.75">
      <c r="A32" s="92" t="str">
        <f>IF((inputPrYr!$B40&gt;"  "),(nonbud!$A3),"  ")</f>
        <v>  </v>
      </c>
      <c r="B32" s="267" t="str">
        <f>IF((nonbud!$K$28)&lt;&gt;0,(nonbud!$K$28),"  ")</f>
        <v>  </v>
      </c>
      <c r="C32" s="362"/>
      <c r="D32" s="92"/>
      <c r="E32" s="95"/>
      <c r="F32" s="92"/>
      <c r="G32" s="92"/>
      <c r="H32" s="95"/>
      <c r="J32" s="570" t="s">
        <v>5</v>
      </c>
      <c r="K32" s="558"/>
      <c r="L32" s="558"/>
      <c r="M32" s="569">
        <f>M44*-1</f>
        <v>3073.3700000000026</v>
      </c>
    </row>
    <row r="33" spans="1:13" ht="16.5" thickBot="1">
      <c r="A33" s="108" t="s">
        <v>744</v>
      </c>
      <c r="B33" s="505" t="str">
        <f>IF(road!C62&lt;&gt;0,road!C62,"  ")</f>
        <v>  </v>
      </c>
      <c r="C33" s="506"/>
      <c r="D33" s="506"/>
      <c r="E33" s="506"/>
      <c r="F33" s="506"/>
      <c r="G33" s="506"/>
      <c r="H33" s="506"/>
      <c r="J33" s="568"/>
      <c r="K33" s="568"/>
      <c r="L33" s="568"/>
      <c r="M33" s="568"/>
    </row>
    <row r="34" spans="1:13" ht="15.75">
      <c r="A34" s="108" t="s">
        <v>745</v>
      </c>
      <c r="B34" s="503">
        <f aca="true" t="shared" si="0" ref="B34:H34">SUM(B17:B33)</f>
        <v>294688</v>
      </c>
      <c r="C34" s="504">
        <f t="shared" si="0"/>
        <v>10.379999999999999</v>
      </c>
      <c r="D34" s="503">
        <f t="shared" si="0"/>
        <v>333477</v>
      </c>
      <c r="E34" s="504">
        <f t="shared" si="0"/>
        <v>10.647</v>
      </c>
      <c r="F34" s="503">
        <f t="shared" si="0"/>
        <v>412593</v>
      </c>
      <c r="G34" s="503">
        <f t="shared" si="0"/>
        <v>112002.63</v>
      </c>
      <c r="H34" s="504">
        <f t="shared" si="0"/>
        <v>10.155999999999999</v>
      </c>
      <c r="J34" s="673" t="str">
        <f>CONCATENATE("Impact On Keeping The Same Mill Rate As For ",H1-1,"")</f>
        <v>Impact On Keeping The Same Mill Rate As For 2011</v>
      </c>
      <c r="K34" s="676"/>
      <c r="L34" s="676"/>
      <c r="M34" s="677"/>
    </row>
    <row r="35" spans="1:13" ht="15.75">
      <c r="A35" s="108" t="s">
        <v>794</v>
      </c>
      <c r="B35" s="92">
        <f>transfer!C29</f>
        <v>0</v>
      </c>
      <c r="C35" s="66"/>
      <c r="D35" s="92">
        <f>transfer!D29</f>
        <v>0</v>
      </c>
      <c r="E35" s="213"/>
      <c r="F35" s="92">
        <f>transfer!E29</f>
        <v>0</v>
      </c>
      <c r="G35" s="66"/>
      <c r="H35" s="66"/>
      <c r="J35" s="576"/>
      <c r="K35" s="10"/>
      <c r="L35" s="10"/>
      <c r="M35" s="575"/>
    </row>
    <row r="36" spans="1:13" ht="16.5" thickBot="1">
      <c r="A36" s="108" t="s">
        <v>795</v>
      </c>
      <c r="B36" s="507">
        <f>B34-B35</f>
        <v>294688</v>
      </c>
      <c r="C36" s="66"/>
      <c r="D36" s="507">
        <f>D34-D35</f>
        <v>333477</v>
      </c>
      <c r="E36" s="66"/>
      <c r="F36" s="507">
        <f>F34-F35</f>
        <v>412593</v>
      </c>
      <c r="G36" s="66"/>
      <c r="H36" s="66"/>
      <c r="J36" s="576" t="str">
        <f>CONCATENATE("",H1," Ad Valorem Tax Rev(Township Only):")</f>
        <v>2012 Ad Valorem Tax Rev(Township Only):</v>
      </c>
      <c r="K36" s="10"/>
      <c r="L36" s="10"/>
      <c r="M36" s="579">
        <f>SUM(G19:G22)</f>
        <v>86858</v>
      </c>
    </row>
    <row r="37" spans="1:13" ht="16.5" thickTop="1">
      <c r="A37" s="108" t="s">
        <v>481</v>
      </c>
      <c r="B37" s="236">
        <f>inputPrYr!E61</f>
        <v>103351</v>
      </c>
      <c r="C37" s="213"/>
      <c r="D37" s="236">
        <f>inputPrYr!E31</f>
        <v>104119</v>
      </c>
      <c r="E37" s="66"/>
      <c r="F37" s="508" t="s">
        <v>746</v>
      </c>
      <c r="G37" s="66"/>
      <c r="H37" s="66"/>
      <c r="J37" s="576" t="str">
        <f>CONCATENATE("",H1," Ad Valorem Tax Rev(Township Tot):")</f>
        <v>2012 Ad Valorem Tax Rev(Township Tot):</v>
      </c>
      <c r="K37" s="10"/>
      <c r="L37" s="10"/>
      <c r="M37" s="592">
        <f>SUM(G17,G18,G23,G24,G25,G26,G27)</f>
        <v>25144.629999999997</v>
      </c>
    </row>
    <row r="38" spans="1:13" ht="15.75">
      <c r="A38" s="108" t="s">
        <v>670</v>
      </c>
      <c r="B38" s="92">
        <f>inputPrYr!E62</f>
        <v>19652324</v>
      </c>
      <c r="C38" s="213"/>
      <c r="D38" s="92">
        <f>inputOth!E54</f>
        <v>19723485</v>
      </c>
      <c r="E38" s="213"/>
      <c r="F38" s="92">
        <f>inputOth!E11</f>
        <v>21058105</v>
      </c>
      <c r="G38" s="66"/>
      <c r="H38" s="66"/>
      <c r="J38" s="576" t="str">
        <f>CONCATENATE("Total ",H1," Ad Valorem Tax Revenue:")</f>
        <v>Total 2012 Ad Valorem Tax Revenue:</v>
      </c>
      <c r="K38" s="73"/>
      <c r="L38" s="73"/>
      <c r="M38" s="593">
        <f>M36+M37</f>
        <v>112002.63</v>
      </c>
    </row>
    <row r="39" spans="1:14" ht="15.75">
      <c r="A39" s="82" t="s">
        <v>726</v>
      </c>
      <c r="B39" s="214"/>
      <c r="C39" s="66"/>
      <c r="D39" s="182"/>
      <c r="E39" s="66"/>
      <c r="F39" s="92">
        <f>inputOth!E8</f>
        <v>9691607</v>
      </c>
      <c r="G39" s="66"/>
      <c r="H39" s="66"/>
      <c r="J39" s="576" t="str">
        <f>CONCATENATE("",H1-1," Ad Valorem Tax Rev(Township Only):")</f>
        <v>2011 Ad Valorem Tax Rev(Township Only):</v>
      </c>
      <c r="K39" s="10"/>
      <c r="L39" s="10"/>
      <c r="M39" s="594">
        <f>ROUND(SUM(E19:E22)*F39/1000,0)</f>
        <v>90200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28218</v>
      </c>
      <c r="N40" s="586"/>
      <c r="O40" s="586"/>
    </row>
    <row r="41" spans="1:15" ht="15.75">
      <c r="A41" s="74" t="s">
        <v>482</v>
      </c>
      <c r="B41" s="66"/>
      <c r="C41" s="66"/>
      <c r="D41" s="66"/>
      <c r="E41" s="66"/>
      <c r="F41" s="66"/>
      <c r="G41" s="66"/>
      <c r="H41" s="66"/>
      <c r="J41" s="536" t="str">
        <f>CONCATENATE("Total ",H1-1," Ad Valorem Tax Revenue:")</f>
        <v>Total 2011 Ad Valorem Tax Revenue:</v>
      </c>
      <c r="K41" s="73"/>
      <c r="L41" s="73"/>
      <c r="M41" s="596">
        <f>M39+M40</f>
        <v>118418</v>
      </c>
      <c r="O41" s="586"/>
    </row>
    <row r="42" spans="1:13" ht="15.75">
      <c r="A42" s="74" t="s">
        <v>483</v>
      </c>
      <c r="B42" s="215">
        <f>H1-3</f>
        <v>2009</v>
      </c>
      <c r="C42" s="66"/>
      <c r="D42" s="215">
        <f>H1-2</f>
        <v>2010</v>
      </c>
      <c r="E42" s="66"/>
      <c r="F42" s="215">
        <f>H1-1</f>
        <v>2011</v>
      </c>
      <c r="G42" s="66"/>
      <c r="H42" s="66"/>
      <c r="J42" s="573" t="s">
        <v>442</v>
      </c>
      <c r="K42" s="572"/>
      <c r="L42" s="572"/>
      <c r="M42" s="571">
        <f>M38-M41</f>
        <v>-6415.369999999995</v>
      </c>
    </row>
    <row r="43" spans="1:13" ht="15.75">
      <c r="A43" s="74" t="s">
        <v>484</v>
      </c>
      <c r="B43" s="85">
        <f>inputPrYr!D65</f>
        <v>0</v>
      </c>
      <c r="C43" s="71"/>
      <c r="D43" s="85">
        <f>inputPrYr!E65</f>
        <v>0</v>
      </c>
      <c r="E43" s="71"/>
      <c r="F43" s="85">
        <f>debt!E11</f>
        <v>0</v>
      </c>
      <c r="G43" s="66"/>
      <c r="H43" s="66"/>
      <c r="J43" s="597" t="s">
        <v>0</v>
      </c>
      <c r="K43" s="598"/>
      <c r="L43" s="598"/>
      <c r="M43" s="593">
        <f>M36-M39</f>
        <v>-3342</v>
      </c>
    </row>
    <row r="44" spans="1:13" ht="15.75">
      <c r="A44" s="74" t="s">
        <v>772</v>
      </c>
      <c r="B44" s="85">
        <f>inputPrYr!D66</f>
        <v>0</v>
      </c>
      <c r="C44" s="71"/>
      <c r="D44" s="85">
        <f>inputPrYr!E66</f>
        <v>0</v>
      </c>
      <c r="E44" s="71"/>
      <c r="F44" s="85">
        <f>debt!E15</f>
        <v>0</v>
      </c>
      <c r="G44" s="66"/>
      <c r="H44" s="66"/>
      <c r="J44" s="570" t="s">
        <v>446</v>
      </c>
      <c r="K44" s="558"/>
      <c r="L44" s="558"/>
      <c r="M44" s="569">
        <f>M37-M40</f>
        <v>-3073.3700000000026</v>
      </c>
    </row>
    <row r="45" spans="1:8" ht="15.75">
      <c r="A45" s="74" t="s">
        <v>438</v>
      </c>
      <c r="B45" s="85">
        <f>inputPrYr!D67</f>
        <v>0</v>
      </c>
      <c r="C45" s="71"/>
      <c r="D45" s="85">
        <f>inputPrYr!E67</f>
        <v>0</v>
      </c>
      <c r="E45" s="71"/>
      <c r="F45" s="85">
        <f>debt!F36</f>
        <v>50078.59</v>
      </c>
      <c r="G45" s="66"/>
      <c r="H45" s="66"/>
    </row>
    <row r="46" spans="1:13" ht="16.5" thickBot="1">
      <c r="A46" s="74" t="s">
        <v>485</v>
      </c>
      <c r="B46" s="102">
        <f>SUM(B43:B45)</f>
        <v>0</v>
      </c>
      <c r="C46" s="71"/>
      <c r="D46" s="102">
        <f>SUM(D43:D45)</f>
        <v>0</v>
      </c>
      <c r="E46" s="71"/>
      <c r="F46" s="102">
        <f>SUM(F43:F45)</f>
        <v>50078.59</v>
      </c>
      <c r="G46" s="66"/>
      <c r="H46" s="66"/>
      <c r="J46" s="673" t="s">
        <v>443</v>
      </c>
      <c r="K46" s="674"/>
      <c r="L46" s="674"/>
      <c r="M46" s="675"/>
    </row>
    <row r="47" spans="1:13" ht="16.5" thickTop="1">
      <c r="A47" s="74" t="s">
        <v>486</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80"/>
      <c r="B49" s="680"/>
      <c r="C49" s="66"/>
      <c r="D49" s="66"/>
      <c r="E49" s="66"/>
      <c r="F49" s="66"/>
      <c r="G49" s="66"/>
      <c r="H49" s="66"/>
      <c r="J49" s="576" t="str">
        <f>CONCATENATE("Current ",$H$1," Estimated Mill Rate:")</f>
        <v>Current 2012 Estimated Mill Rate:</v>
      </c>
      <c r="K49" s="10"/>
      <c r="L49" s="10"/>
      <c r="M49" s="589">
        <f>IF(M48=0,0,$H$34)</f>
        <v>0</v>
      </c>
    </row>
    <row r="50" spans="1:13" ht="15.75">
      <c r="A50" s="70" t="s">
        <v>487</v>
      </c>
      <c r="B50" s="67"/>
      <c r="C50" s="66"/>
      <c r="D50" s="66"/>
      <c r="E50" s="66"/>
      <c r="F50" s="66"/>
      <c r="G50" s="66"/>
      <c r="H50" s="66"/>
      <c r="J50" s="576" t="s">
        <v>1</v>
      </c>
      <c r="K50" s="10"/>
      <c r="L50" s="10"/>
      <c r="M50" s="590">
        <f>M48-M49</f>
        <v>0</v>
      </c>
    </row>
    <row r="51" spans="1:13" ht="15.75">
      <c r="A51" s="66"/>
      <c r="B51" s="66"/>
      <c r="C51" s="66"/>
      <c r="D51" s="66"/>
      <c r="E51" s="66"/>
      <c r="F51" s="66"/>
      <c r="G51" s="66"/>
      <c r="H51" s="66"/>
      <c r="J51" s="536" t="s">
        <v>2</v>
      </c>
      <c r="K51" s="73"/>
      <c r="L51" s="73"/>
      <c r="M51" s="587">
        <f>IF(M48=0,0,ROUND(SUM(H19:H22)/M49,2))</f>
        <v>0</v>
      </c>
    </row>
    <row r="52" spans="1:13" ht="15.75">
      <c r="A52" s="66"/>
      <c r="B52" s="216" t="s">
        <v>760</v>
      </c>
      <c r="C52" s="217"/>
      <c r="D52" s="66"/>
      <c r="E52" s="66"/>
      <c r="F52" s="66"/>
      <c r="G52" s="66"/>
      <c r="H52" s="66"/>
      <c r="J52" s="536" t="s">
        <v>3</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4</v>
      </c>
      <c r="K54" s="598"/>
      <c r="L54" s="598"/>
      <c r="M54" s="593">
        <f>ROUND(F39*M50*M51/1000,0)</f>
        <v>0</v>
      </c>
    </row>
    <row r="55" spans="1:13" ht="15.75">
      <c r="A55" s="117"/>
      <c r="B55" s="117"/>
      <c r="C55" s="117"/>
      <c r="D55" s="117"/>
      <c r="E55" s="117"/>
      <c r="F55" s="117"/>
      <c r="G55" s="117"/>
      <c r="J55" s="570" t="s">
        <v>5</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Kechi Township</v>
      </c>
      <c r="C1" s="74" t="s">
        <v>786</v>
      </c>
      <c r="D1" s="66"/>
      <c r="E1" s="231">
        <f>inputPrYr!D9</f>
        <v>2012</v>
      </c>
    </row>
    <row r="2" spans="2:5" ht="15.75">
      <c r="B2" s="602" t="s">
        <v>29</v>
      </c>
      <c r="C2" s="66"/>
      <c r="D2" s="66"/>
      <c r="E2" s="357"/>
    </row>
    <row r="3" spans="2:5" ht="15.75">
      <c r="B3" s="66"/>
      <c r="C3" s="72"/>
      <c r="D3" s="72"/>
      <c r="E3" s="66"/>
    </row>
    <row r="4" spans="2:5" ht="15.75">
      <c r="B4" s="74" t="s">
        <v>761</v>
      </c>
      <c r="C4" s="412" t="s">
        <v>762</v>
      </c>
      <c r="D4" s="415" t="s">
        <v>763</v>
      </c>
      <c r="E4" s="76" t="s">
        <v>764</v>
      </c>
    </row>
    <row r="5" spans="2:5" ht="15.75">
      <c r="B5" s="513" t="str">
        <f>inputPrYr!B23</f>
        <v>Special Road</v>
      </c>
      <c r="C5" s="413" t="str">
        <f>gen!C5</f>
        <v>Actual 2010</v>
      </c>
      <c r="D5" s="413" t="str">
        <f>gen!D5</f>
        <v>Estimate 2011</v>
      </c>
      <c r="E5" s="81" t="str">
        <f>gen!E5</f>
        <v>Year 2012</v>
      </c>
    </row>
    <row r="6" spans="2:5" ht="15.75">
      <c r="B6" s="82" t="s">
        <v>553</v>
      </c>
      <c r="C6" s="326"/>
      <c r="D6" s="414">
        <f>C32</f>
        <v>0</v>
      </c>
      <c r="E6" s="267">
        <f>D32</f>
        <v>0</v>
      </c>
    </row>
    <row r="7" spans="2:5" ht="15.75">
      <c r="B7" s="82" t="s">
        <v>555</v>
      </c>
      <c r="C7" s="414"/>
      <c r="D7" s="414"/>
      <c r="E7" s="328"/>
    </row>
    <row r="8" spans="2:5" ht="15.75">
      <c r="B8" s="82" t="s">
        <v>767</v>
      </c>
      <c r="C8" s="326"/>
      <c r="D8" s="414">
        <f>inputPrYr!E23</f>
        <v>0</v>
      </c>
      <c r="E8" s="328" t="s">
        <v>746</v>
      </c>
    </row>
    <row r="9" spans="2:5" ht="15.75">
      <c r="B9" s="82" t="s">
        <v>768</v>
      </c>
      <c r="C9" s="326"/>
      <c r="D9" s="326"/>
      <c r="E9" s="175"/>
    </row>
    <row r="10" spans="2:5" ht="15.75">
      <c r="B10" s="82" t="s">
        <v>769</v>
      </c>
      <c r="C10" s="326"/>
      <c r="D10" s="326"/>
      <c r="E10" s="267">
        <f>mvalloc!G15</f>
        <v>0</v>
      </c>
    </row>
    <row r="11" spans="2:5" ht="15.75">
      <c r="B11" s="82" t="s">
        <v>770</v>
      </c>
      <c r="C11" s="326"/>
      <c r="D11" s="326"/>
      <c r="E11" s="267">
        <f>mvalloc!I15</f>
        <v>0</v>
      </c>
    </row>
    <row r="12" spans="2:5" ht="15.75">
      <c r="B12" s="329" t="s">
        <v>505</v>
      </c>
      <c r="C12" s="326"/>
      <c r="D12" s="326"/>
      <c r="E12" s="267">
        <f>mvalloc!J15</f>
        <v>0</v>
      </c>
    </row>
    <row r="13" spans="2:5" ht="15.75">
      <c r="B13" s="329" t="s">
        <v>595</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773</v>
      </c>
      <c r="C17" s="326"/>
      <c r="D17" s="326"/>
      <c r="E17" s="175"/>
    </row>
    <row r="18" spans="2:5" ht="15.75">
      <c r="B18" s="332" t="s">
        <v>719</v>
      </c>
      <c r="C18" s="326"/>
      <c r="D18" s="326"/>
      <c r="E18" s="175"/>
    </row>
    <row r="19" spans="2:5" ht="15.75">
      <c r="B19" s="332" t="s">
        <v>720</v>
      </c>
      <c r="C19" s="416">
        <f>IF(C20*0.1&lt;C18,"Exceed 10% Rule","")</f>
      </c>
      <c r="D19" s="416">
        <f>IF(D20*0.1&lt;D18,"Exceed 10% Rule","")</f>
      </c>
      <c r="E19" s="336">
        <f>IF(E20*0.1+E38&lt;E18,"Exceed 10% Rule","")</f>
      </c>
    </row>
    <row r="20" spans="2:5" ht="15.75">
      <c r="B20" s="334" t="s">
        <v>774</v>
      </c>
      <c r="C20" s="417">
        <f>SUM(C8:C18)</f>
        <v>0</v>
      </c>
      <c r="D20" s="417">
        <f>SUM(D8:D18)</f>
        <v>0</v>
      </c>
      <c r="E20" s="335">
        <f>SUM(E8:E18)</f>
        <v>0</v>
      </c>
    </row>
    <row r="21" spans="2:5" ht="15.75">
      <c r="B21" s="100" t="s">
        <v>775</v>
      </c>
      <c r="C21" s="417">
        <f>C20+C6</f>
        <v>0</v>
      </c>
      <c r="D21" s="417">
        <f>D20+D6</f>
        <v>0</v>
      </c>
      <c r="E21" s="335">
        <f>E20+E6</f>
        <v>0</v>
      </c>
    </row>
    <row r="22" spans="2:5" ht="15.75">
      <c r="B22" s="82" t="s">
        <v>776</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721</v>
      </c>
      <c r="C28" s="326"/>
      <c r="D28" s="326"/>
      <c r="E28" s="186">
        <f>nhood!E9</f>
      </c>
    </row>
    <row r="29" spans="2:5" ht="15.75">
      <c r="B29" s="329" t="s">
        <v>719</v>
      </c>
      <c r="C29" s="326"/>
      <c r="D29" s="326"/>
      <c r="E29" s="175"/>
    </row>
    <row r="30" spans="2:5" ht="15.75">
      <c r="B30" s="329" t="s">
        <v>436</v>
      </c>
      <c r="C30" s="416">
        <f>IF(C31*0.1&lt;C29,"Exceed 10% Rule","")</f>
      </c>
      <c r="D30" s="416">
        <f>IF(D31*0.1&lt;D29,"Exceed 10% Rule","")</f>
      </c>
      <c r="E30" s="336">
        <f>IF(E31*0.1&lt;E29,"Exceed 10% Rule","")</f>
      </c>
    </row>
    <row r="31" spans="2:5" ht="15.75">
      <c r="B31" s="100" t="s">
        <v>777</v>
      </c>
      <c r="C31" s="417">
        <f>SUM(C23:C29)</f>
        <v>0</v>
      </c>
      <c r="D31" s="417">
        <f>SUM(D23:D29)</f>
        <v>0</v>
      </c>
      <c r="E31" s="335">
        <f>SUM(E23:E29)</f>
        <v>0</v>
      </c>
    </row>
    <row r="32" spans="2:5" ht="15.75">
      <c r="B32" s="82" t="s">
        <v>554</v>
      </c>
      <c r="C32" s="418">
        <f>C21-C31</f>
        <v>0</v>
      </c>
      <c r="D32" s="418">
        <f>D21-D31</f>
        <v>0</v>
      </c>
      <c r="E32" s="328" t="s">
        <v>746</v>
      </c>
    </row>
    <row r="33" spans="2:6" ht="15.75">
      <c r="B33" s="121" t="str">
        <f>CONCATENATE("",$E$1-2,"/",$E$1-1," Budget Authority Amount:")</f>
        <v>2010/2011 Budget Authority Amount:</v>
      </c>
      <c r="C33" s="362">
        <f>inputOth!$B86</f>
        <v>0</v>
      </c>
      <c r="D33" s="85">
        <f>inputPrYr!$D23</f>
        <v>0</v>
      </c>
      <c r="E33" s="328" t="s">
        <v>746</v>
      </c>
      <c r="F33" s="337"/>
    </row>
    <row r="34" spans="2:6" ht="15.75">
      <c r="B34" s="121"/>
      <c r="C34" s="659" t="s">
        <v>433</v>
      </c>
      <c r="D34" s="660"/>
      <c r="E34" s="175"/>
      <c r="F34" s="337">
        <f>IF(E31/0.95-E31&lt;E34,"Exceeds 5%","")</f>
      </c>
    </row>
    <row r="35" spans="2:5" ht="15.75">
      <c r="B35" s="528" t="str">
        <f>CONCATENATE(C79,"     ",D79)</f>
        <v>     </v>
      </c>
      <c r="C35" s="661" t="s">
        <v>434</v>
      </c>
      <c r="D35" s="662"/>
      <c r="E35" s="267">
        <f>E31+E34</f>
        <v>0</v>
      </c>
    </row>
    <row r="36" spans="2:5" ht="15.75">
      <c r="B36" s="528" t="str">
        <f>CONCATENATE(C80,"     ",D80)</f>
        <v>     </v>
      </c>
      <c r="C36" s="531"/>
      <c r="D36" s="530" t="s">
        <v>779</v>
      </c>
      <c r="E36" s="186">
        <f>IF(E35-E21&gt;0,E35-E21,0)</f>
        <v>0</v>
      </c>
    </row>
    <row r="37" spans="2:5" ht="15.75">
      <c r="B37" s="216"/>
      <c r="C37" s="529" t="s">
        <v>435</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761</v>
      </c>
      <c r="C39" s="72"/>
      <c r="D39" s="72"/>
      <c r="E39" s="72"/>
    </row>
    <row r="40" spans="2:5" ht="15.75">
      <c r="B40" s="66"/>
      <c r="C40" s="412" t="s">
        <v>762</v>
      </c>
      <c r="D40" s="415" t="s">
        <v>763</v>
      </c>
      <c r="E40" s="76" t="s">
        <v>764</v>
      </c>
    </row>
    <row r="41" spans="2:5" ht="15.75">
      <c r="B41" s="514" t="str">
        <f>inputPrYr!B24</f>
        <v>Noxious Weed</v>
      </c>
      <c r="C41" s="413" t="str">
        <f>C5</f>
        <v>Actual 2010</v>
      </c>
      <c r="D41" s="413" t="str">
        <f>D5</f>
        <v>Estimate 2011</v>
      </c>
      <c r="E41" s="81" t="str">
        <f>E5</f>
        <v>Year 2012</v>
      </c>
    </row>
    <row r="42" spans="2:5" ht="15.75">
      <c r="B42" s="82" t="s">
        <v>553</v>
      </c>
      <c r="C42" s="326"/>
      <c r="D42" s="414">
        <f>C68</f>
        <v>0</v>
      </c>
      <c r="E42" s="267">
        <f>D68</f>
        <v>0</v>
      </c>
    </row>
    <row r="43" spans="2:5" ht="15.75">
      <c r="B43" s="82" t="s">
        <v>555</v>
      </c>
      <c r="C43" s="414"/>
      <c r="D43" s="414"/>
      <c r="E43" s="328"/>
    </row>
    <row r="44" spans="2:5" ht="15.75">
      <c r="B44" s="82" t="s">
        <v>767</v>
      </c>
      <c r="C44" s="326"/>
      <c r="D44" s="414">
        <f>inputPrYr!E24</f>
        <v>0</v>
      </c>
      <c r="E44" s="328" t="s">
        <v>746</v>
      </c>
    </row>
    <row r="45" spans="2:5" ht="15.75">
      <c r="B45" s="82" t="s">
        <v>768</v>
      </c>
      <c r="C45" s="326"/>
      <c r="D45" s="326"/>
      <c r="E45" s="175"/>
    </row>
    <row r="46" spans="2:5" ht="15.75">
      <c r="B46" s="82" t="s">
        <v>769</v>
      </c>
      <c r="C46" s="326"/>
      <c r="D46" s="326"/>
      <c r="E46" s="267">
        <f>mvalloc!G16</f>
        <v>0</v>
      </c>
    </row>
    <row r="47" spans="2:5" ht="15.75">
      <c r="B47" s="82" t="s">
        <v>770</v>
      </c>
      <c r="C47" s="326"/>
      <c r="D47" s="326"/>
      <c r="E47" s="267">
        <f>mvalloc!I16</f>
        <v>0</v>
      </c>
    </row>
    <row r="48" spans="2:5" ht="15.75">
      <c r="B48" s="82" t="s">
        <v>535</v>
      </c>
      <c r="C48" s="326"/>
      <c r="D48" s="326"/>
      <c r="E48" s="267">
        <f>mvalloc!J16</f>
        <v>0</v>
      </c>
    </row>
    <row r="49" spans="2:5" ht="15.75">
      <c r="B49" s="82" t="s">
        <v>595</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773</v>
      </c>
      <c r="C53" s="326"/>
      <c r="D53" s="326"/>
      <c r="E53" s="175"/>
    </row>
    <row r="54" spans="2:5" ht="15.75">
      <c r="B54" s="332" t="s">
        <v>719</v>
      </c>
      <c r="C54" s="326"/>
      <c r="D54" s="326"/>
      <c r="E54" s="175"/>
    </row>
    <row r="55" spans="2:5" ht="15.75">
      <c r="B55" s="332" t="s">
        <v>720</v>
      </c>
      <c r="C55" s="416">
        <f>IF(C56*0.1&lt;C54,"Exceed 10% Rule","")</f>
      </c>
      <c r="D55" s="416">
        <f>IF(D56*0.1&lt;D54,"Exceed 10% Rule","")</f>
      </c>
      <c r="E55" s="336">
        <f>IF(E56*0.1+E74&lt;E54,"Exceed 10% Rule","")</f>
      </c>
    </row>
    <row r="56" spans="2:5" ht="15.75">
      <c r="B56" s="334" t="s">
        <v>774</v>
      </c>
      <c r="C56" s="417">
        <f>SUM(C44:C54)</f>
        <v>0</v>
      </c>
      <c r="D56" s="417">
        <f>SUM(D44:D54)</f>
        <v>0</v>
      </c>
      <c r="E56" s="335">
        <f>SUM(E44:E54)</f>
        <v>0</v>
      </c>
    </row>
    <row r="57" spans="2:5" ht="15.75">
      <c r="B57" s="100" t="s">
        <v>775</v>
      </c>
      <c r="C57" s="417">
        <f>C56+C42</f>
        <v>0</v>
      </c>
      <c r="D57" s="417">
        <f>D56+D42</f>
        <v>0</v>
      </c>
      <c r="E57" s="335">
        <f>E56+E42</f>
        <v>0</v>
      </c>
    </row>
    <row r="58" spans="2:5" ht="15.75">
      <c r="B58" s="82" t="s">
        <v>776</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721</v>
      </c>
      <c r="C64" s="326"/>
      <c r="D64" s="326"/>
      <c r="E64" s="186">
        <f>nhood!E10</f>
      </c>
    </row>
    <row r="65" spans="2:5" ht="15.75">
      <c r="B65" s="329" t="s">
        <v>719</v>
      </c>
      <c r="C65" s="326"/>
      <c r="D65" s="326"/>
      <c r="E65" s="175"/>
    </row>
    <row r="66" spans="2:5" ht="15.75">
      <c r="B66" s="329" t="s">
        <v>436</v>
      </c>
      <c r="C66" s="416">
        <f>IF(C67*0.1&lt;C65,"Exceed 10% Rule","")</f>
      </c>
      <c r="D66" s="416">
        <f>IF(D67*0.1&lt;D65,"Exceed 10% Rule","")</f>
      </c>
      <c r="E66" s="336">
        <f>IF(E67*0.1&lt;E65,"Exceed 10% Rule","")</f>
      </c>
    </row>
    <row r="67" spans="2:5" ht="15.75">
      <c r="B67" s="100" t="s">
        <v>777</v>
      </c>
      <c r="C67" s="417">
        <f>SUM(C59:C65)</f>
        <v>0</v>
      </c>
      <c r="D67" s="417">
        <f>SUM(D59:D65)</f>
        <v>0</v>
      </c>
      <c r="E67" s="335">
        <f>SUM(E59:E65)</f>
        <v>0</v>
      </c>
    </row>
    <row r="68" spans="2:5" ht="15.75">
      <c r="B68" s="82" t="s">
        <v>554</v>
      </c>
      <c r="C68" s="418">
        <f>C57-C67</f>
        <v>0</v>
      </c>
      <c r="D68" s="418">
        <f>D57-D67</f>
        <v>0</v>
      </c>
      <c r="E68" s="328" t="s">
        <v>746</v>
      </c>
    </row>
    <row r="69" spans="2:6" ht="15.75">
      <c r="B69" s="121" t="str">
        <f>CONCATENATE("",$E$1-2,"/",$E$1-1," Budget Authority Amount:")</f>
        <v>2010/2011 Budget Authority Amount:</v>
      </c>
      <c r="C69" s="362">
        <f>inputOth!$B87</f>
        <v>0</v>
      </c>
      <c r="D69" s="85">
        <f>inputPrYr!$D24</f>
        <v>0</v>
      </c>
      <c r="E69" s="328" t="s">
        <v>746</v>
      </c>
      <c r="F69" s="337"/>
    </row>
    <row r="70" spans="2:6" ht="15.75">
      <c r="B70" s="121"/>
      <c r="C70" s="659" t="s">
        <v>433</v>
      </c>
      <c r="D70" s="660"/>
      <c r="E70" s="175"/>
      <c r="F70" s="337">
        <f>IF(E67/0.95-E67&lt;E70,"Exceeds 5%","")</f>
      </c>
    </row>
    <row r="71" spans="2:5" ht="15.75">
      <c r="B71" s="528" t="str">
        <f>CONCATENATE(C81,"     ",D81)</f>
        <v>     </v>
      </c>
      <c r="C71" s="661" t="s">
        <v>434</v>
      </c>
      <c r="D71" s="662"/>
      <c r="E71" s="267">
        <f>E67+E70</f>
        <v>0</v>
      </c>
    </row>
    <row r="72" spans="2:5" ht="15.75">
      <c r="B72" s="528" t="str">
        <f>CONCATENATE(C82,"     ",D82)</f>
        <v>     </v>
      </c>
      <c r="C72" s="531"/>
      <c r="D72" s="530" t="s">
        <v>779</v>
      </c>
      <c r="E72" s="186">
        <f>IF(E71-E57&gt;0,E71-E57,0)</f>
        <v>0</v>
      </c>
    </row>
    <row r="73" spans="2:5" ht="15.75">
      <c r="B73" s="216"/>
      <c r="C73" s="529" t="s">
        <v>435</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760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820</v>
      </c>
    </row>
    <row r="2" ht="15.75">
      <c r="A2" s="117"/>
    </row>
    <row r="3" ht="15.75">
      <c r="A3" s="117"/>
    </row>
    <row r="4" ht="52.5" customHeight="1">
      <c r="A4" s="223" t="s">
        <v>45</v>
      </c>
    </row>
    <row r="5" ht="15.75">
      <c r="A5" s="117"/>
    </row>
    <row r="6" ht="15.75">
      <c r="A6" s="117"/>
    </row>
    <row r="7" ht="70.5" customHeight="1">
      <c r="A7" s="223" t="s">
        <v>46</v>
      </c>
    </row>
    <row r="8" ht="15.75">
      <c r="A8" s="382"/>
    </row>
    <row r="9" ht="15.75">
      <c r="A9" s="117"/>
    </row>
    <row r="10" ht="56.25" customHeight="1">
      <c r="A10" s="223" t="s">
        <v>47</v>
      </c>
    </row>
    <row r="11" ht="15.75">
      <c r="A11" s="382"/>
    </row>
    <row r="12" ht="15.75">
      <c r="A12" s="382"/>
    </row>
    <row r="13" ht="57.75" customHeight="1">
      <c r="A13" s="223" t="s">
        <v>48</v>
      </c>
    </row>
    <row r="14" ht="15.75">
      <c r="A14" s="382"/>
    </row>
    <row r="15" ht="15.75">
      <c r="A15" s="382"/>
    </row>
    <row r="16" ht="87.75" customHeight="1">
      <c r="A16" s="223" t="s">
        <v>49</v>
      </c>
    </row>
    <row r="17" ht="15.75">
      <c r="A17" s="382"/>
    </row>
    <row r="18" ht="15.75">
      <c r="A18" s="117"/>
    </row>
    <row r="19" ht="54.75" customHeight="1">
      <c r="A19" s="223" t="s">
        <v>50</v>
      </c>
    </row>
    <row r="20" ht="15.75">
      <c r="A20" s="117"/>
    </row>
    <row r="21" ht="15.75">
      <c r="A21" s="117"/>
    </row>
    <row r="22" ht="69" customHeight="1">
      <c r="A22" s="223" t="s">
        <v>51</v>
      </c>
    </row>
    <row r="23" ht="15.75">
      <c r="A23" s="117"/>
    </row>
    <row r="24" ht="15.75">
      <c r="A24" s="384"/>
    </row>
    <row r="25" ht="47.25" customHeight="1">
      <c r="A25" s="385" t="s">
        <v>52</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Kechi Township</v>
      </c>
      <c r="C1" s="66"/>
      <c r="D1" s="66"/>
      <c r="E1" s="231">
        <f>inputPrYr!D9</f>
        <v>2012</v>
      </c>
    </row>
    <row r="2" spans="2:5" ht="15.75">
      <c r="B2" s="602" t="s">
        <v>29</v>
      </c>
      <c r="C2" s="66"/>
      <c r="D2" s="213"/>
      <c r="E2" s="358"/>
    </row>
    <row r="3" spans="2:5" ht="15.75">
      <c r="B3" s="66"/>
      <c r="C3" s="72"/>
      <c r="D3" s="72"/>
      <c r="E3" s="72"/>
    </row>
    <row r="4" spans="2:5" ht="15.75">
      <c r="B4" s="74" t="s">
        <v>761</v>
      </c>
      <c r="C4" s="412" t="s">
        <v>762</v>
      </c>
      <c r="D4" s="415" t="s">
        <v>763</v>
      </c>
      <c r="E4" s="76" t="s">
        <v>764</v>
      </c>
    </row>
    <row r="5" spans="2:5" ht="15.75">
      <c r="B5" s="513" t="str">
        <f>inputPrYr!B25</f>
        <v>Fire Protection</v>
      </c>
      <c r="C5" s="413" t="str">
        <f>gen!C5</f>
        <v>Actual 2010</v>
      </c>
      <c r="D5" s="413" t="str">
        <f>gen!D5</f>
        <v>Estimate 2011</v>
      </c>
      <c r="E5" s="81" t="str">
        <f>gen!E5</f>
        <v>Year 2012</v>
      </c>
    </row>
    <row r="6" spans="2:5" ht="15.75">
      <c r="B6" s="82" t="s">
        <v>553</v>
      </c>
      <c r="C6" s="326"/>
      <c r="D6" s="414">
        <f>C32</f>
        <v>0</v>
      </c>
      <c r="E6" s="267">
        <f>D32</f>
        <v>0</v>
      </c>
    </row>
    <row r="7" spans="2:5" ht="15.75">
      <c r="B7" s="82" t="s">
        <v>555</v>
      </c>
      <c r="C7" s="414"/>
      <c r="D7" s="414"/>
      <c r="E7" s="328"/>
    </row>
    <row r="8" spans="2:5" ht="15.75">
      <c r="B8" s="82" t="s">
        <v>767</v>
      </c>
      <c r="C8" s="326"/>
      <c r="D8" s="414">
        <f>inputPrYr!E25</f>
        <v>0</v>
      </c>
      <c r="E8" s="328" t="s">
        <v>746</v>
      </c>
    </row>
    <row r="9" spans="2:5" ht="15.75">
      <c r="B9" s="82" t="s">
        <v>768</v>
      </c>
      <c r="C9" s="326"/>
      <c r="D9" s="326"/>
      <c r="E9" s="175"/>
    </row>
    <row r="10" spans="2:5" ht="15.75">
      <c r="B10" s="82" t="s">
        <v>769</v>
      </c>
      <c r="C10" s="326"/>
      <c r="D10" s="326"/>
      <c r="E10" s="267">
        <f>mvalloc!G17</f>
        <v>0</v>
      </c>
    </row>
    <row r="11" spans="2:5" ht="15.75">
      <c r="B11" s="82" t="s">
        <v>770</v>
      </c>
      <c r="C11" s="326"/>
      <c r="D11" s="326"/>
      <c r="E11" s="267">
        <f>mvalloc!I17</f>
        <v>0</v>
      </c>
    </row>
    <row r="12" spans="2:5" ht="15.75">
      <c r="B12" s="82" t="s">
        <v>535</v>
      </c>
      <c r="C12" s="326"/>
      <c r="D12" s="326"/>
      <c r="E12" s="267">
        <f>mvalloc!J17</f>
        <v>0</v>
      </c>
    </row>
    <row r="13" spans="2:5" ht="15.75">
      <c r="B13" s="82" t="s">
        <v>595</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773</v>
      </c>
      <c r="C17" s="326"/>
      <c r="D17" s="326"/>
      <c r="E17" s="175"/>
    </row>
    <row r="18" spans="2:5" ht="15.75">
      <c r="B18" s="332" t="s">
        <v>719</v>
      </c>
      <c r="C18" s="326"/>
      <c r="D18" s="326"/>
      <c r="E18" s="175"/>
    </row>
    <row r="19" spans="2:5" ht="15.75">
      <c r="B19" s="332" t="s">
        <v>720</v>
      </c>
      <c r="C19" s="416">
        <f>IF(C20*0.1&lt;C18,"Exceed 10% Rule","")</f>
      </c>
      <c r="D19" s="416">
        <f>IF(D20*0.1&lt;D18,"Exceed 10% Rule","")</f>
      </c>
      <c r="E19" s="336">
        <f>IF(E20*0.1+E38&lt;E18,"Exceed 10% Rule","")</f>
      </c>
    </row>
    <row r="20" spans="2:5" ht="15.75">
      <c r="B20" s="334" t="s">
        <v>774</v>
      </c>
      <c r="C20" s="417">
        <f>SUM(C8:C18)</f>
        <v>0</v>
      </c>
      <c r="D20" s="417">
        <f>SUM(D8:D18)</f>
        <v>0</v>
      </c>
      <c r="E20" s="335">
        <f>SUM(E8:E18)</f>
        <v>0</v>
      </c>
    </row>
    <row r="21" spans="2:5" ht="15.75">
      <c r="B21" s="100" t="s">
        <v>775</v>
      </c>
      <c r="C21" s="417">
        <f>C20+C6</f>
        <v>0</v>
      </c>
      <c r="D21" s="417">
        <f>D20+D6</f>
        <v>0</v>
      </c>
      <c r="E21" s="335">
        <f>E20+E6</f>
        <v>0</v>
      </c>
    </row>
    <row r="22" spans="2:5" ht="15.75">
      <c r="B22" s="82" t="s">
        <v>776</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721</v>
      </c>
      <c r="C28" s="326"/>
      <c r="D28" s="326"/>
      <c r="E28" s="186">
        <f>nhood!E11</f>
      </c>
    </row>
    <row r="29" spans="2:5" ht="15.75">
      <c r="B29" s="329" t="s">
        <v>719</v>
      </c>
      <c r="C29" s="326"/>
      <c r="D29" s="326"/>
      <c r="E29" s="175"/>
    </row>
    <row r="30" spans="2:5" ht="15.75">
      <c r="B30" s="329" t="s">
        <v>436</v>
      </c>
      <c r="C30" s="416">
        <f>IF(C31*0.1&lt;C29,"Exceed 10% Rule","")</f>
      </c>
      <c r="D30" s="416">
        <f>IF(D31*0.1&lt;D29,"Exceed 10% Rule","")</f>
      </c>
      <c r="E30" s="336">
        <f>IF(E31*0.1&lt;E29,"Exceed 10% Rule","")</f>
      </c>
    </row>
    <row r="31" spans="2:5" ht="15.75">
      <c r="B31" s="100" t="s">
        <v>777</v>
      </c>
      <c r="C31" s="417">
        <f>SUM(C23:C29)</f>
        <v>0</v>
      </c>
      <c r="D31" s="417">
        <f>SUM(D23:D29)</f>
        <v>0</v>
      </c>
      <c r="E31" s="335">
        <f>SUM(E23:E29)</f>
        <v>0</v>
      </c>
    </row>
    <row r="32" spans="2:5" ht="15.75">
      <c r="B32" s="82" t="s">
        <v>554</v>
      </c>
      <c r="C32" s="418">
        <f>C21-C31</f>
        <v>0</v>
      </c>
      <c r="D32" s="418">
        <f>D21-D31</f>
        <v>0</v>
      </c>
      <c r="E32" s="328" t="s">
        <v>746</v>
      </c>
    </row>
    <row r="33" spans="2:6" ht="15.75">
      <c r="B33" s="121" t="str">
        <f>CONCATENATE("",$E$1-2,"/",$E$1-1," Budget Authority Amount:")</f>
        <v>2010/2011 Budget Authority Amount:</v>
      </c>
      <c r="C33" s="362">
        <f>inputOth!$B88</f>
        <v>0</v>
      </c>
      <c r="D33" s="85">
        <f>inputPrYr!$D25</f>
        <v>0</v>
      </c>
      <c r="E33" s="328" t="s">
        <v>746</v>
      </c>
      <c r="F33" s="337"/>
    </row>
    <row r="34" spans="2:6" ht="15.75">
      <c r="B34" s="121"/>
      <c r="C34" s="659" t="s">
        <v>433</v>
      </c>
      <c r="D34" s="660"/>
      <c r="E34" s="175"/>
      <c r="F34" s="337">
        <f>IF(E31/0.95-E31&lt;E34,"Exceeds 5%","")</f>
      </c>
    </row>
    <row r="35" spans="2:5" ht="15.75">
      <c r="B35" s="528" t="str">
        <f>CONCATENATE(C79,"     ",D79)</f>
        <v>     </v>
      </c>
      <c r="C35" s="661" t="s">
        <v>434</v>
      </c>
      <c r="D35" s="662"/>
      <c r="E35" s="267">
        <f>E31+E34</f>
        <v>0</v>
      </c>
    </row>
    <row r="36" spans="2:5" ht="15.75">
      <c r="B36" s="528" t="str">
        <f>CONCATENATE(C80,"     ",D80)</f>
        <v>     </v>
      </c>
      <c r="C36" s="531"/>
      <c r="D36" s="530" t="s">
        <v>779</v>
      </c>
      <c r="E36" s="186">
        <f>IF(E35-E21&gt;0,E35-E21,0)</f>
        <v>0</v>
      </c>
    </row>
    <row r="37" spans="2:5" ht="15.75">
      <c r="B37" s="216"/>
      <c r="C37" s="529" t="s">
        <v>435</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761</v>
      </c>
      <c r="C39" s="72"/>
      <c r="D39" s="72"/>
      <c r="E39" s="72"/>
    </row>
    <row r="40" spans="2:5" ht="15.75">
      <c r="B40" s="66"/>
      <c r="C40" s="412" t="s">
        <v>762</v>
      </c>
      <c r="D40" s="415" t="s">
        <v>763</v>
      </c>
      <c r="E40" s="76" t="s">
        <v>764</v>
      </c>
    </row>
    <row r="41" spans="2:5" ht="15.75">
      <c r="B41" s="514">
        <f>inputPrYr!B26</f>
        <v>0</v>
      </c>
      <c r="C41" s="413" t="str">
        <f>C5</f>
        <v>Actual 2010</v>
      </c>
      <c r="D41" s="413" t="str">
        <f>D5</f>
        <v>Estimate 2011</v>
      </c>
      <c r="E41" s="81" t="str">
        <f>E5</f>
        <v>Year 2012</v>
      </c>
    </row>
    <row r="42" spans="2:5" ht="15.75">
      <c r="B42" s="82" t="s">
        <v>553</v>
      </c>
      <c r="C42" s="326"/>
      <c r="D42" s="414">
        <f>C68</f>
        <v>0</v>
      </c>
      <c r="E42" s="267">
        <f>D68</f>
        <v>0</v>
      </c>
    </row>
    <row r="43" spans="2:5" ht="15.75">
      <c r="B43" s="82" t="s">
        <v>555</v>
      </c>
      <c r="C43" s="414"/>
      <c r="D43" s="414"/>
      <c r="E43" s="328"/>
    </row>
    <row r="44" spans="2:5" ht="15.75">
      <c r="B44" s="82" t="s">
        <v>767</v>
      </c>
      <c r="C44" s="326"/>
      <c r="D44" s="414">
        <f>inputPrYr!E26</f>
        <v>0</v>
      </c>
      <c r="E44" s="328" t="s">
        <v>746</v>
      </c>
    </row>
    <row r="45" spans="2:5" ht="15.75">
      <c r="B45" s="82" t="s">
        <v>768</v>
      </c>
      <c r="C45" s="326"/>
      <c r="D45" s="326"/>
      <c r="E45" s="175"/>
    </row>
    <row r="46" spans="2:5" ht="15.75">
      <c r="B46" s="82" t="s">
        <v>769</v>
      </c>
      <c r="C46" s="326"/>
      <c r="D46" s="326"/>
      <c r="E46" s="267">
        <f>mvalloc!G18</f>
        <v>0</v>
      </c>
    </row>
    <row r="47" spans="2:5" ht="15.75">
      <c r="B47" s="82" t="s">
        <v>770</v>
      </c>
      <c r="C47" s="326"/>
      <c r="D47" s="326"/>
      <c r="E47" s="267">
        <f>mvalloc!I18</f>
        <v>0</v>
      </c>
    </row>
    <row r="48" spans="2:5" ht="15.75">
      <c r="B48" s="82" t="s">
        <v>535</v>
      </c>
      <c r="C48" s="326"/>
      <c r="D48" s="326"/>
      <c r="E48" s="267">
        <f>mvalloc!J18</f>
        <v>0</v>
      </c>
    </row>
    <row r="49" spans="2:5" ht="15.75">
      <c r="B49" s="82" t="s">
        <v>595</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773</v>
      </c>
      <c r="C53" s="326"/>
      <c r="D53" s="326"/>
      <c r="E53" s="175"/>
    </row>
    <row r="54" spans="2:5" ht="15.75">
      <c r="B54" s="332" t="s">
        <v>719</v>
      </c>
      <c r="C54" s="326"/>
      <c r="D54" s="326"/>
      <c r="E54" s="175"/>
    </row>
    <row r="55" spans="2:5" ht="15.75">
      <c r="B55" s="332" t="s">
        <v>720</v>
      </c>
      <c r="C55" s="416">
        <f>IF(C56*0.1&lt;C54,"Exceed 10% Rule","")</f>
      </c>
      <c r="D55" s="416">
        <f>IF(D56*0.1&lt;D54,"Exceed 10% Rule","")</f>
      </c>
      <c r="E55" s="336">
        <f>IF(E56*0.1+E74&lt;E54,"Exceed 10% Rule","")</f>
      </c>
    </row>
    <row r="56" spans="2:5" ht="15.75">
      <c r="B56" s="334" t="s">
        <v>774</v>
      </c>
      <c r="C56" s="417">
        <f>SUM(C44:C54)</f>
        <v>0</v>
      </c>
      <c r="D56" s="417">
        <f>SUM(D44:D54)</f>
        <v>0</v>
      </c>
      <c r="E56" s="335">
        <f>SUM(E44:E54)</f>
        <v>0</v>
      </c>
    </row>
    <row r="57" spans="2:5" ht="15.75">
      <c r="B57" s="100" t="s">
        <v>775</v>
      </c>
      <c r="C57" s="417">
        <f>C56+C42</f>
        <v>0</v>
      </c>
      <c r="D57" s="417">
        <f>D56+D42</f>
        <v>0</v>
      </c>
      <c r="E57" s="335">
        <f>E56+E42</f>
        <v>0</v>
      </c>
    </row>
    <row r="58" spans="2:5" ht="15.75">
      <c r="B58" s="82" t="s">
        <v>776</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721</v>
      </c>
      <c r="C64" s="326"/>
      <c r="D64" s="326"/>
      <c r="E64" s="186">
        <f>nhood!E12</f>
      </c>
    </row>
    <row r="65" spans="2:5" ht="15.75">
      <c r="B65" s="329" t="s">
        <v>719</v>
      </c>
      <c r="C65" s="326"/>
      <c r="D65" s="326"/>
      <c r="E65" s="175"/>
    </row>
    <row r="66" spans="2:5" ht="15.75">
      <c r="B66" s="329" t="s">
        <v>436</v>
      </c>
      <c r="C66" s="416">
        <f>IF(C67*0.1&lt;C65,"Exceed 10% Rule","")</f>
      </c>
      <c r="D66" s="416">
        <f>IF(D67*0.1&lt;D65,"Exceed 10% Rule","")</f>
      </c>
      <c r="E66" s="336">
        <f>IF(E67*0.1&lt;E65,"Exceed 10% Rule","")</f>
      </c>
    </row>
    <row r="67" spans="2:5" ht="15.75">
      <c r="B67" s="100" t="s">
        <v>777</v>
      </c>
      <c r="C67" s="417">
        <f>SUM(C59:C65)</f>
        <v>0</v>
      </c>
      <c r="D67" s="417">
        <f>SUM(D59:D65)</f>
        <v>0</v>
      </c>
      <c r="E67" s="335">
        <f>SUM(E59:E65)</f>
        <v>0</v>
      </c>
    </row>
    <row r="68" spans="2:5" ht="15.75">
      <c r="B68" s="82" t="s">
        <v>554</v>
      </c>
      <c r="C68" s="418">
        <f>C57-C67</f>
        <v>0</v>
      </c>
      <c r="D68" s="418">
        <f>D57-D67</f>
        <v>0</v>
      </c>
      <c r="E68" s="328" t="s">
        <v>746</v>
      </c>
    </row>
    <row r="69" spans="2:6" ht="15.75">
      <c r="B69" s="121" t="str">
        <f>CONCATENATE("",$E$1-2,"/",$E$1-1," Budget Authority Amount:")</f>
        <v>2010/2011 Budget Authority Amount:</v>
      </c>
      <c r="C69" s="362">
        <f>inputOth!$B89</f>
        <v>0</v>
      </c>
      <c r="D69" s="85">
        <f>inputPrYr!$D26</f>
        <v>0</v>
      </c>
      <c r="E69" s="328" t="s">
        <v>746</v>
      </c>
      <c r="F69" s="337"/>
    </row>
    <row r="70" spans="2:6" ht="15.75">
      <c r="B70" s="121"/>
      <c r="C70" s="659" t="s">
        <v>433</v>
      </c>
      <c r="D70" s="660"/>
      <c r="E70" s="175"/>
      <c r="F70" s="337">
        <f>IF(E67/0.95-E67&lt;E70,"Exceeds 5%","")</f>
      </c>
    </row>
    <row r="71" spans="2:5" ht="15.75">
      <c r="B71" s="528" t="str">
        <f>CONCATENATE(C81,"     ",D81)</f>
        <v>     </v>
      </c>
      <c r="C71" s="661" t="s">
        <v>434</v>
      </c>
      <c r="D71" s="662"/>
      <c r="E71" s="267">
        <f>E67+E70</f>
        <v>0</v>
      </c>
    </row>
    <row r="72" spans="2:5" ht="15.75">
      <c r="B72" s="528" t="str">
        <f>CONCATENATE(C82,"     ",D82)</f>
        <v>     </v>
      </c>
      <c r="C72" s="531"/>
      <c r="D72" s="530" t="s">
        <v>779</v>
      </c>
      <c r="E72" s="186">
        <f>IF(E71-E57&gt;0,E71-E57,0)</f>
        <v>0</v>
      </c>
    </row>
    <row r="73" spans="2:5" ht="15.75">
      <c r="B73" s="216"/>
      <c r="C73" s="529" t="s">
        <v>435</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760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5">
      <selection activeCell="D35" sqref="D35"/>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631</v>
      </c>
      <c r="B1" s="66"/>
      <c r="C1" s="66"/>
      <c r="D1" s="66"/>
      <c r="E1" s="66"/>
    </row>
    <row r="2" spans="1:5" ht="15.75">
      <c r="A2" s="161" t="s">
        <v>715</v>
      </c>
      <c r="B2" s="66"/>
      <c r="C2" s="66"/>
      <c r="D2" s="66"/>
      <c r="E2" s="66"/>
    </row>
    <row r="3" spans="1:5" ht="15.75">
      <c r="A3" s="161" t="s">
        <v>713</v>
      </c>
      <c r="B3" s="66"/>
      <c r="C3" s="66"/>
      <c r="D3" s="122" t="s">
        <v>100</v>
      </c>
      <c r="E3" s="73"/>
    </row>
    <row r="4" spans="1:5" ht="15.75">
      <c r="A4" s="161" t="s">
        <v>714</v>
      </c>
      <c r="B4" s="66"/>
      <c r="C4" s="66"/>
      <c r="D4" s="162" t="s">
        <v>101</v>
      </c>
      <c r="E4" s="73"/>
    </row>
    <row r="5" spans="1:5" ht="15.75">
      <c r="A5" s="66"/>
      <c r="B5" s="66"/>
      <c r="C5" s="66"/>
      <c r="D5" s="66"/>
      <c r="E5" s="66"/>
    </row>
    <row r="6" spans="1:5" ht="15.75">
      <c r="A6" s="163" t="s">
        <v>632</v>
      </c>
      <c r="B6" s="66"/>
      <c r="C6" s="66"/>
      <c r="D6" s="114" t="s">
        <v>102</v>
      </c>
      <c r="E6" s="66"/>
    </row>
    <row r="7" spans="1:5" ht="15.75">
      <c r="A7" s="163" t="s">
        <v>633</v>
      </c>
      <c r="B7" s="66"/>
      <c r="C7" s="66"/>
      <c r="D7" s="115"/>
      <c r="E7" s="66"/>
    </row>
    <row r="8" spans="1:5" ht="15.75">
      <c r="A8" s="66"/>
      <c r="B8" s="66"/>
      <c r="C8" s="66"/>
      <c r="D8" s="66"/>
      <c r="E8" s="66"/>
    </row>
    <row r="9" spans="1:5" ht="15.75">
      <c r="A9" s="163" t="s">
        <v>578</v>
      </c>
      <c r="B9" s="66"/>
      <c r="C9" s="66"/>
      <c r="D9" s="164">
        <v>2012</v>
      </c>
      <c r="E9" s="66"/>
    </row>
    <row r="10" spans="1:5" ht="15.75">
      <c r="A10" s="66"/>
      <c r="B10" s="66"/>
      <c r="C10" s="66"/>
      <c r="D10" s="66"/>
      <c r="E10" s="66"/>
    </row>
    <row r="11" spans="1:5" ht="15.75">
      <c r="A11" s="165" t="s">
        <v>580</v>
      </c>
      <c r="B11" s="166"/>
      <c r="C11" s="166"/>
      <c r="D11" s="166"/>
      <c r="E11" s="166"/>
    </row>
    <row r="12" spans="1:5" ht="15.75">
      <c r="A12" s="165" t="s">
        <v>650</v>
      </c>
      <c r="B12" s="166"/>
      <c r="C12" s="166"/>
      <c r="D12" s="166"/>
      <c r="E12" s="166"/>
    </row>
    <row r="13" spans="1:5" ht="15.75">
      <c r="A13" s="66"/>
      <c r="B13" s="66"/>
      <c r="C13" s="66"/>
      <c r="D13" s="66"/>
      <c r="E13" s="66"/>
    </row>
    <row r="14" spans="1:5" ht="15.75">
      <c r="A14" s="610" t="s">
        <v>591</v>
      </c>
      <c r="B14" s="611"/>
      <c r="C14" s="611"/>
      <c r="D14" s="611"/>
      <c r="E14" s="611"/>
    </row>
    <row r="15" spans="1:5" ht="15.75">
      <c r="A15" s="161"/>
      <c r="B15" s="66"/>
      <c r="C15" s="66"/>
      <c r="D15" s="66"/>
      <c r="E15" s="66"/>
    </row>
    <row r="16" spans="1:5" ht="15.75">
      <c r="A16" s="167" t="s">
        <v>579</v>
      </c>
      <c r="B16" s="168"/>
      <c r="C16" s="66"/>
      <c r="D16" s="69"/>
      <c r="E16" s="169"/>
    </row>
    <row r="17" spans="1:5" ht="15.75">
      <c r="A17" s="170" t="str">
        <f>CONCATENATE("the ",D9-1," Budget, Certificate Page:")</f>
        <v>the 2011 Budget, Certificate Page:</v>
      </c>
      <c r="B17" s="171"/>
      <c r="C17" s="69"/>
      <c r="D17" s="66"/>
      <c r="E17" s="66"/>
    </row>
    <row r="18" spans="1:5" ht="15.75">
      <c r="A18" s="170" t="s">
        <v>811</v>
      </c>
      <c r="B18" s="171"/>
      <c r="C18" s="69"/>
      <c r="D18" s="172">
        <f>D9-1</f>
        <v>2011</v>
      </c>
      <c r="E18" s="172">
        <f>D9-2</f>
        <v>2010</v>
      </c>
    </row>
    <row r="19" spans="1:5" ht="15.75">
      <c r="A19" s="74" t="s">
        <v>728</v>
      </c>
      <c r="B19" s="66"/>
      <c r="C19" s="173" t="s">
        <v>727</v>
      </c>
      <c r="D19" s="174" t="s">
        <v>842</v>
      </c>
      <c r="E19" s="174" t="s">
        <v>767</v>
      </c>
    </row>
    <row r="20" spans="1:5" ht="15.75">
      <c r="A20" s="66"/>
      <c r="B20" s="108" t="s">
        <v>729</v>
      </c>
      <c r="C20" s="85" t="s">
        <v>730</v>
      </c>
      <c r="D20" s="175">
        <v>32500</v>
      </c>
      <c r="E20" s="175">
        <v>26427</v>
      </c>
    </row>
    <row r="21" spans="1:5" ht="15.75">
      <c r="A21" s="66"/>
      <c r="B21" s="108" t="s">
        <v>800</v>
      </c>
      <c r="C21" s="85" t="s">
        <v>585</v>
      </c>
      <c r="D21" s="175"/>
      <c r="E21" s="175"/>
    </row>
    <row r="22" spans="1:5" ht="15.75">
      <c r="A22" s="66"/>
      <c r="B22" s="108" t="s">
        <v>731</v>
      </c>
      <c r="C22" s="176" t="s">
        <v>716</v>
      </c>
      <c r="D22" s="175">
        <v>172977</v>
      </c>
      <c r="E22" s="175">
        <v>77692</v>
      </c>
    </row>
    <row r="23" spans="1:5" ht="15.75">
      <c r="A23" s="66"/>
      <c r="B23" s="108" t="s">
        <v>809</v>
      </c>
      <c r="C23" s="90" t="s">
        <v>810</v>
      </c>
      <c r="D23" s="175"/>
      <c r="E23" s="175"/>
    </row>
    <row r="24" spans="1:5" ht="15.75">
      <c r="A24" s="66"/>
      <c r="B24" s="108" t="s">
        <v>668</v>
      </c>
      <c r="C24" s="90" t="s">
        <v>669</v>
      </c>
      <c r="D24" s="175"/>
      <c r="E24" s="175"/>
    </row>
    <row r="25" spans="1:5" ht="15.75">
      <c r="A25" s="66"/>
      <c r="B25" s="212" t="s">
        <v>58</v>
      </c>
      <c r="C25" s="90" t="s">
        <v>59</v>
      </c>
      <c r="D25" s="175"/>
      <c r="E25" s="175"/>
    </row>
    <row r="26" spans="1:5" ht="15.75">
      <c r="A26" s="66"/>
      <c r="B26" s="177"/>
      <c r="C26" s="511"/>
      <c r="D26" s="175"/>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104119</v>
      </c>
    </row>
    <row r="32" spans="1:5" ht="15.75">
      <c r="A32" s="73"/>
      <c r="B32" s="73"/>
      <c r="C32" s="73"/>
      <c r="D32" s="182"/>
      <c r="E32" s="183"/>
    </row>
    <row r="33" spans="1:5" ht="15.75">
      <c r="A33" s="66" t="s">
        <v>574</v>
      </c>
      <c r="B33" s="66"/>
      <c r="C33" s="66"/>
      <c r="D33" s="66"/>
      <c r="E33" s="66"/>
    </row>
    <row r="34" spans="1:5" ht="15.75">
      <c r="A34" s="66"/>
      <c r="B34" s="184" t="s">
        <v>103</v>
      </c>
      <c r="C34" s="66"/>
      <c r="D34" s="185">
        <v>128000</v>
      </c>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333477</v>
      </c>
      <c r="E38" s="66"/>
    </row>
    <row r="39" spans="1:5" ht="15.75">
      <c r="A39" s="111" t="s">
        <v>837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579</v>
      </c>
      <c r="B46" s="168"/>
      <c r="C46" s="66"/>
      <c r="D46" s="608" t="str">
        <f>CONCATENATE("",D9-3," Tax Rate         (",D9-2," Column)")</f>
        <v>2009 Tax Rate         (2010 Column)</v>
      </c>
      <c r="E46" s="66"/>
    </row>
    <row r="47" spans="1:5" ht="15.75">
      <c r="A47" s="170" t="str">
        <f>CONCATENATE("the ",D9-1," Budget, Budget Summary Page:")</f>
        <v>the 2011 Budget, Budget Summary Page:</v>
      </c>
      <c r="B47" s="187"/>
      <c r="C47" s="66"/>
      <c r="D47" s="609"/>
      <c r="E47" s="66"/>
    </row>
    <row r="48" spans="1:5" ht="15.75">
      <c r="A48" s="66"/>
      <c r="B48" s="92" t="str">
        <f aca="true" t="shared" si="0" ref="B48:B57">B20</f>
        <v>General</v>
      </c>
      <c r="C48" s="66"/>
      <c r="D48" s="188">
        <v>1.521</v>
      </c>
      <c r="E48" s="66"/>
    </row>
    <row r="49" spans="1:5" ht="15.75">
      <c r="A49" s="66"/>
      <c r="B49" s="92" t="str">
        <f t="shared" si="0"/>
        <v>Debt Service</v>
      </c>
      <c r="C49" s="66"/>
      <c r="D49" s="189"/>
      <c r="E49" s="66"/>
    </row>
    <row r="50" spans="1:5" ht="15.75">
      <c r="A50" s="66"/>
      <c r="B50" s="92" t="str">
        <f t="shared" si="0"/>
        <v>Road</v>
      </c>
      <c r="C50" s="66"/>
      <c r="D50" s="189">
        <v>8.859</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10.379999999999999</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103351</v>
      </c>
    </row>
    <row r="62" spans="1:5" ht="15.75">
      <c r="A62" s="192" t="str">
        <f>CONCATENATE("Assessed Valuation (",D9-2," budget column):")</f>
        <v>Assessed Valuation (2010 budget column):</v>
      </c>
      <c r="B62" s="168"/>
      <c r="C62" s="66"/>
      <c r="D62" s="66"/>
      <c r="E62" s="193">
        <v>19652324</v>
      </c>
    </row>
    <row r="63" spans="1:5" ht="15.75">
      <c r="A63" s="66"/>
      <c r="B63" s="66"/>
      <c r="C63" s="66"/>
      <c r="D63" s="66"/>
      <c r="E63" s="194"/>
    </row>
    <row r="64" spans="1:5" ht="15.75">
      <c r="A64" s="195" t="s">
        <v>651</v>
      </c>
      <c r="B64" s="195"/>
      <c r="C64" s="196"/>
      <c r="D64" s="197">
        <f>D9-3</f>
        <v>2009</v>
      </c>
      <c r="E64" s="197">
        <f>D9-2</f>
        <v>2010</v>
      </c>
    </row>
    <row r="65" spans="1:5" ht="15.75">
      <c r="A65" s="195" t="s">
        <v>598</v>
      </c>
      <c r="B65" s="195"/>
      <c r="C65" s="198"/>
      <c r="D65" s="185"/>
      <c r="E65" s="185"/>
    </row>
    <row r="66" spans="1:5" ht="15.75">
      <c r="A66" s="199" t="s">
        <v>647</v>
      </c>
      <c r="B66" s="199"/>
      <c r="C66" s="200"/>
      <c r="D66" s="185"/>
      <c r="E66" s="185"/>
    </row>
    <row r="67" spans="1:5" ht="15.75">
      <c r="A67" s="199" t="s">
        <v>599</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Kechi Township</v>
      </c>
      <c r="C1" s="66"/>
      <c r="D1" s="66"/>
      <c r="E1" s="231">
        <f>inputPrYr!D9</f>
        <v>2012</v>
      </c>
    </row>
    <row r="2" spans="2:5" ht="15.75">
      <c r="B2" s="602" t="s">
        <v>29</v>
      </c>
      <c r="C2" s="66"/>
      <c r="D2" s="213"/>
      <c r="E2" s="68"/>
    </row>
    <row r="3" spans="2:5" ht="15.75">
      <c r="B3" s="66"/>
      <c r="C3" s="72"/>
      <c r="D3" s="72"/>
      <c r="E3" s="72"/>
    </row>
    <row r="4" spans="2:5" ht="15.75">
      <c r="B4" s="74" t="s">
        <v>761</v>
      </c>
      <c r="C4" s="412" t="s">
        <v>762</v>
      </c>
      <c r="D4" s="415" t="s">
        <v>763</v>
      </c>
      <c r="E4" s="76" t="s">
        <v>764</v>
      </c>
    </row>
    <row r="5" spans="2:5" ht="15.75">
      <c r="B5" s="513">
        <f>inputPrYr!B27</f>
        <v>0</v>
      </c>
      <c r="C5" s="413" t="str">
        <f>gen!C5</f>
        <v>Actual 2010</v>
      </c>
      <c r="D5" s="413" t="str">
        <f>gen!D5</f>
        <v>Estimate 2011</v>
      </c>
      <c r="E5" s="81" t="str">
        <f>gen!E5</f>
        <v>Year 2012</v>
      </c>
    </row>
    <row r="6" spans="2:5" ht="15.75">
      <c r="B6" s="82" t="s">
        <v>553</v>
      </c>
      <c r="C6" s="326"/>
      <c r="D6" s="414">
        <f>C32</f>
        <v>0</v>
      </c>
      <c r="E6" s="267">
        <f>D32</f>
        <v>0</v>
      </c>
    </row>
    <row r="7" spans="2:5" ht="15.75">
      <c r="B7" s="82" t="s">
        <v>555</v>
      </c>
      <c r="C7" s="414"/>
      <c r="D7" s="414"/>
      <c r="E7" s="328"/>
    </row>
    <row r="8" spans="2:5" ht="15.75">
      <c r="B8" s="82" t="s">
        <v>767</v>
      </c>
      <c r="C8" s="326"/>
      <c r="D8" s="414">
        <f>inputPrYr!E27</f>
        <v>0</v>
      </c>
      <c r="E8" s="328" t="s">
        <v>746</v>
      </c>
    </row>
    <row r="9" spans="2:5" ht="15.75">
      <c r="B9" s="82" t="s">
        <v>768</v>
      </c>
      <c r="C9" s="326"/>
      <c r="D9" s="326"/>
      <c r="E9" s="175"/>
    </row>
    <row r="10" spans="2:5" ht="15.75">
      <c r="B10" s="82" t="s">
        <v>769</v>
      </c>
      <c r="C10" s="326"/>
      <c r="D10" s="326"/>
      <c r="E10" s="267">
        <f>mvalloc!G19</f>
        <v>0</v>
      </c>
    </row>
    <row r="11" spans="2:5" ht="15.75">
      <c r="B11" s="82" t="s">
        <v>770</v>
      </c>
      <c r="C11" s="326"/>
      <c r="D11" s="326"/>
      <c r="E11" s="267">
        <f>mvalloc!I19</f>
        <v>0</v>
      </c>
    </row>
    <row r="12" spans="2:5" ht="15.75">
      <c r="B12" s="82" t="s">
        <v>535</v>
      </c>
      <c r="C12" s="326"/>
      <c r="D12" s="326"/>
      <c r="E12" s="267">
        <f>mvalloc!J19</f>
        <v>0</v>
      </c>
    </row>
    <row r="13" spans="2:5" ht="15.75">
      <c r="B13" s="82" t="s">
        <v>595</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773</v>
      </c>
      <c r="C17" s="326"/>
      <c r="D17" s="326"/>
      <c r="E17" s="175"/>
    </row>
    <row r="18" spans="2:5" ht="15.75">
      <c r="B18" s="332" t="s">
        <v>719</v>
      </c>
      <c r="C18" s="326"/>
      <c r="D18" s="326"/>
      <c r="E18" s="175"/>
    </row>
    <row r="19" spans="2:5" ht="15.75">
      <c r="B19" s="332" t="s">
        <v>720</v>
      </c>
      <c r="C19" s="416">
        <f>IF(C20*0.1&lt;C18,"Exceed 10% Rule","")</f>
      </c>
      <c r="D19" s="416">
        <f>IF(D20*0.1&lt;D18,"Exceed 10% Rule","")</f>
      </c>
      <c r="E19" s="336">
        <f>IF(E20*0.1+E38&lt;E18,"Exceed 10% Rule","")</f>
      </c>
    </row>
    <row r="20" spans="2:5" ht="15.75">
      <c r="B20" s="334" t="s">
        <v>774</v>
      </c>
      <c r="C20" s="417">
        <f>SUM(C8:C18)</f>
        <v>0</v>
      </c>
      <c r="D20" s="417">
        <f>SUM(D8:D18)</f>
        <v>0</v>
      </c>
      <c r="E20" s="335">
        <f>SUM(E8:E18)</f>
        <v>0</v>
      </c>
    </row>
    <row r="21" spans="2:5" ht="15.75">
      <c r="B21" s="100" t="s">
        <v>775</v>
      </c>
      <c r="C21" s="417">
        <f>C20+C6</f>
        <v>0</v>
      </c>
      <c r="D21" s="417">
        <f>D20+D6</f>
        <v>0</v>
      </c>
      <c r="E21" s="335">
        <f>E20+E6</f>
        <v>0</v>
      </c>
    </row>
    <row r="22" spans="2:5" ht="15.75">
      <c r="B22" s="82" t="s">
        <v>776</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721</v>
      </c>
      <c r="C28" s="326"/>
      <c r="D28" s="326"/>
      <c r="E28" s="186">
        <f>nhood!E13</f>
      </c>
    </row>
    <row r="29" spans="2:5" ht="15.75">
      <c r="B29" s="329" t="s">
        <v>719</v>
      </c>
      <c r="C29" s="326"/>
      <c r="D29" s="326"/>
      <c r="E29" s="175"/>
    </row>
    <row r="30" spans="2:5" ht="15.75">
      <c r="B30" s="329" t="s">
        <v>436</v>
      </c>
      <c r="C30" s="416">
        <f>IF(C31*0.1&lt;C29,"Exceed 10% Rule","")</f>
      </c>
      <c r="D30" s="416">
        <f>IF(D31*0.1&lt;D29,"Exceed 10% Rule","")</f>
      </c>
      <c r="E30" s="336">
        <f>IF(E31*0.1&lt;E29,"Exceed 10% Rule","")</f>
      </c>
    </row>
    <row r="31" spans="2:5" ht="15.75">
      <c r="B31" s="100" t="s">
        <v>777</v>
      </c>
      <c r="C31" s="417">
        <f>SUM(C23:C29)</f>
        <v>0</v>
      </c>
      <c r="D31" s="417">
        <f>SUM(D23:D29)</f>
        <v>0</v>
      </c>
      <c r="E31" s="335">
        <f>SUM(E23:E29)</f>
        <v>0</v>
      </c>
    </row>
    <row r="32" spans="2:5" ht="15.75">
      <c r="B32" s="82" t="s">
        <v>554</v>
      </c>
      <c r="C32" s="418">
        <f>C21-C31</f>
        <v>0</v>
      </c>
      <c r="D32" s="418">
        <f>D21-D31</f>
        <v>0</v>
      </c>
      <c r="E32" s="328" t="s">
        <v>746</v>
      </c>
    </row>
    <row r="33" spans="2:6" ht="15.75">
      <c r="B33" s="121" t="str">
        <f>CONCATENATE("",$E$1-2,"/",$E$1-1," Budget Authority Amount:")</f>
        <v>2010/2011 Budget Authority Amount:</v>
      </c>
      <c r="C33" s="362">
        <f>inputOth!$B90</f>
        <v>0</v>
      </c>
      <c r="D33" s="85">
        <f>inputPrYr!$D27</f>
        <v>0</v>
      </c>
      <c r="E33" s="328" t="s">
        <v>746</v>
      </c>
      <c r="F33" s="337"/>
    </row>
    <row r="34" spans="2:6" ht="15.75">
      <c r="B34" s="121"/>
      <c r="C34" s="659" t="s">
        <v>433</v>
      </c>
      <c r="D34" s="660"/>
      <c r="E34" s="175"/>
      <c r="F34" s="337">
        <f>IF(E31/0.95-E31&lt;E34,"Exceeds 5%","")</f>
      </c>
    </row>
    <row r="35" spans="2:5" ht="15.75">
      <c r="B35" s="528" t="str">
        <f>CONCATENATE(C79,"     ",D79)</f>
        <v>     </v>
      </c>
      <c r="C35" s="661" t="s">
        <v>434</v>
      </c>
      <c r="D35" s="662"/>
      <c r="E35" s="267">
        <f>E31+E34</f>
        <v>0</v>
      </c>
    </row>
    <row r="36" spans="2:5" ht="15.75">
      <c r="B36" s="528" t="str">
        <f>CONCATENATE(C80,"     ",D80)</f>
        <v>     </v>
      </c>
      <c r="C36" s="531"/>
      <c r="D36" s="530" t="s">
        <v>779</v>
      </c>
      <c r="E36" s="186">
        <f>IF(E35-E21&gt;0,E35-E21,0)</f>
        <v>0</v>
      </c>
    </row>
    <row r="37" spans="2:5" ht="15.75">
      <c r="B37" s="216"/>
      <c r="C37" s="529" t="s">
        <v>435</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761</v>
      </c>
      <c r="C39" s="72"/>
      <c r="D39" s="72"/>
      <c r="E39" s="72"/>
    </row>
    <row r="40" spans="2:5" ht="15.75">
      <c r="B40" s="66"/>
      <c r="C40" s="412" t="s">
        <v>762</v>
      </c>
      <c r="D40" s="415" t="s">
        <v>763</v>
      </c>
      <c r="E40" s="76" t="s">
        <v>764</v>
      </c>
    </row>
    <row r="41" spans="2:5" ht="15.75">
      <c r="B41" s="514">
        <f>inputPrYr!B28</f>
        <v>0</v>
      </c>
      <c r="C41" s="413" t="str">
        <f>C5</f>
        <v>Actual 2010</v>
      </c>
      <c r="D41" s="413" t="str">
        <f>D5</f>
        <v>Estimate 2011</v>
      </c>
      <c r="E41" s="81" t="str">
        <f>E5</f>
        <v>Year 2012</v>
      </c>
    </row>
    <row r="42" spans="2:5" ht="15.75">
      <c r="B42" s="82" t="s">
        <v>553</v>
      </c>
      <c r="C42" s="326"/>
      <c r="D42" s="414">
        <f>C68</f>
        <v>0</v>
      </c>
      <c r="E42" s="267">
        <f>D68</f>
        <v>0</v>
      </c>
    </row>
    <row r="43" spans="2:5" ht="15.75">
      <c r="B43" s="82" t="s">
        <v>555</v>
      </c>
      <c r="C43" s="414"/>
      <c r="D43" s="414"/>
      <c r="E43" s="328"/>
    </row>
    <row r="44" spans="2:5" ht="15.75">
      <c r="B44" s="82" t="s">
        <v>767</v>
      </c>
      <c r="C44" s="326"/>
      <c r="D44" s="414">
        <f>inputPrYr!E28</f>
        <v>0</v>
      </c>
      <c r="E44" s="328" t="s">
        <v>746</v>
      </c>
    </row>
    <row r="45" spans="2:5" ht="15.75">
      <c r="B45" s="82" t="s">
        <v>768</v>
      </c>
      <c r="C45" s="326"/>
      <c r="D45" s="326"/>
      <c r="E45" s="175"/>
    </row>
    <row r="46" spans="2:5" ht="15.75">
      <c r="B46" s="82" t="s">
        <v>769</v>
      </c>
      <c r="C46" s="326"/>
      <c r="D46" s="326"/>
      <c r="E46" s="267">
        <f>mvalloc!G20</f>
        <v>0</v>
      </c>
    </row>
    <row r="47" spans="2:5" ht="15.75">
      <c r="B47" s="82" t="s">
        <v>770</v>
      </c>
      <c r="C47" s="326"/>
      <c r="D47" s="326"/>
      <c r="E47" s="267">
        <f>mvalloc!I20</f>
        <v>0</v>
      </c>
    </row>
    <row r="48" spans="2:5" ht="15.75">
      <c r="B48" s="82" t="s">
        <v>535</v>
      </c>
      <c r="C48" s="326"/>
      <c r="D48" s="326"/>
      <c r="E48" s="267">
        <f>mvalloc!J20</f>
        <v>0</v>
      </c>
    </row>
    <row r="49" spans="2:5" ht="15.75">
      <c r="B49" s="82" t="s">
        <v>595</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773</v>
      </c>
      <c r="C53" s="326"/>
      <c r="D53" s="326"/>
      <c r="E53" s="175"/>
    </row>
    <row r="54" spans="2:5" ht="15.75">
      <c r="B54" s="332" t="s">
        <v>719</v>
      </c>
      <c r="C54" s="326"/>
      <c r="D54" s="326"/>
      <c r="E54" s="175"/>
    </row>
    <row r="55" spans="2:5" ht="15.75">
      <c r="B55" s="332" t="s">
        <v>720</v>
      </c>
      <c r="C55" s="416">
        <f>IF(C56*0.1&lt;C54,"Exceed 10% Rule","")</f>
      </c>
      <c r="D55" s="416">
        <f>IF(D56*0.1&lt;D54,"Exceed 10% Rule","")</f>
      </c>
      <c r="E55" s="336">
        <f>IF(E56*0.1+E74&lt;E54,"Exceed 10% Rule","")</f>
      </c>
    </row>
    <row r="56" spans="2:5" ht="15.75">
      <c r="B56" s="334" t="s">
        <v>774</v>
      </c>
      <c r="C56" s="417">
        <f>SUM(C44:C54)</f>
        <v>0</v>
      </c>
      <c r="D56" s="417">
        <f>SUM(D44:D54)</f>
        <v>0</v>
      </c>
      <c r="E56" s="335">
        <f>SUM(E44:E54)</f>
        <v>0</v>
      </c>
    </row>
    <row r="57" spans="2:5" ht="15.75">
      <c r="B57" s="100" t="s">
        <v>775</v>
      </c>
      <c r="C57" s="417">
        <f>C56+C42</f>
        <v>0</v>
      </c>
      <c r="D57" s="417">
        <f>D56+D42</f>
        <v>0</v>
      </c>
      <c r="E57" s="335">
        <f>E56+E42</f>
        <v>0</v>
      </c>
    </row>
    <row r="58" spans="2:5" ht="15.75">
      <c r="B58" s="82" t="s">
        <v>776</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721</v>
      </c>
      <c r="C64" s="326"/>
      <c r="D64" s="326"/>
      <c r="E64" s="186">
        <f>nhood!E14</f>
      </c>
    </row>
    <row r="65" spans="2:5" ht="15.75">
      <c r="B65" s="329" t="s">
        <v>719</v>
      </c>
      <c r="C65" s="326"/>
      <c r="D65" s="326"/>
      <c r="E65" s="175"/>
    </row>
    <row r="66" spans="2:5" ht="15.75">
      <c r="B66" s="329" t="s">
        <v>436</v>
      </c>
      <c r="C66" s="416">
        <f>IF(C67*0.1&lt;C65,"Exceed 10% Rule","")</f>
      </c>
      <c r="D66" s="416">
        <f>IF(D67*0.1&lt;D65,"Exceed 10% Rule","")</f>
      </c>
      <c r="E66" s="336">
        <f>IF(E67*0.1&lt;E65,"Exceed 10% Rule","")</f>
      </c>
    </row>
    <row r="67" spans="2:5" ht="15.75">
      <c r="B67" s="100" t="s">
        <v>777</v>
      </c>
      <c r="C67" s="417">
        <f>SUM(C59:C65)</f>
        <v>0</v>
      </c>
      <c r="D67" s="417">
        <f>SUM(D59:D65)</f>
        <v>0</v>
      </c>
      <c r="E67" s="335">
        <f>SUM(E59:E65)</f>
        <v>0</v>
      </c>
    </row>
    <row r="68" spans="2:5" ht="15.75">
      <c r="B68" s="82" t="s">
        <v>554</v>
      </c>
      <c r="C68" s="418">
        <f>C57-C67</f>
        <v>0</v>
      </c>
      <c r="D68" s="418">
        <f>D57-D67</f>
        <v>0</v>
      </c>
      <c r="E68" s="328" t="s">
        <v>746</v>
      </c>
    </row>
    <row r="69" spans="2:6" ht="15.75">
      <c r="B69" s="121" t="str">
        <f>CONCATENATE("",$E$1-2,"/",$E$1-1," Budget Authority Amount:")</f>
        <v>2010/2011 Budget Authority Amount:</v>
      </c>
      <c r="C69" s="362">
        <f>inputOth!$B91</f>
        <v>0</v>
      </c>
      <c r="D69" s="85">
        <f>inputPrYr!$D28</f>
        <v>0</v>
      </c>
      <c r="E69" s="328" t="s">
        <v>746</v>
      </c>
      <c r="F69" s="337"/>
    </row>
    <row r="70" spans="2:6" ht="15.75">
      <c r="B70" s="121"/>
      <c r="C70" s="659" t="s">
        <v>433</v>
      </c>
      <c r="D70" s="660"/>
      <c r="E70" s="175"/>
      <c r="F70" s="337">
        <f>IF(E67/0.95-E67&lt;E70,"Exceeds 5%","")</f>
      </c>
    </row>
    <row r="71" spans="2:5" ht="15.75">
      <c r="B71" s="528" t="str">
        <f>CONCATENATE(C81,"     ",D81)</f>
        <v>     </v>
      </c>
      <c r="C71" s="661" t="s">
        <v>434</v>
      </c>
      <c r="D71" s="662"/>
      <c r="E71" s="267">
        <f>E67+E70</f>
        <v>0</v>
      </c>
    </row>
    <row r="72" spans="2:5" ht="15.75">
      <c r="B72" s="528" t="str">
        <f>CONCATENATE(C82,"     ",D82)</f>
        <v>     </v>
      </c>
      <c r="C72" s="531"/>
      <c r="D72" s="530" t="s">
        <v>779</v>
      </c>
      <c r="E72" s="186">
        <f>IF(E71-E57&gt;0,E71-E57,0)</f>
        <v>0</v>
      </c>
    </row>
    <row r="73" spans="2:5" ht="15.75">
      <c r="B73" s="216"/>
      <c r="C73" s="529" t="s">
        <v>435</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760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Kechi Township</v>
      </c>
      <c r="C1" s="66"/>
      <c r="D1" s="66"/>
      <c r="E1" s="231">
        <f>inputPrYr!D9</f>
        <v>2012</v>
      </c>
    </row>
    <row r="2" spans="2:5" ht="15.75">
      <c r="B2" s="602" t="s">
        <v>29</v>
      </c>
      <c r="C2" s="66"/>
      <c r="D2" s="213"/>
      <c r="E2" s="68"/>
    </row>
    <row r="3" spans="2:5" ht="15.75">
      <c r="B3" s="66"/>
      <c r="C3" s="72"/>
      <c r="D3" s="72"/>
      <c r="E3" s="72"/>
    </row>
    <row r="4" spans="2:5" ht="15.75">
      <c r="B4" s="74" t="s">
        <v>761</v>
      </c>
      <c r="C4" s="412" t="s">
        <v>762</v>
      </c>
      <c r="D4" s="415" t="s">
        <v>763</v>
      </c>
      <c r="E4" s="76" t="s">
        <v>764</v>
      </c>
    </row>
    <row r="5" spans="2:5" ht="15.75">
      <c r="B5" s="513">
        <f>inputPrYr!B29</f>
        <v>0</v>
      </c>
      <c r="C5" s="413" t="str">
        <f>gen!C5</f>
        <v>Actual 2010</v>
      </c>
      <c r="D5" s="413" t="str">
        <f>gen!D5</f>
        <v>Estimate 2011</v>
      </c>
      <c r="E5" s="81" t="str">
        <f>gen!E5</f>
        <v>Year 2012</v>
      </c>
    </row>
    <row r="6" spans="2:5" ht="15.75">
      <c r="B6" s="82" t="s">
        <v>553</v>
      </c>
      <c r="C6" s="326"/>
      <c r="D6" s="414">
        <f>C32</f>
        <v>0</v>
      </c>
      <c r="E6" s="267">
        <f>D32</f>
        <v>0</v>
      </c>
    </row>
    <row r="7" spans="2:5" ht="15.75">
      <c r="B7" s="82" t="s">
        <v>555</v>
      </c>
      <c r="C7" s="414"/>
      <c r="D7" s="414"/>
      <c r="E7" s="328"/>
    </row>
    <row r="8" spans="2:5" ht="15.75">
      <c r="B8" s="82" t="s">
        <v>767</v>
      </c>
      <c r="C8" s="326"/>
      <c r="D8" s="414">
        <f>inputPrYr!E29</f>
        <v>0</v>
      </c>
      <c r="E8" s="328" t="s">
        <v>746</v>
      </c>
    </row>
    <row r="9" spans="2:5" ht="15.75">
      <c r="B9" s="82" t="s">
        <v>768</v>
      </c>
      <c r="C9" s="326"/>
      <c r="D9" s="326"/>
      <c r="E9" s="175"/>
    </row>
    <row r="10" spans="2:5" ht="15.75">
      <c r="B10" s="82" t="s">
        <v>769</v>
      </c>
      <c r="C10" s="326"/>
      <c r="D10" s="326"/>
      <c r="E10" s="267">
        <f>mvalloc!G21</f>
        <v>0</v>
      </c>
    </row>
    <row r="11" spans="2:5" ht="15.75">
      <c r="B11" s="82" t="s">
        <v>770</v>
      </c>
      <c r="C11" s="326"/>
      <c r="D11" s="326"/>
      <c r="E11" s="267">
        <f>mvalloc!I21</f>
        <v>0</v>
      </c>
    </row>
    <row r="12" spans="2:5" ht="15.75">
      <c r="B12" s="82" t="s">
        <v>535</v>
      </c>
      <c r="C12" s="326"/>
      <c r="D12" s="326"/>
      <c r="E12" s="267">
        <f>mvalloc!J21</f>
        <v>0</v>
      </c>
    </row>
    <row r="13" spans="2:5" ht="15.75">
      <c r="B13" s="82" t="s">
        <v>595</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773</v>
      </c>
      <c r="C17" s="326"/>
      <c r="D17" s="326"/>
      <c r="E17" s="175"/>
    </row>
    <row r="18" spans="2:5" ht="15.75">
      <c r="B18" s="332" t="s">
        <v>719</v>
      </c>
      <c r="C18" s="326"/>
      <c r="D18" s="326"/>
      <c r="E18" s="175"/>
    </row>
    <row r="19" spans="2:5" ht="15.75">
      <c r="B19" s="332" t="s">
        <v>720</v>
      </c>
      <c r="C19" s="416">
        <f>IF(C20*0.1&lt;C18,"Exceed 10% Rule","")</f>
      </c>
      <c r="D19" s="416">
        <f>IF(D20*0.1&lt;D18,"Exceed 10% Rule","")</f>
      </c>
      <c r="E19" s="336">
        <f>IF(E20*0.1+E38&lt;E18,"Exceed 10% Rule","")</f>
      </c>
    </row>
    <row r="20" spans="2:5" ht="15.75">
      <c r="B20" s="334" t="s">
        <v>774</v>
      </c>
      <c r="C20" s="417">
        <f>SUM(C8:C18)</f>
        <v>0</v>
      </c>
      <c r="D20" s="417">
        <f>SUM(D8:D18)</f>
        <v>0</v>
      </c>
      <c r="E20" s="335">
        <f>SUM(E8:E18)</f>
        <v>0</v>
      </c>
    </row>
    <row r="21" spans="2:5" ht="15.75">
      <c r="B21" s="100" t="s">
        <v>775</v>
      </c>
      <c r="C21" s="417">
        <f>C20+C6</f>
        <v>0</v>
      </c>
      <c r="D21" s="417">
        <f>D20+D6</f>
        <v>0</v>
      </c>
      <c r="E21" s="335">
        <f>E20+E6</f>
        <v>0</v>
      </c>
    </row>
    <row r="22" spans="2:5" ht="15.75">
      <c r="B22" s="82" t="s">
        <v>776</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721</v>
      </c>
      <c r="C28" s="326"/>
      <c r="D28" s="326"/>
      <c r="E28" s="186">
        <f>nhood!E15</f>
      </c>
    </row>
    <row r="29" spans="2:5" ht="15.75">
      <c r="B29" s="329" t="s">
        <v>719</v>
      </c>
      <c r="C29" s="326"/>
      <c r="D29" s="326"/>
      <c r="E29" s="175"/>
    </row>
    <row r="30" spans="2:5" ht="15.75">
      <c r="B30" s="329" t="s">
        <v>436</v>
      </c>
      <c r="C30" s="416">
        <f>IF(C31*0.1&lt;C29,"Exceed 10% Rule","")</f>
      </c>
      <c r="D30" s="416">
        <f>IF(D31*0.1&lt;D29,"Exceed 10% Rule","")</f>
      </c>
      <c r="E30" s="336">
        <f>IF(E31*0.1&lt;E29,"Exceed 10% Rule","")</f>
      </c>
    </row>
    <row r="31" spans="2:5" ht="15.75">
      <c r="B31" s="100" t="s">
        <v>777</v>
      </c>
      <c r="C31" s="417">
        <f>SUM(C23:C29)</f>
        <v>0</v>
      </c>
      <c r="D31" s="417">
        <f>SUM(D23:D29)</f>
        <v>0</v>
      </c>
      <c r="E31" s="335">
        <f>SUM(E23:E29)</f>
        <v>0</v>
      </c>
    </row>
    <row r="32" spans="2:5" ht="15.75">
      <c r="B32" s="82" t="s">
        <v>554</v>
      </c>
      <c r="C32" s="418">
        <f>C21-C31</f>
        <v>0</v>
      </c>
      <c r="D32" s="418">
        <f>D21-D31</f>
        <v>0</v>
      </c>
      <c r="E32" s="328" t="s">
        <v>746</v>
      </c>
    </row>
    <row r="33" spans="2:6" ht="15.75">
      <c r="B33" s="121" t="str">
        <f>CONCATENATE("",$E$1-2,"/",$E$1-1," Budget Authority Amount:")</f>
        <v>2010/2011 Budget Authority Amount:</v>
      </c>
      <c r="C33" s="362">
        <f>inputOth!$B92</f>
        <v>0</v>
      </c>
      <c r="D33" s="85">
        <f>inputPrYr!$D29</f>
        <v>0</v>
      </c>
      <c r="E33" s="328" t="s">
        <v>746</v>
      </c>
      <c r="F33" s="337"/>
    </row>
    <row r="34" spans="2:6" ht="15.75">
      <c r="B34" s="121"/>
      <c r="C34" s="659" t="s">
        <v>433</v>
      </c>
      <c r="D34" s="660"/>
      <c r="E34" s="175"/>
      <c r="F34" s="337">
        <f>IF(E31/0.95-E31&lt;E34,"Exceeds 5%","")</f>
      </c>
    </row>
    <row r="35" spans="2:5" ht="15.75">
      <c r="B35" s="528" t="str">
        <f>CONCATENATE(C79,"     ",D79)</f>
        <v>     </v>
      </c>
      <c r="C35" s="661" t="s">
        <v>434</v>
      </c>
      <c r="D35" s="662"/>
      <c r="E35" s="267">
        <f>E31+E34</f>
        <v>0</v>
      </c>
    </row>
    <row r="36" spans="2:5" ht="15.75">
      <c r="B36" s="528" t="str">
        <f>CONCATENATE(C80,"     ",D80)</f>
        <v>     </v>
      </c>
      <c r="C36" s="531"/>
      <c r="D36" s="530" t="s">
        <v>779</v>
      </c>
      <c r="E36" s="186">
        <f>IF(E35-E21&gt;0,E35-E21,0)</f>
        <v>0</v>
      </c>
    </row>
    <row r="37" spans="2:5" ht="15.75">
      <c r="B37" s="216"/>
      <c r="C37" s="529" t="s">
        <v>435</v>
      </c>
      <c r="D37" s="533">
        <f>inputOth!$E$77</f>
        <v>0</v>
      </c>
      <c r="E37" s="267">
        <f>ROUND(IF(D37&gt;0,(E36*D37),0),0)</f>
        <v>0</v>
      </c>
    </row>
    <row r="38" spans="2:5" ht="15.75">
      <c r="B38" s="66"/>
      <c r="C38" s="663" t="str">
        <f>CONCATENATE("Amount of  ",$E$1-1," Ad Valorem Tax")</f>
        <v>Amount of  2011 Ad Valorem Tax</v>
      </c>
      <c r="D38" s="664"/>
      <c r="E38" s="186">
        <f>E36+E37</f>
        <v>0</v>
      </c>
    </row>
    <row r="39" spans="2:5" ht="15.75">
      <c r="B39" s="74" t="s">
        <v>761</v>
      </c>
      <c r="C39" s="72"/>
      <c r="D39" s="72"/>
      <c r="E39" s="72"/>
    </row>
    <row r="40" spans="2:5" ht="15.75">
      <c r="B40" s="66"/>
      <c r="C40" s="412" t="s">
        <v>762</v>
      </c>
      <c r="D40" s="415" t="s">
        <v>763</v>
      </c>
      <c r="E40" s="76" t="s">
        <v>764</v>
      </c>
    </row>
    <row r="41" spans="2:5" ht="15.75">
      <c r="B41" s="514">
        <f>inputPrYr!B30</f>
        <v>0</v>
      </c>
      <c r="C41" s="413" t="str">
        <f>C5</f>
        <v>Actual 2010</v>
      </c>
      <c r="D41" s="413" t="str">
        <f>D5</f>
        <v>Estimate 2011</v>
      </c>
      <c r="E41" s="81" t="str">
        <f>E5</f>
        <v>Year 2012</v>
      </c>
    </row>
    <row r="42" spans="2:5" ht="15.75">
      <c r="B42" s="82" t="s">
        <v>553</v>
      </c>
      <c r="C42" s="326"/>
      <c r="D42" s="414">
        <f>C68</f>
        <v>0</v>
      </c>
      <c r="E42" s="267">
        <f>D68</f>
        <v>0</v>
      </c>
    </row>
    <row r="43" spans="2:5" ht="15.75">
      <c r="B43" s="82" t="s">
        <v>555</v>
      </c>
      <c r="C43" s="414"/>
      <c r="D43" s="414"/>
      <c r="E43" s="328"/>
    </row>
    <row r="44" spans="2:5" ht="15.75">
      <c r="B44" s="82" t="s">
        <v>767</v>
      </c>
      <c r="C44" s="326"/>
      <c r="D44" s="414">
        <f>inputPrYr!E30</f>
        <v>0</v>
      </c>
      <c r="E44" s="328" t="s">
        <v>746</v>
      </c>
    </row>
    <row r="45" spans="2:5" ht="15.75">
      <c r="B45" s="82" t="s">
        <v>768</v>
      </c>
      <c r="C45" s="326"/>
      <c r="D45" s="326"/>
      <c r="E45" s="175"/>
    </row>
    <row r="46" spans="2:5" ht="15.75">
      <c r="B46" s="82" t="s">
        <v>769</v>
      </c>
      <c r="C46" s="326"/>
      <c r="D46" s="326"/>
      <c r="E46" s="267">
        <f>mvalloc!G22</f>
        <v>0</v>
      </c>
    </row>
    <row r="47" spans="2:5" ht="15.75">
      <c r="B47" s="82" t="s">
        <v>770</v>
      </c>
      <c r="C47" s="326"/>
      <c r="D47" s="326"/>
      <c r="E47" s="267">
        <f>mvalloc!I22</f>
        <v>0</v>
      </c>
    </row>
    <row r="48" spans="2:5" ht="15.75">
      <c r="B48" s="82" t="s">
        <v>535</v>
      </c>
      <c r="C48" s="326"/>
      <c r="D48" s="326"/>
      <c r="E48" s="267">
        <f>mvalloc!J22</f>
        <v>0</v>
      </c>
    </row>
    <row r="49" spans="2:5" ht="15.75">
      <c r="B49" s="82" t="s">
        <v>595</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773</v>
      </c>
      <c r="C53" s="326"/>
      <c r="D53" s="326"/>
      <c r="E53" s="175"/>
    </row>
    <row r="54" spans="2:5" ht="15.75">
      <c r="B54" s="332" t="s">
        <v>719</v>
      </c>
      <c r="C54" s="326"/>
      <c r="D54" s="326"/>
      <c r="E54" s="175"/>
    </row>
    <row r="55" spans="2:5" ht="15.75">
      <c r="B55" s="332" t="s">
        <v>720</v>
      </c>
      <c r="C55" s="416">
        <f>IF(C56*0.1&lt;C54,"Exceed 10% Rule","")</f>
      </c>
      <c r="D55" s="416">
        <f>IF(D56*0.1&lt;D54,"Exceed 10% Rule","")</f>
      </c>
      <c r="E55" s="336">
        <f>IF(E56*0.1+E74&lt;E54,"Exceed 10% Rule","")</f>
      </c>
    </row>
    <row r="56" spans="2:5" ht="15.75">
      <c r="B56" s="334" t="s">
        <v>774</v>
      </c>
      <c r="C56" s="417">
        <f>SUM(C44:C54)</f>
        <v>0</v>
      </c>
      <c r="D56" s="417">
        <f>SUM(D44:D54)</f>
        <v>0</v>
      </c>
      <c r="E56" s="335">
        <f>SUM(E44:E54)</f>
        <v>0</v>
      </c>
    </row>
    <row r="57" spans="2:5" ht="15.75">
      <c r="B57" s="100" t="s">
        <v>775</v>
      </c>
      <c r="C57" s="417">
        <f>C56+C42</f>
        <v>0</v>
      </c>
      <c r="D57" s="417">
        <f>D56+D42</f>
        <v>0</v>
      </c>
      <c r="E57" s="335">
        <f>E56+E42</f>
        <v>0</v>
      </c>
    </row>
    <row r="58" spans="2:5" ht="15.75">
      <c r="B58" s="82" t="s">
        <v>776</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721</v>
      </c>
      <c r="C64" s="326"/>
      <c r="D64" s="326"/>
      <c r="E64" s="186">
        <f>nhood!E16</f>
      </c>
    </row>
    <row r="65" spans="2:5" ht="15.75">
      <c r="B65" s="329" t="s">
        <v>719</v>
      </c>
      <c r="C65" s="326"/>
      <c r="D65" s="326"/>
      <c r="E65" s="175"/>
    </row>
    <row r="66" spans="2:5" ht="15.75">
      <c r="B66" s="329" t="s">
        <v>436</v>
      </c>
      <c r="C66" s="416">
        <f>IF(C67*0.1&lt;C65,"Exceed 10% Rule","")</f>
      </c>
      <c r="D66" s="416">
        <f>IF(D67*0.1&lt;D65,"Exceed 10% Rule","")</f>
      </c>
      <c r="E66" s="336">
        <f>IF(E67*0.1&lt;E65,"Exceed 10% Rule","")</f>
      </c>
    </row>
    <row r="67" spans="2:5" ht="15.75">
      <c r="B67" s="100" t="s">
        <v>777</v>
      </c>
      <c r="C67" s="417">
        <f>SUM(C59:C65)</f>
        <v>0</v>
      </c>
      <c r="D67" s="417">
        <f>SUM(D59:D65)</f>
        <v>0</v>
      </c>
      <c r="E67" s="335">
        <f>SUM(E59:E65)</f>
        <v>0</v>
      </c>
    </row>
    <row r="68" spans="2:5" ht="15.75">
      <c r="B68" s="82" t="s">
        <v>554</v>
      </c>
      <c r="C68" s="418">
        <f>C57-C67</f>
        <v>0</v>
      </c>
      <c r="D68" s="418">
        <f>D57-D67</f>
        <v>0</v>
      </c>
      <c r="E68" s="328" t="s">
        <v>746</v>
      </c>
    </row>
    <row r="69" spans="2:6" ht="15.75">
      <c r="B69" s="121" t="str">
        <f>CONCATENATE("",$E$1-2,"/",$E$1-1," Budget Authority Amount:")</f>
        <v>2010/2011 Budget Authority Amount:</v>
      </c>
      <c r="C69" s="362">
        <f>inputOth!$B93</f>
        <v>0</v>
      </c>
      <c r="D69" s="85">
        <f>inputPrYr!$D30</f>
        <v>0</v>
      </c>
      <c r="E69" s="328" t="s">
        <v>746</v>
      </c>
      <c r="F69" s="337"/>
    </row>
    <row r="70" spans="2:6" ht="15.75">
      <c r="B70" s="121"/>
      <c r="C70" s="659" t="s">
        <v>433</v>
      </c>
      <c r="D70" s="660"/>
      <c r="E70" s="175"/>
      <c r="F70" s="337">
        <f>IF(E67/0.95-E67&lt;E70,"Exceeds 5%","")</f>
      </c>
    </row>
    <row r="71" spans="2:5" ht="15.75">
      <c r="B71" s="528" t="str">
        <f>CONCATENATE(C81,"     ",D81)</f>
        <v>     </v>
      </c>
      <c r="C71" s="661" t="s">
        <v>434</v>
      </c>
      <c r="D71" s="662"/>
      <c r="E71" s="267">
        <f>E67+E70</f>
        <v>0</v>
      </c>
    </row>
    <row r="72" spans="2:5" ht="15.75">
      <c r="B72" s="528" t="str">
        <f>CONCATENATE(C82,"     ",D82)</f>
        <v>     </v>
      </c>
      <c r="C72" s="531"/>
      <c r="D72" s="530" t="s">
        <v>779</v>
      </c>
      <c r="E72" s="186">
        <f>IF(E71-E57&gt;0,E71-E57,0)</f>
        <v>0</v>
      </c>
    </row>
    <row r="73" spans="2:5" ht="15.75">
      <c r="B73" s="216"/>
      <c r="C73" s="529" t="s">
        <v>435</v>
      </c>
      <c r="D73" s="533">
        <f>inputOth!$E$77</f>
        <v>0</v>
      </c>
      <c r="E73" s="267">
        <f>ROUND(IF(D73&gt;0,(E72*D73),0),0)</f>
        <v>0</v>
      </c>
    </row>
    <row r="74" spans="2:5" ht="15.75">
      <c r="B74" s="66"/>
      <c r="C74" s="663" t="str">
        <f>CONCATENATE("Amount of  ",$E$1-1," Ad Valorem Tax")</f>
        <v>Amount of  2011 Ad Valorem Tax</v>
      </c>
      <c r="D74" s="664"/>
      <c r="E74" s="186">
        <f>E72+E73</f>
        <v>0</v>
      </c>
    </row>
    <row r="75" spans="2:5" ht="15.75">
      <c r="B75" s="216" t="s">
        <v>760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Kechi Township</v>
      </c>
      <c r="C1" s="66"/>
      <c r="D1" s="66"/>
      <c r="E1" s="231">
        <f>inputPrYr!D9</f>
        <v>2012</v>
      </c>
    </row>
    <row r="2" spans="2:5" ht="15.75">
      <c r="B2" s="66"/>
      <c r="C2" s="66"/>
      <c r="D2" s="66"/>
      <c r="E2" s="216"/>
    </row>
    <row r="3" spans="2:5" ht="15.75">
      <c r="B3" s="163" t="s">
        <v>575</v>
      </c>
      <c r="C3" s="72"/>
      <c r="D3" s="72"/>
      <c r="E3" s="72"/>
    </row>
    <row r="4" spans="2:5" ht="15.75">
      <c r="B4" s="74" t="s">
        <v>761</v>
      </c>
      <c r="C4" s="209" t="s">
        <v>762</v>
      </c>
      <c r="D4" s="76" t="s">
        <v>763</v>
      </c>
      <c r="E4" s="76" t="s">
        <v>764</v>
      </c>
    </row>
    <row r="5" spans="2:5" ht="15.75">
      <c r="B5" s="182">
        <f>inputPrYr!B36</f>
        <v>0</v>
      </c>
      <c r="C5" s="81" t="str">
        <f>gen!C5</f>
        <v>Actual 2010</v>
      </c>
      <c r="D5" s="81" t="str">
        <f>gen!D5</f>
        <v>Estimate 2011</v>
      </c>
      <c r="E5" s="81" t="str">
        <f>gen!E5</f>
        <v>Year 2012</v>
      </c>
    </row>
    <row r="6" spans="2:5" ht="15.75">
      <c r="B6" s="359" t="s">
        <v>576</v>
      </c>
      <c r="C6" s="175"/>
      <c r="D6" s="267">
        <f>C29</f>
        <v>0</v>
      </c>
      <c r="E6" s="267">
        <f>D29</f>
        <v>0</v>
      </c>
    </row>
    <row r="7" spans="2:5" s="160" customFormat="1" ht="15.75">
      <c r="B7" s="360" t="s">
        <v>555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773</v>
      </c>
      <c r="C12" s="175"/>
      <c r="D12" s="175"/>
      <c r="E12" s="175"/>
    </row>
    <row r="13" spans="2:5" ht="15.75">
      <c r="B13" s="332" t="s">
        <v>719</v>
      </c>
      <c r="C13" s="175"/>
      <c r="D13" s="327"/>
      <c r="E13" s="327"/>
    </row>
    <row r="14" spans="2:5" ht="15.75">
      <c r="B14" s="332" t="s">
        <v>720</v>
      </c>
      <c r="C14" s="336">
        <f>IF(C15*0.1&lt;C13,"Exceed 10% Rule","")</f>
      </c>
      <c r="D14" s="333">
        <f>IF(D15*0.1&lt;D13,"Exceed 10% Rule","")</f>
      </c>
      <c r="E14" s="333">
        <f>IF(E15*0.1&lt;E13,"Exceed 10% Rule","")</f>
      </c>
    </row>
    <row r="15" spans="2:5" ht="15.75">
      <c r="B15" s="100" t="s">
        <v>774</v>
      </c>
      <c r="C15" s="335">
        <f>SUM(C8:C13)</f>
        <v>0</v>
      </c>
      <c r="D15" s="335">
        <f>SUM(D8:D13)</f>
        <v>0</v>
      </c>
      <c r="E15" s="335">
        <f>SUM(E8:E13)</f>
        <v>0</v>
      </c>
    </row>
    <row r="16" spans="2:5" ht="15.75">
      <c r="B16" s="100" t="s">
        <v>775</v>
      </c>
      <c r="C16" s="335">
        <f>C6+C15</f>
        <v>0</v>
      </c>
      <c r="D16" s="335">
        <f>D6+D15</f>
        <v>0</v>
      </c>
      <c r="E16" s="335">
        <f>E6+E15</f>
        <v>0</v>
      </c>
    </row>
    <row r="17" spans="2:5" ht="15.75">
      <c r="B17" s="82" t="s">
        <v>776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719</v>
      </c>
      <c r="C26" s="175"/>
      <c r="D26" s="327"/>
      <c r="E26" s="327"/>
    </row>
    <row r="27" spans="2:5" ht="15.75">
      <c r="B27" s="329" t="s">
        <v>436</v>
      </c>
      <c r="C27" s="336">
        <f>IF(C28*0.1&lt;C26,"Exceed 10% Rule","")</f>
      </c>
      <c r="D27" s="333">
        <f>IF(D28*0.1&lt;D26,"Exceed 10% Rule","")</f>
      </c>
      <c r="E27" s="333">
        <f>IF(E28*0.1&lt;E26,"Exceed 10% Rule","")</f>
      </c>
    </row>
    <row r="28" spans="2:5" ht="15.75">
      <c r="B28" s="100" t="s">
        <v>777</v>
      </c>
      <c r="C28" s="335">
        <f>SUM(C18:C26)</f>
        <v>0</v>
      </c>
      <c r="D28" s="335">
        <f>SUM(D18:D26)</f>
        <v>0</v>
      </c>
      <c r="E28" s="335">
        <f>SUM(E18:E26)</f>
        <v>0</v>
      </c>
    </row>
    <row r="29" spans="2:5" ht="15.75">
      <c r="B29" s="82" t="s">
        <v>554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761</v>
      </c>
      <c r="C34" s="72"/>
      <c r="D34" s="72"/>
      <c r="E34" s="72"/>
    </row>
    <row r="35" spans="2:5" ht="15.75">
      <c r="B35" s="66"/>
      <c r="C35" s="209" t="s">
        <v>762</v>
      </c>
      <c r="D35" s="76" t="s">
        <v>763</v>
      </c>
      <c r="E35" s="76" t="s">
        <v>764</v>
      </c>
    </row>
    <row r="36" spans="2:5" ht="15.75">
      <c r="B36" s="246">
        <f>inputPrYr!B37</f>
        <v>0</v>
      </c>
      <c r="C36" s="81" t="str">
        <f>C5</f>
        <v>Actual 2010</v>
      </c>
      <c r="D36" s="81" t="str">
        <f>D5</f>
        <v>Estimate 2011</v>
      </c>
      <c r="E36" s="81" t="str">
        <f>E5</f>
        <v>Year 2012</v>
      </c>
    </row>
    <row r="37" spans="2:5" ht="15.75">
      <c r="B37" s="359" t="s">
        <v>576</v>
      </c>
      <c r="C37" s="175"/>
      <c r="D37" s="267">
        <f>C60</f>
        <v>0</v>
      </c>
      <c r="E37" s="267">
        <f>D60</f>
        <v>0</v>
      </c>
    </row>
    <row r="38" spans="2:5" s="160" customFormat="1" ht="15.75">
      <c r="B38" s="359" t="s">
        <v>555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773</v>
      </c>
      <c r="C43" s="175"/>
      <c r="D43" s="175"/>
      <c r="E43" s="175"/>
    </row>
    <row r="44" spans="2:5" ht="15.75">
      <c r="B44" s="332" t="s">
        <v>719</v>
      </c>
      <c r="C44" s="175"/>
      <c r="D44" s="327"/>
      <c r="E44" s="327"/>
    </row>
    <row r="45" spans="2:5" ht="15.75">
      <c r="B45" s="332" t="s">
        <v>720</v>
      </c>
      <c r="C45" s="336">
        <f>IF(C46*0.1&lt;C44,"Exceed 10% Rule","")</f>
      </c>
      <c r="D45" s="333">
        <f>IF(D46*0.1&lt;D44,"Exceed 10% Rule","")</f>
      </c>
      <c r="E45" s="333">
        <f>IF(E46*0.1&lt;E44,"Exceed 10% Rule","")</f>
      </c>
    </row>
    <row r="46" spans="2:5" ht="15.75">
      <c r="B46" s="100" t="s">
        <v>774</v>
      </c>
      <c r="C46" s="335">
        <f>SUM(C39:C44)</f>
        <v>0</v>
      </c>
      <c r="D46" s="335">
        <f>SUM(D39:D44)</f>
        <v>0</v>
      </c>
      <c r="E46" s="335">
        <f>SUM(E39:E44)</f>
        <v>0</v>
      </c>
    </row>
    <row r="47" spans="2:5" ht="15.75">
      <c r="B47" s="100" t="s">
        <v>775</v>
      </c>
      <c r="C47" s="335">
        <f>C37+C46</f>
        <v>0</v>
      </c>
      <c r="D47" s="335">
        <f>D37+D46</f>
        <v>0</v>
      </c>
      <c r="E47" s="335">
        <f>E37+E46</f>
        <v>0</v>
      </c>
    </row>
    <row r="48" spans="2:5" ht="15.75">
      <c r="B48" s="82" t="s">
        <v>776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719</v>
      </c>
      <c r="C57" s="175"/>
      <c r="D57" s="327"/>
      <c r="E57" s="327"/>
    </row>
    <row r="58" spans="2:5" ht="15.75">
      <c r="B58" s="329" t="s">
        <v>436</v>
      </c>
      <c r="C58" s="336">
        <f>IF(C59*0.1&lt;C57,"Exceed 10% Rule","")</f>
      </c>
      <c r="D58" s="333">
        <f>IF(D59*0.1&lt;D57,"Exceed 10% Rule","")</f>
      </c>
      <c r="E58" s="333">
        <f>IF(E59*0.1&lt;E57,"Exceed 10% Rule","")</f>
      </c>
    </row>
    <row r="59" spans="2:5" ht="15.75">
      <c r="B59" s="100" t="s">
        <v>777</v>
      </c>
      <c r="C59" s="335">
        <f>SUM(C49:C57)</f>
        <v>0</v>
      </c>
      <c r="D59" s="335">
        <f>SUM(D49:D57)</f>
        <v>0</v>
      </c>
      <c r="E59" s="335">
        <f>SUM(E49:E57)</f>
        <v>0</v>
      </c>
    </row>
    <row r="60" spans="2:5" ht="15.75">
      <c r="B60" s="82" t="s">
        <v>554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437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Kechi Township</v>
      </c>
      <c r="B1" s="123"/>
      <c r="C1" s="116"/>
      <c r="D1" s="116"/>
      <c r="E1" s="116"/>
      <c r="F1" s="124" t="s">
        <v>825</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826</v>
      </c>
      <c r="B3" s="116"/>
      <c r="C3" s="116"/>
      <c r="D3" s="116"/>
      <c r="E3" s="116"/>
      <c r="F3" s="123"/>
      <c r="G3" s="116"/>
      <c r="H3" s="116"/>
      <c r="I3" s="116"/>
      <c r="J3" s="116"/>
      <c r="K3" s="116"/>
    </row>
    <row r="4" spans="1:11" ht="15.75">
      <c r="A4" s="116" t="s">
        <v>827</v>
      </c>
      <c r="B4" s="116"/>
      <c r="C4" s="116" t="s">
        <v>828</v>
      </c>
      <c r="D4" s="116"/>
      <c r="E4" s="116" t="s">
        <v>829</v>
      </c>
      <c r="F4" s="123"/>
      <c r="G4" s="116" t="s">
        <v>830</v>
      </c>
      <c r="H4" s="116"/>
      <c r="I4" s="116" t="s">
        <v>831</v>
      </c>
      <c r="J4" s="116"/>
      <c r="K4" s="116"/>
    </row>
    <row r="5" spans="1:11" ht="15.75">
      <c r="A5" s="687">
        <f>inputPrYr!B40</f>
        <v>0</v>
      </c>
      <c r="B5" s="686"/>
      <c r="C5" s="687">
        <f>inputPrYr!B41</f>
        <v>0</v>
      </c>
      <c r="D5" s="686"/>
      <c r="E5" s="687">
        <f>inputPrYr!B42</f>
        <v>0</v>
      </c>
      <c r="F5" s="686"/>
      <c r="G5" s="685">
        <f>inputPrYr!B43</f>
        <v>0</v>
      </c>
      <c r="H5" s="686"/>
      <c r="I5" s="685">
        <f>inputPrYr!B44</f>
        <v>0</v>
      </c>
      <c r="J5" s="686"/>
      <c r="K5" s="128"/>
    </row>
    <row r="6" spans="1:11" ht="15.75">
      <c r="A6" s="129" t="s">
        <v>832</v>
      </c>
      <c r="B6" s="130"/>
      <c r="C6" s="131" t="s">
        <v>832</v>
      </c>
      <c r="D6" s="132"/>
      <c r="E6" s="131" t="s">
        <v>832</v>
      </c>
      <c r="F6" s="133"/>
      <c r="G6" s="131" t="s">
        <v>832</v>
      </c>
      <c r="H6" s="127"/>
      <c r="I6" s="131" t="s">
        <v>832</v>
      </c>
      <c r="J6" s="116"/>
      <c r="K6" s="134" t="s">
        <v>732</v>
      </c>
    </row>
    <row r="7" spans="1:11" ht="15.75">
      <c r="A7" s="135" t="s">
        <v>833</v>
      </c>
      <c r="B7" s="136"/>
      <c r="C7" s="137" t="s">
        <v>833</v>
      </c>
      <c r="D7" s="136"/>
      <c r="E7" s="137" t="s">
        <v>833</v>
      </c>
      <c r="F7" s="136"/>
      <c r="G7" s="137" t="s">
        <v>833</v>
      </c>
      <c r="H7" s="136"/>
      <c r="I7" s="137" t="s">
        <v>833</v>
      </c>
      <c r="J7" s="136"/>
      <c r="K7" s="138">
        <f>SUM(B7+D7+F7+H7+J7)</f>
        <v>0</v>
      </c>
    </row>
    <row r="8" spans="1:11" ht="15.75">
      <c r="A8" s="139" t="s">
        <v>555</v>
      </c>
      <c r="B8" s="140"/>
      <c r="C8" s="139" t="s">
        <v>555</v>
      </c>
      <c r="D8" s="141"/>
      <c r="E8" s="139" t="s">
        <v>555</v>
      </c>
      <c r="F8" s="123"/>
      <c r="G8" s="139" t="s">
        <v>555</v>
      </c>
      <c r="H8" s="116"/>
      <c r="I8" s="139" t="s">
        <v>555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774</v>
      </c>
      <c r="B17" s="138">
        <f>SUM(B9:B16)</f>
        <v>0</v>
      </c>
      <c r="C17" s="139" t="s">
        <v>774</v>
      </c>
      <c r="D17" s="138">
        <f>SUM(D9:D16)</f>
        <v>0</v>
      </c>
      <c r="E17" s="139" t="s">
        <v>774</v>
      </c>
      <c r="F17" s="152">
        <f>SUM(F9:F16)</f>
        <v>0</v>
      </c>
      <c r="G17" s="139" t="s">
        <v>774</v>
      </c>
      <c r="H17" s="138">
        <f>SUM(H9:H16)</f>
        <v>0</v>
      </c>
      <c r="I17" s="139" t="s">
        <v>774</v>
      </c>
      <c r="J17" s="138">
        <f>SUM(J9:J16)</f>
        <v>0</v>
      </c>
      <c r="K17" s="138">
        <f>SUM(B17+D17+F17+H17+J17)</f>
        <v>0</v>
      </c>
    </row>
    <row r="18" spans="1:11" ht="15.75">
      <c r="A18" s="139" t="s">
        <v>775</v>
      </c>
      <c r="B18" s="138">
        <f>SUM(B7+B17)</f>
        <v>0</v>
      </c>
      <c r="C18" s="139" t="s">
        <v>775</v>
      </c>
      <c r="D18" s="138">
        <f>SUM(D7+D17)</f>
        <v>0</v>
      </c>
      <c r="E18" s="139" t="s">
        <v>775</v>
      </c>
      <c r="F18" s="138">
        <f>SUM(F7+F17)</f>
        <v>0</v>
      </c>
      <c r="G18" s="139" t="s">
        <v>775</v>
      </c>
      <c r="H18" s="138">
        <f>SUM(H7+H17)</f>
        <v>0</v>
      </c>
      <c r="I18" s="139" t="s">
        <v>775</v>
      </c>
      <c r="J18" s="138">
        <f>SUM(J7+J17)</f>
        <v>0</v>
      </c>
      <c r="K18" s="138">
        <f>SUM(B18+D18+F18+H18+J18)</f>
        <v>0</v>
      </c>
    </row>
    <row r="19" spans="1:11" ht="15.75">
      <c r="A19" s="139" t="s">
        <v>776</v>
      </c>
      <c r="B19" s="140"/>
      <c r="C19" s="139" t="s">
        <v>776</v>
      </c>
      <c r="D19" s="141"/>
      <c r="E19" s="139" t="s">
        <v>776</v>
      </c>
      <c r="F19" s="123"/>
      <c r="G19" s="139" t="s">
        <v>776</v>
      </c>
      <c r="H19" s="116"/>
      <c r="I19" s="139" t="s">
        <v>776</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777</v>
      </c>
      <c r="B28" s="138">
        <f>SUM(B20:B27)</f>
        <v>0</v>
      </c>
      <c r="C28" s="139" t="s">
        <v>777</v>
      </c>
      <c r="D28" s="138">
        <f>SUM(D20:D27)</f>
        <v>0</v>
      </c>
      <c r="E28" s="139" t="s">
        <v>777</v>
      </c>
      <c r="F28" s="152">
        <f>SUM(F20:F27)</f>
        <v>0</v>
      </c>
      <c r="G28" s="139" t="s">
        <v>777</v>
      </c>
      <c r="H28" s="152">
        <f>SUM(H20:H27)</f>
        <v>0</v>
      </c>
      <c r="I28" s="139" t="s">
        <v>777</v>
      </c>
      <c r="J28" s="138">
        <f>SUM(J20:J27)</f>
        <v>0</v>
      </c>
      <c r="K28" s="138">
        <f>SUM(B28+D28+F28+H28+J28)</f>
        <v>0</v>
      </c>
    </row>
    <row r="29" spans="1:12" ht="15.75">
      <c r="A29" s="139" t="s">
        <v>834</v>
      </c>
      <c r="B29" s="138">
        <f>SUM(B18-B28)</f>
        <v>0</v>
      </c>
      <c r="C29" s="139" t="s">
        <v>834</v>
      </c>
      <c r="D29" s="138">
        <f>SUM(D18-D28)</f>
        <v>0</v>
      </c>
      <c r="E29" s="139" t="s">
        <v>834</v>
      </c>
      <c r="F29" s="138">
        <f>SUM(F18-F28)</f>
        <v>0</v>
      </c>
      <c r="G29" s="139" t="s">
        <v>834</v>
      </c>
      <c r="H29" s="138">
        <f>SUM(H18-H28)</f>
        <v>0</v>
      </c>
      <c r="I29" s="139" t="s">
        <v>834</v>
      </c>
      <c r="J29" s="138">
        <f>SUM(J18-J28)</f>
        <v>0</v>
      </c>
      <c r="K29" s="153">
        <f>SUM(B29+D29+F29+H29+J29)</f>
        <v>0</v>
      </c>
      <c r="L29" s="117" t="s">
        <v>835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835</v>
      </c>
    </row>
    <row r="31" spans="1:11" ht="15.75">
      <c r="A31" s="116"/>
      <c r="B31" s="154"/>
      <c r="C31" s="116"/>
      <c r="D31" s="123"/>
      <c r="E31" s="116"/>
      <c r="F31" s="116"/>
      <c r="G31" s="155" t="s">
        <v>836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760</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844</v>
      </c>
    </row>
    <row r="2" ht="53.25" customHeight="1">
      <c r="A2" s="223" t="s">
        <v>845</v>
      </c>
    </row>
    <row r="3" ht="15.75">
      <c r="A3" s="382"/>
    </row>
    <row r="4" ht="58.5" customHeight="1">
      <c r="A4" s="223" t="s">
        <v>846</v>
      </c>
    </row>
    <row r="5" ht="15.75">
      <c r="A5" s="117"/>
    </row>
    <row r="6" ht="55.5" customHeight="1">
      <c r="A6" s="223" t="s">
        <v>847</v>
      </c>
    </row>
    <row r="7" ht="15.75">
      <c r="A7" s="382"/>
    </row>
    <row r="8" ht="42.75" customHeight="1">
      <c r="A8" s="223" t="s">
        <v>848</v>
      </c>
    </row>
    <row r="9" ht="15.75">
      <c r="A9" s="117"/>
    </row>
    <row r="10" ht="31.5">
      <c r="A10" s="223" t="s">
        <v>849</v>
      </c>
    </row>
    <row r="11" ht="15.75">
      <c r="A11" s="382"/>
    </row>
    <row r="12" ht="69.75" customHeight="1">
      <c r="A12" s="223" t="s">
        <v>850</v>
      </c>
    </row>
    <row r="13" ht="15.75">
      <c r="A13" s="382"/>
    </row>
    <row r="14" ht="40.5" customHeight="1">
      <c r="A14" s="223" t="s">
        <v>851</v>
      </c>
    </row>
    <row r="15" ht="15.75">
      <c r="A15" s="117"/>
    </row>
    <row r="16" ht="56.25" customHeight="1">
      <c r="A16" s="223" t="s">
        <v>39</v>
      </c>
    </row>
    <row r="17" ht="15.75">
      <c r="A17" s="382"/>
    </row>
    <row r="18" ht="54.75" customHeight="1">
      <c r="A18" s="223" t="s">
        <v>40</v>
      </c>
    </row>
    <row r="19" ht="15.75">
      <c r="A19" s="382"/>
    </row>
    <row r="20" ht="55.5" customHeight="1">
      <c r="A20" s="223" t="s">
        <v>41</v>
      </c>
    </row>
    <row r="21" ht="15.75">
      <c r="A21" s="382"/>
    </row>
    <row r="22" ht="76.5" customHeight="1">
      <c r="A22" s="223" t="s">
        <v>42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Kechi Township</v>
      </c>
      <c r="B1" s="66"/>
      <c r="C1" s="66"/>
      <c r="D1" s="66"/>
      <c r="E1" s="66"/>
      <c r="F1" s="66">
        <f>inputPrYr!D9</f>
        <v>2012</v>
      </c>
    </row>
    <row r="2" spans="1:6" ht="15.75">
      <c r="A2" s="66"/>
      <c r="B2" s="66"/>
      <c r="C2" s="66"/>
      <c r="D2" s="66"/>
      <c r="E2" s="66"/>
      <c r="F2" s="66"/>
    </row>
    <row r="3" spans="1:6" ht="15.75">
      <c r="A3" s="66"/>
      <c r="B3" s="629" t="str">
        <f>CONCATENATE("",F1," Neighborhood Revitalization Rebate")</f>
        <v>2012 Neighborhood Revitalization Rebate</v>
      </c>
      <c r="C3" s="634"/>
      <c r="D3" s="634"/>
      <c r="E3" s="634"/>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718</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21058105</v>
      </c>
      <c r="E20" s="66"/>
      <c r="F20" s="196"/>
    </row>
    <row r="21" spans="1:6" ht="15.75">
      <c r="A21" s="66"/>
      <c r="B21" s="66"/>
      <c r="C21" s="66"/>
      <c r="D21" s="66"/>
      <c r="E21" s="66"/>
      <c r="F21" s="196"/>
    </row>
    <row r="22" spans="1:6" ht="15.75">
      <c r="A22" s="66"/>
      <c r="B22" s="690" t="s">
        <v>53</v>
      </c>
      <c r="C22" s="690"/>
      <c r="D22" s="372">
        <f>IF(D20&gt;0,(D20*0.001),"")</f>
        <v>21058.105</v>
      </c>
      <c r="E22" s="66"/>
      <c r="F22" s="196"/>
    </row>
    <row r="23" spans="1:6" ht="15.75">
      <c r="A23" s="66"/>
      <c r="B23" s="121"/>
      <c r="C23" s="121"/>
      <c r="D23" s="373"/>
      <c r="E23" s="66"/>
      <c r="F23" s="196"/>
    </row>
    <row r="24" spans="1:6" ht="15.75">
      <c r="A24" s="688" t="s">
        <v>54</v>
      </c>
      <c r="B24" s="647"/>
      <c r="C24" s="647"/>
      <c r="D24" s="374">
        <f>inputOth!E33</f>
        <v>0</v>
      </c>
      <c r="E24" s="183"/>
      <c r="F24" s="183"/>
    </row>
    <row r="25" spans="1:6" ht="15.75">
      <c r="A25" s="183"/>
      <c r="B25" s="183"/>
      <c r="C25" s="183"/>
      <c r="D25" s="375"/>
      <c r="E25" s="183"/>
      <c r="F25" s="183"/>
    </row>
    <row r="26" spans="1:6" ht="15.75">
      <c r="A26" s="183"/>
      <c r="B26" s="688" t="s">
        <v>55</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324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760</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5" t="s">
        <v>561</v>
      </c>
      <c r="B1" s="695"/>
      <c r="C1" s="695"/>
      <c r="D1" s="695"/>
      <c r="E1" s="695"/>
      <c r="F1" s="695"/>
      <c r="G1" s="695"/>
    </row>
    <row r="2" ht="15.75">
      <c r="A2" s="21"/>
    </row>
    <row r="3" spans="1:7" ht="15.75">
      <c r="A3" s="696" t="s">
        <v>562</v>
      </c>
      <c r="B3" s="696"/>
      <c r="C3" s="696"/>
      <c r="D3" s="696"/>
      <c r="E3" s="696"/>
      <c r="F3" s="696"/>
      <c r="G3" s="696"/>
    </row>
    <row r="4" ht="15.75">
      <c r="A4" s="22"/>
    </row>
    <row r="5" ht="15.75">
      <c r="A5" s="22"/>
    </row>
    <row r="6" spans="1:9" ht="15.75">
      <c r="A6" s="28" t="str">
        <f>CONCATENATE("A resolution expressing the property taxation policy of the Board of ",(inputPrYr!D3)," ")</f>
        <v>A resolution expressing the property taxation policy of the Board of Kechi Township </v>
      </c>
      <c r="I6">
        <f>CONCATENATE(I7)</f>
      </c>
    </row>
    <row r="7" spans="1:7" ht="15.75">
      <c r="A7" s="697" t="str">
        <f>CONCATENATE("   with respect to financing the ",inputPrYr!D9," annual budget for ",(inputPrYr!D3)," , ",(inputPrYr!D4)," , Kansas.")</f>
        <v>   with respect to financing the 2012 annual budget for Kechi Township , Sedgwick County , Kansas.</v>
      </c>
      <c r="B7" s="617"/>
      <c r="C7" s="617"/>
      <c r="D7" s="617"/>
      <c r="E7" s="617"/>
      <c r="F7" s="617"/>
      <c r="G7" s="617"/>
    </row>
    <row r="8" spans="1:7" ht="15.75">
      <c r="A8" s="617"/>
      <c r="B8" s="617"/>
      <c r="C8" s="617"/>
      <c r="D8" s="617"/>
      <c r="E8" s="617"/>
      <c r="F8" s="617"/>
      <c r="G8" s="617"/>
    </row>
    <row r="9" ht="15.75">
      <c r="A9" s="21"/>
    </row>
    <row r="10" ht="15.75">
      <c r="A10" s="29" t="s">
        <v>563</v>
      </c>
    </row>
    <row r="11" ht="15.75">
      <c r="A11" s="27" t="str">
        <f>CONCATENATE("to finance the ",inputPrYr!D9," ",(inputPrYr!D3)," budget exceed the amount levied to finance the ",inputPrYr!D9-1,"")</f>
        <v>to finance the 2012 Kechi Township budget exceed the amount levied to finance the 2011</v>
      </c>
    </row>
    <row r="12" spans="1:7" ht="15.75">
      <c r="A12" s="691" t="str">
        <f>CONCATENATE((inputPrYr!D3)," Township budget, except with regard to revenue produced and attributable to the taxation of 1) new improvements to real property; 2) increased personal property valuation, other than increased")</f>
        <v>Kechi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1" t="s">
        <v>568</v>
      </c>
      <c r="B14" s="617"/>
      <c r="C14" s="617"/>
      <c r="D14" s="617"/>
      <c r="E14" s="617"/>
      <c r="F14" s="617"/>
      <c r="G14" s="617"/>
    </row>
    <row r="15" spans="1:7" ht="15.75">
      <c r="A15" s="617"/>
      <c r="B15" s="617"/>
      <c r="C15" s="617"/>
      <c r="D15" s="617"/>
      <c r="E15" s="617"/>
      <c r="F15" s="617"/>
      <c r="G15" s="617"/>
    </row>
    <row r="16" spans="1:7" ht="15.75">
      <c r="A16" s="692"/>
      <c r="B16" s="692"/>
      <c r="C16" s="692"/>
      <c r="D16" s="692"/>
      <c r="E16" s="692"/>
      <c r="F16" s="692"/>
      <c r="G16" s="692"/>
    </row>
    <row r="17" ht="15.75">
      <c r="A17" s="22"/>
    </row>
    <row r="18" spans="1:7" ht="15.75">
      <c r="A18" s="698" t="s">
        <v>564</v>
      </c>
      <c r="B18" s="617"/>
      <c r="C18" s="617"/>
      <c r="D18" s="617"/>
      <c r="E18" s="617"/>
      <c r="F18" s="617"/>
      <c r="G18" s="617"/>
    </row>
    <row r="19" spans="1:7" ht="15.75">
      <c r="A19" s="617"/>
      <c r="B19" s="617"/>
      <c r="C19" s="617"/>
      <c r="D19" s="617"/>
      <c r="E19" s="617"/>
      <c r="F19" s="617"/>
      <c r="G19" s="617"/>
    </row>
    <row r="20" ht="15.75">
      <c r="A20" s="22"/>
    </row>
    <row r="21" spans="1:7" ht="15.75">
      <c r="A21" s="698" t="str">
        <f>CONCATENATE("Whereas, ",(inputPrYr!D3)," provides essential services to protect the safety and well being of the citizens of the township; and")</f>
        <v>Whereas, Kechi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565</v>
      </c>
    </row>
    <row r="25" ht="15.75">
      <c r="A25" s="24"/>
    </row>
    <row r="26" spans="1:7" ht="15.75">
      <c r="A26" s="698" t="str">
        <f>CONCATENATE("NOW, THEREFORE, BE IT RESOLVED by the Board of ",(inputPrYr!D3)," of ",(inputPrYr!D4),", Kansas that is our desire to notify the public of increased property taxes to finance the ",inputPrYr!D9," ",(inputPrYr!D3),"  budget as defined above.")</f>
        <v>NOW, THEREFORE, BE IT RESOLVED by the Board of Kechi Township of Sedgwick County, Kansas that is our desire to notify the public of increased property taxes to finance the 2012 Kechi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4" t="str">
        <f>CONCATENATE("Adopted this _________ day of ___________, ",inputPrYr!D9-1," by the ",(inputPrYr!D3)," Board, ",(inputPrYr!D4),", Kansas.")</f>
        <v>Adopted this _________ day of ___________, 2011 by the Kechi Township Board, Sedgwick County, Kansas.</v>
      </c>
      <c r="B30" s="617"/>
      <c r="C30" s="617"/>
      <c r="D30" s="617"/>
      <c r="E30" s="617"/>
      <c r="F30" s="617"/>
      <c r="G30" s="617"/>
    </row>
    <row r="31" spans="1:7" ht="15.75">
      <c r="A31" s="617"/>
      <c r="B31" s="617"/>
      <c r="C31" s="617"/>
      <c r="D31" s="617"/>
      <c r="E31" s="617"/>
      <c r="F31" s="617"/>
      <c r="G31" s="617"/>
    </row>
    <row r="32" ht="15.75">
      <c r="A32" s="24"/>
    </row>
    <row r="33" spans="4:7" ht="15.75">
      <c r="D33" s="699" t="str">
        <f>CONCATENATE((inputPrYr!D3)," Board")</f>
        <v>Kechi Township Board</v>
      </c>
      <c r="E33" s="699"/>
      <c r="F33" s="699"/>
      <c r="G33" s="699"/>
    </row>
    <row r="35" spans="4:7" ht="15.75">
      <c r="D35" s="693" t="s">
        <v>566</v>
      </c>
      <c r="E35" s="693"/>
      <c r="F35" s="693"/>
      <c r="G35" s="693"/>
    </row>
    <row r="36" spans="1:7" ht="15.75">
      <c r="A36" s="25"/>
      <c r="D36" s="693" t="s">
        <v>570</v>
      </c>
      <c r="E36" s="693"/>
      <c r="F36" s="693"/>
      <c r="G36" s="693"/>
    </row>
    <row r="37" spans="4:7" ht="15.75">
      <c r="D37" s="693"/>
      <c r="E37" s="693"/>
      <c r="F37" s="693"/>
      <c r="G37" s="693"/>
    </row>
    <row r="38" spans="4:7" ht="15.75">
      <c r="D38" s="693" t="s">
        <v>566</v>
      </c>
      <c r="E38" s="693"/>
      <c r="F38" s="693"/>
      <c r="G38" s="693"/>
    </row>
    <row r="39" spans="1:7" ht="15.75">
      <c r="A39" s="24"/>
      <c r="D39" s="693" t="s">
        <v>571</v>
      </c>
      <c r="E39" s="693"/>
      <c r="F39" s="693"/>
      <c r="G39" s="693"/>
    </row>
    <row r="40" spans="4:7" ht="15.75">
      <c r="D40" s="693"/>
      <c r="E40" s="693"/>
      <c r="F40" s="693"/>
      <c r="G40" s="693"/>
    </row>
    <row r="41" spans="4:7" ht="15.75">
      <c r="D41" s="693" t="s">
        <v>569</v>
      </c>
      <c r="E41" s="693"/>
      <c r="F41" s="693"/>
      <c r="G41" s="693"/>
    </row>
    <row r="42" spans="1:7" ht="15.75">
      <c r="A42" s="24"/>
      <c r="D42" s="693" t="s">
        <v>572</v>
      </c>
      <c r="E42" s="693"/>
      <c r="F42" s="693"/>
      <c r="G42" s="693"/>
    </row>
    <row r="43" ht="15.75">
      <c r="A43" s="26"/>
    </row>
    <row r="44" ht="15.75">
      <c r="A44" s="26"/>
    </row>
    <row r="45" ht="15.75">
      <c r="A45" s="26" t="s">
        <v>567</v>
      </c>
    </row>
    <row r="50" spans="3:4" ht="15.75">
      <c r="C50" s="32" t="s">
        <v>760</v>
      </c>
      <c r="D50" s="64"/>
    </row>
  </sheetData>
  <sheetProtection sheet="1" objects="1" scenarios="1"/>
  <mergeCells count="18">
    <mergeCell ref="D33:G33"/>
    <mergeCell ref="A12:G13"/>
    <mergeCell ref="A1:G1"/>
    <mergeCell ref="A3:G3"/>
    <mergeCell ref="A7:G8"/>
    <mergeCell ref="A18:G19"/>
    <mergeCell ref="A21:G22"/>
    <mergeCell ref="A26:G28"/>
    <mergeCell ref="A14:G16"/>
    <mergeCell ref="D42:G42"/>
    <mergeCell ref="D37:G37"/>
    <mergeCell ref="D38:G38"/>
    <mergeCell ref="D40:G40"/>
    <mergeCell ref="D41:G41"/>
    <mergeCell ref="D36:G36"/>
    <mergeCell ref="D39:G39"/>
    <mergeCell ref="D35:G35"/>
    <mergeCell ref="A30:G31"/>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466</v>
      </c>
      <c r="B3" s="398"/>
      <c r="C3" s="398"/>
      <c r="D3" s="398"/>
      <c r="E3" s="398"/>
      <c r="F3" s="398"/>
      <c r="G3" s="398"/>
      <c r="H3" s="398"/>
      <c r="I3" s="398"/>
      <c r="J3" s="398"/>
      <c r="K3" s="398"/>
      <c r="L3" s="398"/>
    </row>
    <row r="5" ht="15.75">
      <c r="A5" s="399" t="s">
        <v>467</v>
      </c>
    </row>
    <row r="6" ht="15.75">
      <c r="A6" s="399" t="str">
        <f>CONCATENATE(inputPrYr!D9-2," 'total expenditures' exceed your ",inputPrYr!D9-2," 'budget authority.'")</f>
        <v>2010 'total expenditures' exceed your 2010 'budget authority.'</v>
      </c>
    </row>
    <row r="7" ht="15.75">
      <c r="A7" s="399"/>
    </row>
    <row r="8" ht="15.75">
      <c r="A8" s="399" t="s">
        <v>468</v>
      </c>
    </row>
    <row r="9" ht="15.75">
      <c r="A9" s="399" t="s">
        <v>469</v>
      </c>
    </row>
    <row r="10" ht="15.75">
      <c r="A10" s="399" t="s">
        <v>470</v>
      </c>
    </row>
    <row r="11" ht="15.75">
      <c r="A11" s="399"/>
    </row>
    <row r="12" ht="15.75">
      <c r="A12" s="399"/>
    </row>
    <row r="13" ht="15.75">
      <c r="A13" s="400" t="s">
        <v>471</v>
      </c>
    </row>
    <row r="15" ht="15.75">
      <c r="A15" s="399" t="s">
        <v>472</v>
      </c>
    </row>
    <row r="16" ht="15.75">
      <c r="A16" s="399" t="str">
        <f>CONCATENATE("(i.e. an audit has not been completed, or the ",inputPrYr!D9," adopted")</f>
        <v>(i.e. an audit has not been completed, or the 2012 adopted</v>
      </c>
    </row>
    <row r="17" ht="15.75">
      <c r="A17" s="399" t="s">
        <v>120</v>
      </c>
    </row>
    <row r="18" ht="15.75">
      <c r="A18" s="399" t="s">
        <v>121</v>
      </c>
    </row>
    <row r="19" ht="15.75">
      <c r="A19" s="399" t="s">
        <v>122</v>
      </c>
    </row>
    <row r="21" ht="15.75">
      <c r="A21" s="400" t="s">
        <v>123</v>
      </c>
    </row>
    <row r="22" ht="15.75">
      <c r="A22" s="400"/>
    </row>
    <row r="23" ht="15.75">
      <c r="A23" s="399" t="s">
        <v>124</v>
      </c>
    </row>
    <row r="24" ht="15.75">
      <c r="A24" s="399" t="s">
        <v>125</v>
      </c>
    </row>
    <row r="25" ht="15.75">
      <c r="A25" s="399" t="str">
        <f>CONCATENATE("particular fund.  If your ",inputPrYr!D9-2," budget was amended, did you")</f>
        <v>particular fund.  If your 2010 budget was amended, did you</v>
      </c>
    </row>
    <row r="26" ht="15.75">
      <c r="A26" s="399" t="s">
        <v>126</v>
      </c>
    </row>
    <row r="27" ht="15.75">
      <c r="A27" s="399"/>
    </row>
    <row r="28" ht="15.75">
      <c r="A28" s="399" t="str">
        <f>CONCATENATE("Next, look to see if any of your ",inputPrYr!D9-2," expenditures can be")</f>
        <v>Next, look to see if any of your 2010 expenditures can be</v>
      </c>
    </row>
    <row r="29" ht="15.75">
      <c r="A29" s="399" t="s">
        <v>127</v>
      </c>
    </row>
    <row r="30" ht="15.75">
      <c r="A30" s="399" t="s">
        <v>128</v>
      </c>
    </row>
    <row r="31" ht="15.75">
      <c r="A31" s="399" t="s">
        <v>129</v>
      </c>
    </row>
    <row r="32" ht="15.75">
      <c r="A32" s="399"/>
    </row>
    <row r="33" ht="15.75">
      <c r="A33" s="399" t="str">
        <f>CONCATENATE("Additionally, do your ",inputPrYr!D9-2," receipts contain a reimbursement")</f>
        <v>Additionally, do your 2010 receipts contain a reimbursement</v>
      </c>
    </row>
    <row r="34" ht="15.75">
      <c r="A34" s="399" t="s">
        <v>130</v>
      </c>
    </row>
    <row r="35" ht="15.75">
      <c r="A35" s="399" t="s">
        <v>131</v>
      </c>
    </row>
    <row r="36" ht="15.75">
      <c r="A36" s="399"/>
    </row>
    <row r="37" ht="15.75">
      <c r="A37" s="399" t="s">
        <v>132</v>
      </c>
    </row>
    <row r="38" ht="15.75">
      <c r="A38" s="399" t="s">
        <v>133</v>
      </c>
    </row>
    <row r="39" ht="15.75">
      <c r="A39" s="399" t="s">
        <v>134</v>
      </c>
    </row>
    <row r="40" ht="15.75">
      <c r="A40" s="399" t="s">
        <v>135</v>
      </c>
    </row>
    <row r="41" ht="15.75">
      <c r="A41" s="399" t="s">
        <v>136</v>
      </c>
    </row>
    <row r="42" ht="15.75">
      <c r="A42" s="399" t="s">
        <v>137</v>
      </c>
    </row>
    <row r="43" ht="15.75">
      <c r="A43" s="399" t="s">
        <v>138</v>
      </c>
    </row>
    <row r="44" ht="15.75">
      <c r="A44" s="399" t="s">
        <v>139</v>
      </c>
    </row>
    <row r="45" ht="15.75">
      <c r="A45" s="399"/>
    </row>
    <row r="46" ht="15.75">
      <c r="A46" s="399" t="s">
        <v>140</v>
      </c>
    </row>
    <row r="47" ht="15.75">
      <c r="A47" s="399" t="s">
        <v>141</v>
      </c>
    </row>
    <row r="48" ht="15.75">
      <c r="A48" s="399" t="s">
        <v>142</v>
      </c>
    </row>
    <row r="49" ht="15.75">
      <c r="A49" s="399"/>
    </row>
    <row r="50" ht="15.75">
      <c r="A50" s="399" t="s">
        <v>143</v>
      </c>
    </row>
    <row r="51" ht="15.75">
      <c r="A51" s="399" t="s">
        <v>144</v>
      </c>
    </row>
    <row r="52" ht="15.75">
      <c r="A52" s="399" t="s">
        <v>145</v>
      </c>
    </row>
    <row r="53" ht="15.75">
      <c r="A53" s="399"/>
    </row>
    <row r="54" ht="15.75">
      <c r="A54" s="400" t="s">
        <v>146</v>
      </c>
    </row>
    <row r="55" ht="15.75">
      <c r="A55" s="399"/>
    </row>
    <row r="56" ht="15.75">
      <c r="A56" s="399" t="s">
        <v>147</v>
      </c>
    </row>
    <row r="57" ht="15.75">
      <c r="A57" s="399" t="s">
        <v>148</v>
      </c>
    </row>
    <row r="58" ht="15.75">
      <c r="A58" s="399" t="s">
        <v>149</v>
      </c>
    </row>
    <row r="59" ht="15.75">
      <c r="A59" s="399" t="s">
        <v>150</v>
      </c>
    </row>
    <row r="60" ht="15.75">
      <c r="A60" s="399" t="s">
        <v>151</v>
      </c>
    </row>
    <row r="61" ht="15.75">
      <c r="A61" s="399" t="s">
        <v>152</v>
      </c>
    </row>
    <row r="62" ht="15.75">
      <c r="A62" s="399" t="s">
        <v>153</v>
      </c>
    </row>
    <row r="63" ht="15.75">
      <c r="A63" s="399" t="s">
        <v>154</v>
      </c>
    </row>
    <row r="64" ht="15.75">
      <c r="A64" s="399" t="s">
        <v>155</v>
      </c>
    </row>
    <row r="65" ht="15.75">
      <c r="A65" s="399" t="s">
        <v>156</v>
      </c>
    </row>
    <row r="66" ht="15.75">
      <c r="A66" s="399" t="s">
        <v>157</v>
      </c>
    </row>
    <row r="67" ht="15.75">
      <c r="A67" s="399" t="s">
        <v>158</v>
      </c>
    </row>
    <row r="68" ht="15.75">
      <c r="A68" s="399" t="s">
        <v>159</v>
      </c>
    </row>
    <row r="69" ht="15.75">
      <c r="A69" s="399"/>
    </row>
    <row r="70" ht="15.75">
      <c r="A70" s="399" t="s">
        <v>160</v>
      </c>
    </row>
    <row r="71" ht="15.75">
      <c r="A71" s="399" t="s">
        <v>161</v>
      </c>
    </row>
    <row r="72" ht="15.75">
      <c r="A72" s="399" t="s">
        <v>162</v>
      </c>
    </row>
    <row r="73" ht="15.75">
      <c r="A73" s="399"/>
    </row>
    <row r="74" ht="15.75">
      <c r="A74" s="400" t="str">
        <f>CONCATENATE("What if the ",inputPrYr!D9-2," financial records have been closed?")</f>
        <v>What if the 2010 financial records have been closed?</v>
      </c>
    </row>
    <row r="76" ht="15.75">
      <c r="A76" s="399" t="s">
        <v>163</v>
      </c>
    </row>
    <row r="77" ht="15.75">
      <c r="A77" s="399" t="str">
        <f>CONCATENATE("(i.e. an audit for ",inputPrYr!D9-2," has been completed, or the ",inputPrYr!D9)</f>
        <v>(i.e. an audit for 2010 has been completed, or the 2012</v>
      </c>
    </row>
    <row r="78" ht="15.75">
      <c r="A78" s="399" t="s">
        <v>164</v>
      </c>
    </row>
    <row r="79" ht="15.75">
      <c r="A79" s="399" t="s">
        <v>165</v>
      </c>
    </row>
    <row r="80" ht="15.75">
      <c r="A80" s="399"/>
    </row>
    <row r="81" ht="15.75">
      <c r="A81" s="399" t="s">
        <v>166</v>
      </c>
    </row>
    <row r="82" ht="15.75">
      <c r="A82" s="399" t="s">
        <v>167</v>
      </c>
    </row>
    <row r="83" ht="15.75">
      <c r="A83" s="399" t="s">
        <v>168</v>
      </c>
    </row>
    <row r="84" ht="15.75">
      <c r="A84" s="399"/>
    </row>
    <row r="85" ht="15.75">
      <c r="A85" s="399" t="s">
        <v>169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170</v>
      </c>
      <c r="B3" s="398"/>
      <c r="C3" s="398"/>
      <c r="D3" s="398"/>
      <c r="E3" s="398"/>
      <c r="F3" s="398"/>
      <c r="G3" s="398"/>
      <c r="H3" s="401"/>
      <c r="I3" s="401"/>
      <c r="J3" s="401"/>
    </row>
    <row r="5" ht="15.75">
      <c r="A5" s="399" t="s">
        <v>171</v>
      </c>
    </row>
    <row r="6" ht="15.75">
      <c r="A6" t="str">
        <f>CONCATENATE(inputPrYr!D9-2," expenditures show that you finished the year with a ")</f>
        <v>2010 expenditures show that you finished the year with a </v>
      </c>
    </row>
    <row r="7" ht="15.75">
      <c r="A7" t="s">
        <v>172</v>
      </c>
    </row>
    <row r="9" ht="15.75">
      <c r="A9" t="s">
        <v>173</v>
      </c>
    </row>
    <row r="10" ht="15.75">
      <c r="A10" t="s">
        <v>174</v>
      </c>
    </row>
    <row r="11" ht="15.75">
      <c r="A11" t="s">
        <v>175</v>
      </c>
    </row>
    <row r="13" ht="15.75">
      <c r="A13" s="400" t="s">
        <v>176</v>
      </c>
    </row>
    <row r="14" ht="15.75">
      <c r="A14" s="400"/>
    </row>
    <row r="15" ht="15.75">
      <c r="A15" s="399" t="s">
        <v>177</v>
      </c>
    </row>
    <row r="16" ht="15.75">
      <c r="A16" s="399" t="s">
        <v>178</v>
      </c>
    </row>
    <row r="17" ht="15.75">
      <c r="A17" s="399" t="s">
        <v>179</v>
      </c>
    </row>
    <row r="18" ht="15.75">
      <c r="A18" s="399"/>
    </row>
    <row r="19" ht="15.75">
      <c r="A19" s="400" t="s">
        <v>180</v>
      </c>
    </row>
    <row r="20" ht="15.75">
      <c r="A20" s="400"/>
    </row>
    <row r="21" ht="15.75">
      <c r="A21" s="399" t="s">
        <v>181</v>
      </c>
    </row>
    <row r="22" ht="15.75">
      <c r="A22" s="399" t="s">
        <v>182</v>
      </c>
    </row>
    <row r="23" ht="15.75">
      <c r="A23" s="399" t="s">
        <v>183</v>
      </c>
    </row>
    <row r="24" ht="15.75">
      <c r="A24" s="399"/>
    </row>
    <row r="25" ht="15.75">
      <c r="A25" s="400" t="s">
        <v>184</v>
      </c>
    </row>
    <row r="26" ht="15.75">
      <c r="A26" s="400"/>
    </row>
    <row r="27" ht="15.75">
      <c r="A27" s="399" t="s">
        <v>185</v>
      </c>
    </row>
    <row r="28" ht="15.75">
      <c r="A28" s="399" t="s">
        <v>186</v>
      </c>
    </row>
    <row r="29" ht="15.75">
      <c r="A29" s="399" t="s">
        <v>187</v>
      </c>
    </row>
    <row r="30" ht="15.75">
      <c r="A30" s="399"/>
    </row>
    <row r="31" ht="15.75">
      <c r="A31" s="400" t="s">
        <v>188</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189</v>
      </c>
      <c r="B35" s="399"/>
      <c r="C35" s="399"/>
      <c r="D35" s="399"/>
      <c r="E35" s="399"/>
      <c r="F35" s="399"/>
      <c r="G35" s="399"/>
      <c r="H35" s="399"/>
    </row>
    <row r="36" spans="1:8" ht="15.75">
      <c r="A36" s="399" t="s">
        <v>190</v>
      </c>
      <c r="B36" s="399"/>
      <c r="C36" s="399"/>
      <c r="D36" s="399"/>
      <c r="E36" s="399"/>
      <c r="F36" s="399"/>
      <c r="G36" s="399"/>
      <c r="H36" s="399"/>
    </row>
    <row r="37" spans="1:8" ht="15.75">
      <c r="A37" s="399" t="s">
        <v>191</v>
      </c>
      <c r="B37" s="399"/>
      <c r="C37" s="399"/>
      <c r="D37" s="399"/>
      <c r="E37" s="399"/>
      <c r="F37" s="399"/>
      <c r="G37" s="399"/>
      <c r="H37" s="399"/>
    </row>
    <row r="38" spans="1:8" ht="15.75">
      <c r="A38" s="399" t="s">
        <v>192</v>
      </c>
      <c r="B38" s="399"/>
      <c r="C38" s="399"/>
      <c r="D38" s="399"/>
      <c r="E38" s="399"/>
      <c r="F38" s="399"/>
      <c r="G38" s="399"/>
      <c r="H38" s="399"/>
    </row>
    <row r="39" spans="1:8" ht="15.75">
      <c r="A39" s="399" t="s">
        <v>193</v>
      </c>
      <c r="B39" s="399"/>
      <c r="C39" s="399"/>
      <c r="D39" s="399"/>
      <c r="E39" s="399"/>
      <c r="F39" s="399"/>
      <c r="G39" s="399"/>
      <c r="H39" s="399"/>
    </row>
    <row r="40" spans="1:8" ht="15.75">
      <c r="A40" s="399"/>
      <c r="B40" s="399"/>
      <c r="C40" s="399"/>
      <c r="D40" s="399"/>
      <c r="E40" s="399"/>
      <c r="F40" s="399"/>
      <c r="G40" s="399"/>
      <c r="H40" s="399"/>
    </row>
    <row r="41" spans="1:8" ht="15.75">
      <c r="A41" s="399" t="s">
        <v>194</v>
      </c>
      <c r="B41" s="399"/>
      <c r="C41" s="399"/>
      <c r="D41" s="399"/>
      <c r="E41" s="399"/>
      <c r="F41" s="399"/>
      <c r="G41" s="399"/>
      <c r="H41" s="399"/>
    </row>
    <row r="42" spans="1:8" ht="15.75">
      <c r="A42" s="399" t="s">
        <v>195</v>
      </c>
      <c r="B42" s="399"/>
      <c r="C42" s="399"/>
      <c r="D42" s="399"/>
      <c r="E42" s="399"/>
      <c r="F42" s="399"/>
      <c r="G42" s="399"/>
      <c r="H42" s="399"/>
    </row>
    <row r="43" spans="1:8" ht="15.75">
      <c r="A43" s="399" t="s">
        <v>196</v>
      </c>
      <c r="B43" s="399"/>
      <c r="C43" s="399"/>
      <c r="D43" s="399"/>
      <c r="E43" s="399"/>
      <c r="F43" s="399"/>
      <c r="G43" s="399"/>
      <c r="H43" s="399"/>
    </row>
    <row r="44" spans="1:8" ht="15.75">
      <c r="A44" s="399" t="s">
        <v>197</v>
      </c>
      <c r="B44" s="399"/>
      <c r="C44" s="399"/>
      <c r="D44" s="399"/>
      <c r="E44" s="399"/>
      <c r="F44" s="399"/>
      <c r="G44" s="399"/>
      <c r="H44" s="399"/>
    </row>
    <row r="45" spans="1:8" ht="15.75">
      <c r="A45" s="399"/>
      <c r="B45" s="399"/>
      <c r="C45" s="399"/>
      <c r="D45" s="399"/>
      <c r="E45" s="399"/>
      <c r="F45" s="399"/>
      <c r="G45" s="399"/>
      <c r="H45" s="399"/>
    </row>
    <row r="46" spans="1:8" ht="15.75">
      <c r="A46" s="399" t="s">
        <v>198</v>
      </c>
      <c r="B46" s="399"/>
      <c r="C46" s="399"/>
      <c r="D46" s="399"/>
      <c r="E46" s="399"/>
      <c r="F46" s="399"/>
      <c r="G46" s="399"/>
      <c r="H46" s="399"/>
    </row>
    <row r="47" spans="1:8" ht="15.75">
      <c r="A47" s="399" t="s">
        <v>199</v>
      </c>
      <c r="B47" s="399"/>
      <c r="C47" s="399"/>
      <c r="D47" s="399"/>
      <c r="E47" s="399"/>
      <c r="F47" s="399"/>
      <c r="G47" s="399"/>
      <c r="H47" s="399"/>
    </row>
    <row r="48" spans="1:8" ht="15.75">
      <c r="A48" s="399" t="s">
        <v>200</v>
      </c>
      <c r="B48" s="399"/>
      <c r="C48" s="399"/>
      <c r="D48" s="399"/>
      <c r="E48" s="399"/>
      <c r="F48" s="399"/>
      <c r="G48" s="399"/>
      <c r="H48" s="399"/>
    </row>
    <row r="49" spans="1:8" ht="15.75">
      <c r="A49" s="399" t="s">
        <v>201</v>
      </c>
      <c r="B49" s="399"/>
      <c r="C49" s="399"/>
      <c r="D49" s="399"/>
      <c r="E49" s="399"/>
      <c r="F49" s="399"/>
      <c r="G49" s="399"/>
      <c r="H49" s="399"/>
    </row>
    <row r="50" spans="1:8" ht="15.75">
      <c r="A50" s="399" t="s">
        <v>202</v>
      </c>
      <c r="B50" s="399"/>
      <c r="C50" s="399"/>
      <c r="D50" s="399"/>
      <c r="E50" s="399"/>
      <c r="F50" s="399"/>
      <c r="G50" s="399"/>
      <c r="H50" s="399"/>
    </row>
    <row r="51" spans="1:8" ht="15.75">
      <c r="A51" s="399"/>
      <c r="B51" s="399"/>
      <c r="C51" s="399"/>
      <c r="D51" s="399"/>
      <c r="E51" s="399"/>
      <c r="F51" s="399"/>
      <c r="G51" s="399"/>
      <c r="H51" s="399"/>
    </row>
    <row r="52" spans="1:8" ht="15.75">
      <c r="A52" s="400" t="s">
        <v>203</v>
      </c>
      <c r="B52" s="400"/>
      <c r="C52" s="400"/>
      <c r="D52" s="400"/>
      <c r="E52" s="400"/>
      <c r="F52" s="400"/>
      <c r="G52" s="400"/>
      <c r="H52" s="399"/>
    </row>
    <row r="53" spans="1:8" ht="15.75">
      <c r="A53" s="400" t="s">
        <v>204</v>
      </c>
      <c r="B53" s="400"/>
      <c r="C53" s="400"/>
      <c r="D53" s="400"/>
      <c r="E53" s="400"/>
      <c r="F53" s="400"/>
      <c r="G53" s="400"/>
      <c r="H53" s="399"/>
    </row>
    <row r="54" spans="1:8" ht="15.75">
      <c r="A54" s="399"/>
      <c r="B54" s="399"/>
      <c r="C54" s="399"/>
      <c r="D54" s="399"/>
      <c r="E54" s="399"/>
      <c r="F54" s="399"/>
      <c r="G54" s="399"/>
      <c r="H54" s="399"/>
    </row>
    <row r="55" spans="1:8" ht="15.75">
      <c r="A55" s="399" t="s">
        <v>205</v>
      </c>
      <c r="B55" s="399"/>
      <c r="C55" s="399"/>
      <c r="D55" s="399"/>
      <c r="E55" s="399"/>
      <c r="F55" s="399"/>
      <c r="G55" s="399"/>
      <c r="H55" s="399"/>
    </row>
    <row r="56" spans="1:8" ht="15.75">
      <c r="A56" s="399" t="s">
        <v>206</v>
      </c>
      <c r="B56" s="399"/>
      <c r="C56" s="399"/>
      <c r="D56" s="399"/>
      <c r="E56" s="399"/>
      <c r="F56" s="399"/>
      <c r="G56" s="399"/>
      <c r="H56" s="399"/>
    </row>
    <row r="57" spans="1:8" ht="15.75">
      <c r="A57" s="399" t="s">
        <v>207</v>
      </c>
      <c r="B57" s="399"/>
      <c r="C57" s="399"/>
      <c r="D57" s="399"/>
      <c r="E57" s="399"/>
      <c r="F57" s="399"/>
      <c r="G57" s="399"/>
      <c r="H57" s="399"/>
    </row>
    <row r="58" spans="1:8" ht="15.75">
      <c r="A58" s="399" t="s">
        <v>208</v>
      </c>
      <c r="B58" s="399"/>
      <c r="C58" s="399"/>
      <c r="D58" s="399"/>
      <c r="E58" s="399"/>
      <c r="F58" s="399"/>
      <c r="G58" s="399"/>
      <c r="H58" s="399"/>
    </row>
    <row r="59" spans="1:8" ht="15.75">
      <c r="A59" s="399"/>
      <c r="B59" s="399"/>
      <c r="C59" s="399"/>
      <c r="D59" s="399"/>
      <c r="E59" s="399"/>
      <c r="F59" s="399"/>
      <c r="G59" s="399"/>
      <c r="H59" s="399"/>
    </row>
    <row r="60" spans="1:8" ht="15.75">
      <c r="A60" s="399" t="s">
        <v>209</v>
      </c>
      <c r="B60" s="399"/>
      <c r="C60" s="399"/>
      <c r="D60" s="399"/>
      <c r="E60" s="399"/>
      <c r="F60" s="399"/>
      <c r="G60" s="399"/>
      <c r="H60" s="399"/>
    </row>
    <row r="61" spans="1:8" ht="15.75">
      <c r="A61" s="399" t="s">
        <v>210</v>
      </c>
      <c r="B61" s="399"/>
      <c r="C61" s="399"/>
      <c r="D61" s="399"/>
      <c r="E61" s="399"/>
      <c r="F61" s="399"/>
      <c r="G61" s="399"/>
      <c r="H61" s="399"/>
    </row>
    <row r="62" spans="1:8" ht="15.75">
      <c r="A62" s="399" t="s">
        <v>211</v>
      </c>
      <c r="B62" s="399"/>
      <c r="C62" s="399"/>
      <c r="D62" s="399"/>
      <c r="E62" s="399"/>
      <c r="F62" s="399"/>
      <c r="G62" s="399"/>
      <c r="H62" s="399"/>
    </row>
    <row r="63" spans="1:8" ht="15.75">
      <c r="A63" s="399" t="s">
        <v>212</v>
      </c>
      <c r="B63" s="399"/>
      <c r="C63" s="399"/>
      <c r="D63" s="399"/>
      <c r="E63" s="399"/>
      <c r="F63" s="399"/>
      <c r="G63" s="399"/>
      <c r="H63" s="399"/>
    </row>
    <row r="64" spans="1:8" ht="15.75">
      <c r="A64" s="399" t="s">
        <v>213</v>
      </c>
      <c r="B64" s="399"/>
      <c r="C64" s="399"/>
      <c r="D64" s="399"/>
      <c r="E64" s="399"/>
      <c r="F64" s="399"/>
      <c r="G64" s="399"/>
      <c r="H64" s="399"/>
    </row>
    <row r="65" spans="1:8" ht="15.75">
      <c r="A65" s="399" t="s">
        <v>214</v>
      </c>
      <c r="B65" s="399"/>
      <c r="C65" s="399"/>
      <c r="D65" s="399"/>
      <c r="E65" s="399"/>
      <c r="F65" s="399"/>
      <c r="G65" s="399"/>
      <c r="H65" s="399"/>
    </row>
    <row r="66" spans="1:8" ht="15.75">
      <c r="A66" s="399"/>
      <c r="B66" s="399"/>
      <c r="C66" s="399"/>
      <c r="D66" s="399"/>
      <c r="E66" s="399"/>
      <c r="F66" s="399"/>
      <c r="G66" s="399"/>
      <c r="H66" s="399"/>
    </row>
    <row r="67" spans="1:8" ht="15.75">
      <c r="A67" s="399" t="s">
        <v>215</v>
      </c>
      <c r="B67" s="399"/>
      <c r="C67" s="399"/>
      <c r="D67" s="399"/>
      <c r="E67" s="399"/>
      <c r="F67" s="399"/>
      <c r="G67" s="399"/>
      <c r="H67" s="399"/>
    </row>
    <row r="68" spans="1:8" ht="15.75">
      <c r="A68" s="399" t="s">
        <v>216</v>
      </c>
      <c r="B68" s="399"/>
      <c r="C68" s="399"/>
      <c r="D68" s="399"/>
      <c r="E68" s="399"/>
      <c r="F68" s="399"/>
      <c r="G68" s="399"/>
      <c r="H68" s="399"/>
    </row>
    <row r="69" spans="1:8" ht="15.75">
      <c r="A69" s="399" t="s">
        <v>217</v>
      </c>
      <c r="B69" s="399"/>
      <c r="C69" s="399"/>
      <c r="D69" s="399"/>
      <c r="E69" s="399"/>
      <c r="F69" s="399"/>
      <c r="G69" s="399"/>
      <c r="H69" s="399"/>
    </row>
    <row r="70" spans="1:8" ht="15.75">
      <c r="A70" s="399" t="s">
        <v>218</v>
      </c>
      <c r="B70" s="399"/>
      <c r="C70" s="399"/>
      <c r="D70" s="399"/>
      <c r="E70" s="399"/>
      <c r="F70" s="399"/>
      <c r="G70" s="399"/>
      <c r="H70" s="399"/>
    </row>
    <row r="71" spans="1:8" ht="15.75">
      <c r="A71" s="399" t="s">
        <v>219</v>
      </c>
      <c r="B71" s="399"/>
      <c r="C71" s="399"/>
      <c r="D71" s="399"/>
      <c r="E71" s="399"/>
      <c r="F71" s="399"/>
      <c r="G71" s="399"/>
      <c r="H71" s="399"/>
    </row>
    <row r="72" spans="1:8" ht="15.75">
      <c r="A72" s="399" t="s">
        <v>220</v>
      </c>
      <c r="B72" s="399"/>
      <c r="C72" s="399"/>
      <c r="D72" s="399"/>
      <c r="E72" s="399"/>
      <c r="F72" s="399"/>
      <c r="G72" s="399"/>
      <c r="H72" s="399"/>
    </row>
    <row r="73" spans="1:8" ht="15.75">
      <c r="A73" s="399" t="s">
        <v>221</v>
      </c>
      <c r="B73" s="399"/>
      <c r="C73" s="399"/>
      <c r="D73" s="399"/>
      <c r="E73" s="399"/>
      <c r="F73" s="399"/>
      <c r="G73" s="399"/>
      <c r="H73" s="399"/>
    </row>
    <row r="74" spans="1:8" ht="15.75">
      <c r="A74" s="399"/>
      <c r="B74" s="399"/>
      <c r="C74" s="399"/>
      <c r="D74" s="399"/>
      <c r="E74" s="399"/>
      <c r="F74" s="399"/>
      <c r="G74" s="399"/>
      <c r="H74" s="399"/>
    </row>
    <row r="75" spans="1:8" ht="15.75">
      <c r="A75" s="399" t="s">
        <v>222</v>
      </c>
      <c r="B75" s="399"/>
      <c r="C75" s="399"/>
      <c r="D75" s="399"/>
      <c r="E75" s="399"/>
      <c r="F75" s="399"/>
      <c r="G75" s="399"/>
      <c r="H75" s="399"/>
    </row>
    <row r="76" spans="1:8" ht="15.75">
      <c r="A76" s="399" t="s">
        <v>223</v>
      </c>
      <c r="B76" s="399"/>
      <c r="C76" s="399"/>
      <c r="D76" s="399"/>
      <c r="E76" s="399"/>
      <c r="F76" s="399"/>
      <c r="G76" s="399"/>
      <c r="H76" s="399"/>
    </row>
    <row r="77" spans="1:8" ht="15.75">
      <c r="A77" s="399" t="s">
        <v>224</v>
      </c>
      <c r="B77" s="399"/>
      <c r="C77" s="399"/>
      <c r="D77" s="399"/>
      <c r="E77" s="399"/>
      <c r="F77" s="399"/>
      <c r="G77" s="399"/>
      <c r="H77" s="399"/>
    </row>
    <row r="78" spans="1:8" ht="15.75">
      <c r="A78" s="399"/>
      <c r="B78" s="399"/>
      <c r="C78" s="399"/>
      <c r="D78" s="399"/>
      <c r="E78" s="399"/>
      <c r="F78" s="399"/>
      <c r="G78" s="399"/>
      <c r="H78" s="399"/>
    </row>
    <row r="79" ht="15.75">
      <c r="A79" s="399" t="s">
        <v>169</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225</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467</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226</v>
      </c>
      <c r="I7" s="398"/>
      <c r="J7" s="398"/>
      <c r="K7" s="398"/>
      <c r="L7" s="398"/>
    </row>
    <row r="8" spans="1:12" ht="15.75">
      <c r="A8" s="399"/>
      <c r="I8" s="398"/>
      <c r="J8" s="398"/>
      <c r="K8" s="398"/>
      <c r="L8" s="398"/>
    </row>
    <row r="9" spans="1:12" ht="15.75">
      <c r="A9" s="399" t="s">
        <v>227</v>
      </c>
      <c r="I9" s="398"/>
      <c r="J9" s="398"/>
      <c r="K9" s="398"/>
      <c r="L9" s="398"/>
    </row>
    <row r="10" spans="1:12" ht="15.75">
      <c r="A10" s="399" t="s">
        <v>228</v>
      </c>
      <c r="I10" s="398"/>
      <c r="J10" s="398"/>
      <c r="K10" s="398"/>
      <c r="L10" s="398"/>
    </row>
    <row r="11" spans="1:12" ht="15.75">
      <c r="A11" s="399" t="s">
        <v>229</v>
      </c>
      <c r="I11" s="398"/>
      <c r="J11" s="398"/>
      <c r="K11" s="398"/>
      <c r="L11" s="398"/>
    </row>
    <row r="12" spans="1:12" ht="15.75">
      <c r="A12" s="399" t="s">
        <v>230</v>
      </c>
      <c r="I12" s="398"/>
      <c r="J12" s="398"/>
      <c r="K12" s="398"/>
      <c r="L12" s="398"/>
    </row>
    <row r="13" spans="1:12" ht="15.75">
      <c r="A13" s="399" t="s">
        <v>231</v>
      </c>
      <c r="I13" s="398"/>
      <c r="J13" s="398"/>
      <c r="K13" s="398"/>
      <c r="L13" s="398"/>
    </row>
    <row r="14" spans="1:12" ht="15.75">
      <c r="A14" s="398"/>
      <c r="B14" s="398"/>
      <c r="C14" s="398"/>
      <c r="D14" s="398"/>
      <c r="E14" s="398"/>
      <c r="F14" s="398"/>
      <c r="G14" s="398"/>
      <c r="H14" s="398"/>
      <c r="I14" s="398"/>
      <c r="J14" s="398"/>
      <c r="K14" s="398"/>
      <c r="L14" s="398"/>
    </row>
    <row r="15" ht="15.75">
      <c r="A15" s="400" t="s">
        <v>232</v>
      </c>
    </row>
    <row r="16" ht="15.75">
      <c r="A16" s="400" t="s">
        <v>233</v>
      </c>
    </row>
    <row r="17" ht="15.75">
      <c r="A17" s="400"/>
    </row>
    <row r="18" spans="1:7" ht="15.75">
      <c r="A18" s="399" t="s">
        <v>234</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235</v>
      </c>
      <c r="B20" s="399"/>
      <c r="C20" s="399"/>
      <c r="D20" s="399"/>
      <c r="E20" s="399"/>
      <c r="F20" s="399"/>
      <c r="G20" s="399"/>
    </row>
    <row r="21" spans="1:7" ht="15.75">
      <c r="A21" s="399" t="s">
        <v>236</v>
      </c>
      <c r="B21" s="399"/>
      <c r="C21" s="399"/>
      <c r="D21" s="399"/>
      <c r="E21" s="399"/>
      <c r="F21" s="399"/>
      <c r="G21" s="399"/>
    </row>
    <row r="22" ht="15.75">
      <c r="A22" s="399"/>
    </row>
    <row r="23" ht="15.75">
      <c r="A23" s="400" t="s">
        <v>237</v>
      </c>
    </row>
    <row r="24" ht="15.75">
      <c r="A24" s="400"/>
    </row>
    <row r="25" ht="15.75">
      <c r="A25" s="399" t="s">
        <v>238</v>
      </c>
    </row>
    <row r="26" spans="1:6" ht="15.75">
      <c r="A26" s="399" t="s">
        <v>239</v>
      </c>
      <c r="B26" s="399"/>
      <c r="C26" s="399"/>
      <c r="D26" s="399"/>
      <c r="E26" s="399"/>
      <c r="F26" s="399"/>
    </row>
    <row r="27" spans="1:6" ht="15.75">
      <c r="A27" s="399" t="s">
        <v>240</v>
      </c>
      <c r="B27" s="399"/>
      <c r="C27" s="399"/>
      <c r="D27" s="399"/>
      <c r="E27" s="399"/>
      <c r="F27" s="399"/>
    </row>
    <row r="28" spans="1:6" ht="15.75">
      <c r="A28" s="399" t="s">
        <v>241</v>
      </c>
      <c r="B28" s="399"/>
      <c r="C28" s="399"/>
      <c r="D28" s="399"/>
      <c r="E28" s="399"/>
      <c r="F28" s="399"/>
    </row>
    <row r="29" spans="1:6" ht="15.75">
      <c r="A29" s="399"/>
      <c r="B29" s="399"/>
      <c r="C29" s="399"/>
      <c r="D29" s="399"/>
      <c r="E29" s="399"/>
      <c r="F29" s="399"/>
    </row>
    <row r="30" spans="1:7" ht="15.75">
      <c r="A30" s="400" t="s">
        <v>242</v>
      </c>
      <c r="B30" s="400"/>
      <c r="C30" s="400"/>
      <c r="D30" s="400"/>
      <c r="E30" s="400"/>
      <c r="F30" s="400"/>
      <c r="G30" s="400"/>
    </row>
    <row r="31" spans="1:7" ht="15.75">
      <c r="A31" s="400" t="s">
        <v>243</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244</v>
      </c>
      <c r="B34" s="399"/>
      <c r="C34" s="399"/>
      <c r="D34" s="399"/>
      <c r="E34" s="399"/>
      <c r="F34" s="399"/>
    </row>
    <row r="35" spans="1:6" ht="15.75">
      <c r="A35" s="403" t="s">
        <v>128</v>
      </c>
      <c r="B35" s="399"/>
      <c r="C35" s="399"/>
      <c r="D35" s="399"/>
      <c r="E35" s="399"/>
      <c r="F35" s="399"/>
    </row>
    <row r="36" spans="1:6" ht="15.75">
      <c r="A36" s="403" t="s">
        <v>129</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130</v>
      </c>
      <c r="B39" s="399"/>
      <c r="C39" s="399"/>
      <c r="D39" s="399"/>
      <c r="E39" s="399"/>
      <c r="F39" s="399"/>
    </row>
    <row r="40" spans="1:6" ht="15.75">
      <c r="A40" s="403" t="s">
        <v>131</v>
      </c>
      <c r="B40" s="399"/>
      <c r="C40" s="399"/>
      <c r="D40" s="399"/>
      <c r="E40" s="399"/>
      <c r="F40" s="399"/>
    </row>
    <row r="41" spans="1:6" ht="15.75">
      <c r="A41" s="403"/>
      <c r="B41" s="399"/>
      <c r="C41" s="399"/>
      <c r="D41" s="399"/>
      <c r="E41" s="399"/>
      <c r="F41" s="399"/>
    </row>
    <row r="42" spans="1:6" ht="15.75">
      <c r="A42" s="403" t="s">
        <v>132</v>
      </c>
      <c r="B42" s="399"/>
      <c r="C42" s="399"/>
      <c r="D42" s="399"/>
      <c r="E42" s="399"/>
      <c r="F42" s="399"/>
    </row>
    <row r="43" spans="1:6" ht="15.75">
      <c r="A43" s="403" t="s">
        <v>133</v>
      </c>
      <c r="B43" s="399"/>
      <c r="C43" s="399"/>
      <c r="D43" s="399"/>
      <c r="E43" s="399"/>
      <c r="F43" s="399"/>
    </row>
    <row r="44" spans="1:6" ht="15.75">
      <c r="A44" s="403" t="s">
        <v>134</v>
      </c>
      <c r="B44" s="399"/>
      <c r="C44" s="399"/>
      <c r="D44" s="399"/>
      <c r="E44" s="399"/>
      <c r="F44" s="399"/>
    </row>
    <row r="45" spans="1:6" ht="15.75">
      <c r="A45" s="403" t="s">
        <v>245</v>
      </c>
      <c r="B45" s="399"/>
      <c r="C45" s="399"/>
      <c r="D45" s="399"/>
      <c r="E45" s="399"/>
      <c r="F45" s="399"/>
    </row>
    <row r="46" spans="1:6" ht="15.75">
      <c r="A46" s="403" t="s">
        <v>136</v>
      </c>
      <c r="B46" s="399"/>
      <c r="C46" s="399"/>
      <c r="D46" s="399"/>
      <c r="E46" s="399"/>
      <c r="F46" s="399"/>
    </row>
    <row r="47" spans="1:6" ht="15.75">
      <c r="A47" s="403" t="s">
        <v>246</v>
      </c>
      <c r="B47" s="399"/>
      <c r="C47" s="399"/>
      <c r="D47" s="399"/>
      <c r="E47" s="399"/>
      <c r="F47" s="399"/>
    </row>
    <row r="48" spans="1:6" ht="15.75">
      <c r="A48" s="403" t="s">
        <v>247</v>
      </c>
      <c r="B48" s="399"/>
      <c r="C48" s="399"/>
      <c r="D48" s="399"/>
      <c r="E48" s="399"/>
      <c r="F48" s="399"/>
    </row>
    <row r="49" spans="1:6" ht="15.75">
      <c r="A49" s="403" t="s">
        <v>139</v>
      </c>
      <c r="B49" s="399"/>
      <c r="C49" s="399"/>
      <c r="D49" s="399"/>
      <c r="E49" s="399"/>
      <c r="F49" s="399"/>
    </row>
    <row r="50" spans="1:6" ht="15.75">
      <c r="A50" s="403"/>
      <c r="B50" s="399"/>
      <c r="C50" s="399"/>
      <c r="D50" s="399"/>
      <c r="E50" s="399"/>
      <c r="F50" s="399"/>
    </row>
    <row r="51" spans="1:6" ht="15.75">
      <c r="A51" s="403" t="s">
        <v>140</v>
      </c>
      <c r="B51" s="399"/>
      <c r="C51" s="399"/>
      <c r="D51" s="399"/>
      <c r="E51" s="399"/>
      <c r="F51" s="399"/>
    </row>
    <row r="52" spans="1:6" ht="15.75">
      <c r="A52" s="403" t="s">
        <v>141</v>
      </c>
      <c r="B52" s="399"/>
      <c r="C52" s="399"/>
      <c r="D52" s="399"/>
      <c r="E52" s="399"/>
      <c r="F52" s="399"/>
    </row>
    <row r="53" spans="1:6" ht="15.75">
      <c r="A53" s="403" t="s">
        <v>142</v>
      </c>
      <c r="B53" s="399"/>
      <c r="C53" s="399"/>
      <c r="D53" s="399"/>
      <c r="E53" s="399"/>
      <c r="F53" s="399"/>
    </row>
    <row r="54" spans="1:6" ht="15.75">
      <c r="A54" s="403"/>
      <c r="B54" s="399"/>
      <c r="C54" s="399"/>
      <c r="D54" s="399"/>
      <c r="E54" s="399"/>
      <c r="F54" s="399"/>
    </row>
    <row r="55" spans="1:6" ht="15.75">
      <c r="A55" s="403" t="s">
        <v>248</v>
      </c>
      <c r="B55" s="399"/>
      <c r="C55" s="399"/>
      <c r="D55" s="399"/>
      <c r="E55" s="399"/>
      <c r="F55" s="399"/>
    </row>
    <row r="56" spans="1:6" ht="15.75">
      <c r="A56" s="403" t="s">
        <v>249</v>
      </c>
      <c r="B56" s="399"/>
      <c r="C56" s="399"/>
      <c r="D56" s="399"/>
      <c r="E56" s="399"/>
      <c r="F56" s="399"/>
    </row>
    <row r="57" spans="1:6" ht="15.75">
      <c r="A57" s="403" t="s">
        <v>250</v>
      </c>
      <c r="B57" s="399"/>
      <c r="C57" s="399"/>
      <c r="D57" s="399"/>
      <c r="E57" s="399"/>
      <c r="F57" s="399"/>
    </row>
    <row r="58" spans="1:6" ht="15.75">
      <c r="A58" s="403" t="s">
        <v>251</v>
      </c>
      <c r="B58" s="399"/>
      <c r="C58" s="399"/>
      <c r="D58" s="399"/>
      <c r="E58" s="399"/>
      <c r="F58" s="399"/>
    </row>
    <row r="59" spans="1:6" ht="15.75">
      <c r="A59" s="403" t="s">
        <v>252</v>
      </c>
      <c r="B59" s="399"/>
      <c r="C59" s="399"/>
      <c r="D59" s="399"/>
      <c r="E59" s="399"/>
      <c r="F59" s="399"/>
    </row>
    <row r="60" spans="1:6" ht="15.75">
      <c r="A60" s="403"/>
      <c r="B60" s="399"/>
      <c r="C60" s="399"/>
      <c r="D60" s="399"/>
      <c r="E60" s="399"/>
      <c r="F60" s="399"/>
    </row>
    <row r="61" spans="1:6" ht="15.75">
      <c r="A61" s="404" t="s">
        <v>253</v>
      </c>
      <c r="B61" s="399"/>
      <c r="C61" s="399"/>
      <c r="D61" s="399"/>
      <c r="E61" s="399"/>
      <c r="F61" s="399"/>
    </row>
    <row r="62" spans="1:6" ht="15.75">
      <c r="A62" s="404" t="s">
        <v>254</v>
      </c>
      <c r="B62" s="399"/>
      <c r="C62" s="399"/>
      <c r="D62" s="399"/>
      <c r="E62" s="399"/>
      <c r="F62" s="399"/>
    </row>
    <row r="63" spans="1:6" ht="15.75">
      <c r="A63" s="404" t="s">
        <v>255</v>
      </c>
      <c r="B63" s="399"/>
      <c r="C63" s="399"/>
      <c r="D63" s="399"/>
      <c r="E63" s="399"/>
      <c r="F63" s="399"/>
    </row>
    <row r="64" ht="15.75">
      <c r="A64" s="404" t="s">
        <v>256</v>
      </c>
    </row>
    <row r="65" ht="15.75">
      <c r="A65" s="404" t="s">
        <v>257</v>
      </c>
    </row>
    <row r="66" ht="15.75">
      <c r="A66" s="404" t="s">
        <v>258</v>
      </c>
    </row>
    <row r="68" ht="15.75">
      <c r="A68" s="399" t="s">
        <v>259</v>
      </c>
    </row>
    <row r="69" ht="15.75">
      <c r="A69" s="399" t="s">
        <v>260</v>
      </c>
    </row>
    <row r="70" ht="15.75">
      <c r="A70" s="399" t="s">
        <v>261</v>
      </c>
    </row>
    <row r="71" ht="15.75">
      <c r="A71" s="399" t="s">
        <v>262</v>
      </c>
    </row>
    <row r="72" ht="15.75">
      <c r="A72" s="399" t="s">
        <v>263</v>
      </c>
    </row>
    <row r="73" ht="15.75">
      <c r="A73" s="399" t="s">
        <v>264</v>
      </c>
    </row>
    <row r="75" ht="15.75">
      <c r="A75" s="399" t="s">
        <v>169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95" sqref="B9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Kechi Township</v>
      </c>
      <c r="B1" s="30"/>
      <c r="C1" s="30"/>
      <c r="D1" s="30"/>
      <c r="E1" s="30">
        <f>inputPrYr!D9</f>
        <v>2012</v>
      </c>
    </row>
    <row r="2" spans="1:5" ht="15.75">
      <c r="A2" s="42" t="str">
        <f>inputPrYr!D4</f>
        <v>Sedgwick County</v>
      </c>
      <c r="B2" s="30"/>
      <c r="C2" s="30"/>
      <c r="D2" s="30"/>
      <c r="E2" s="30"/>
    </row>
    <row r="3" spans="1:5" ht="15.75">
      <c r="A3" s="30"/>
      <c r="B3" s="30"/>
      <c r="C3" s="30"/>
      <c r="D3" s="30"/>
      <c r="E3" s="30"/>
    </row>
    <row r="4" spans="1:5" ht="15.75">
      <c r="A4" s="618" t="s">
        <v>591</v>
      </c>
      <c r="B4" s="619"/>
      <c r="C4" s="619"/>
      <c r="D4" s="619"/>
      <c r="E4" s="619"/>
    </row>
    <row r="5" spans="1:5" ht="15.75">
      <c r="A5" s="30"/>
      <c r="B5" s="30"/>
      <c r="C5" s="30"/>
      <c r="D5" s="30"/>
      <c r="E5" s="30"/>
    </row>
    <row r="6" spans="1:5" ht="15.75">
      <c r="A6" s="622" t="str">
        <f>CONCATENATE("From the County Clerks Budget Information for ",E1,":")</f>
        <v>From the County Clerks Budget Information for 2012:</v>
      </c>
      <c r="B6" s="623"/>
      <c r="C6" s="623"/>
      <c r="D6" s="623"/>
      <c r="E6" s="623"/>
    </row>
    <row r="7" spans="1:5" ht="15.75">
      <c r="A7" s="56" t="str">
        <f>CONCATENATE("Assessed Valuation for ",E1-1,":")</f>
        <v>Assessed Valuation for 2011:</v>
      </c>
      <c r="B7" s="10"/>
      <c r="C7" s="10"/>
      <c r="D7" s="10"/>
      <c r="E7" s="36"/>
    </row>
    <row r="8" spans="1:5" ht="15.75">
      <c r="A8" s="13" t="s">
        <v>642</v>
      </c>
      <c r="B8" s="14"/>
      <c r="C8" s="14"/>
      <c r="D8" s="14"/>
      <c r="E8" s="35">
        <v>9691607</v>
      </c>
    </row>
    <row r="9" spans="1:5" ht="15.75">
      <c r="A9" s="15" t="str">
        <f>inputPrYr!$D$6</f>
        <v>City of Kechi</v>
      </c>
      <c r="B9" s="16"/>
      <c r="C9" s="16"/>
      <c r="D9" s="16"/>
      <c r="E9" s="35">
        <f>21058105-E8</f>
        <v>11366498</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21058105</v>
      </c>
    </row>
    <row r="12" spans="1:5" ht="15.75">
      <c r="A12" s="55" t="str">
        <f>CONCATENATE("New Improvements for ",E1-1,":")</f>
        <v>New Improvements for 2011:</v>
      </c>
      <c r="B12" s="10"/>
      <c r="C12" s="10"/>
      <c r="D12" s="10"/>
      <c r="E12" s="34"/>
    </row>
    <row r="13" spans="1:5" ht="15.75">
      <c r="A13" s="13" t="s">
        <v>642</v>
      </c>
      <c r="B13" s="14"/>
      <c r="C13" s="14"/>
      <c r="D13" s="14"/>
      <c r="E13" s="53">
        <f>1414607+2516</f>
        <v>1417123</v>
      </c>
    </row>
    <row r="14" spans="1:5" ht="15.75">
      <c r="A14" s="15" t="str">
        <f>inputPrYr!$D$6</f>
        <v>City of Kechi</v>
      </c>
      <c r="B14" s="14"/>
      <c r="C14" s="14"/>
      <c r="D14" s="14"/>
      <c r="E14" s="3">
        <f>52936+11280</f>
        <v>64216</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1481339</v>
      </c>
    </row>
    <row r="17" spans="1:5" ht="15.75">
      <c r="A17" s="55" t="str">
        <f>CONCATENATE("Personal Property excluding oil, gas, and mobile homes- ",E1-1,":")</f>
        <v>Personal Property excluding oil, gas, and mobile homes- 2011:</v>
      </c>
      <c r="B17" s="10"/>
      <c r="C17" s="10"/>
      <c r="D17" s="10"/>
      <c r="E17" s="34"/>
    </row>
    <row r="18" spans="1:5" ht="15.75">
      <c r="A18" s="13" t="s">
        <v>642</v>
      </c>
      <c r="B18" s="14"/>
      <c r="C18" s="14"/>
      <c r="D18" s="14"/>
      <c r="E18" s="53">
        <v>641394</v>
      </c>
    </row>
    <row r="19" spans="1:5" ht="15.75">
      <c r="A19" s="15" t="str">
        <f>inputPrYr!$D$6</f>
        <v>City of Kechi</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641394</v>
      </c>
    </row>
    <row r="22" spans="1:5" ht="15.75">
      <c r="A22" s="55" t="str">
        <f>CONCATENATE("Property that has changed in use for ",E1-1,":")</f>
        <v>Property that has changed in use for 2011:</v>
      </c>
      <c r="B22" s="10"/>
      <c r="C22" s="10"/>
      <c r="D22" s="10"/>
      <c r="E22" s="34"/>
    </row>
    <row r="23" spans="1:5" ht="15.75">
      <c r="A23" s="13" t="s">
        <v>642</v>
      </c>
      <c r="B23" s="14"/>
      <c r="C23" s="14"/>
      <c r="D23" s="14"/>
      <c r="E23" s="53">
        <v>0</v>
      </c>
    </row>
    <row r="24" spans="1:5" ht="15.75">
      <c r="A24" s="15" t="str">
        <f>inputPrYr!$D$6</f>
        <v>City of Kechi</v>
      </c>
      <c r="B24" s="16"/>
      <c r="C24" s="16"/>
      <c r="D24" s="16"/>
      <c r="E24" s="3">
        <v>978</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978</v>
      </c>
    </row>
    <row r="27" spans="1:5" ht="15.75">
      <c r="A27" s="55" t="str">
        <f>CONCATENATE("Personal Property excluding oil, gas, and mobile homes- ",E1-2,":")</f>
        <v>Personal Property excluding oil, gas, and mobile homes- 2010:</v>
      </c>
      <c r="B27" s="10"/>
      <c r="C27" s="10"/>
      <c r="D27" s="10"/>
      <c r="E27" s="34"/>
    </row>
    <row r="28" spans="1:5" ht="15.75">
      <c r="A28" s="13" t="s">
        <v>642</v>
      </c>
      <c r="B28" s="14"/>
      <c r="C28" s="14"/>
      <c r="D28" s="14"/>
      <c r="E28" s="53">
        <v>697741</v>
      </c>
    </row>
    <row r="29" spans="1:5" ht="15.75">
      <c r="A29" s="15" t="str">
        <f>inputPrYr!$D$6</f>
        <v>City of Kechi</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697741</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20" t="s">
        <v>742</v>
      </c>
      <c r="B36" s="621"/>
      <c r="C36" s="30"/>
      <c r="D36" s="37" t="s">
        <v>754</v>
      </c>
      <c r="E36" s="36"/>
    </row>
    <row r="37" spans="1:5" ht="15.75">
      <c r="A37" s="13" t="str">
        <f>inputPrYr!B20</f>
        <v>General</v>
      </c>
      <c r="B37" s="14"/>
      <c r="C37" s="10"/>
      <c r="D37" s="49">
        <v>1.34</v>
      </c>
      <c r="E37" s="36"/>
    </row>
    <row r="38" spans="1:5" ht="15.75">
      <c r="A38" s="13" t="str">
        <f>inputPrYr!B21</f>
        <v>Debt Service</v>
      </c>
      <c r="B38" s="16"/>
      <c r="C38" s="10"/>
      <c r="D38" s="50"/>
      <c r="E38" s="36"/>
    </row>
    <row r="39" spans="1:5" ht="15.75">
      <c r="A39" s="13" t="str">
        <f>inputPrYr!B22</f>
        <v>Road</v>
      </c>
      <c r="B39" s="16"/>
      <c r="C39" s="10"/>
      <c r="D39" s="50">
        <v>9.307</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732</v>
      </c>
      <c r="C48" s="10"/>
      <c r="D48" s="43">
        <f>SUM(D37:D47)</f>
        <v>10.647</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642</v>
      </c>
      <c r="B51" s="14"/>
      <c r="C51" s="14"/>
      <c r="D51" s="14"/>
      <c r="E51" s="4">
        <v>8346997</v>
      </c>
    </row>
    <row r="52" spans="1:5" ht="15.75">
      <c r="A52" s="16" t="str">
        <f>inputPrYr!D6</f>
        <v>City of Kechi</v>
      </c>
      <c r="B52" s="16"/>
      <c r="C52" s="16"/>
      <c r="D52" s="20"/>
      <c r="E52" s="4">
        <v>11376488</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19723485</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634</v>
      </c>
      <c r="B57" s="14"/>
      <c r="C57" s="14"/>
      <c r="D57" s="8"/>
      <c r="E57" s="7"/>
    </row>
    <row r="58" spans="1:5" ht="15.75">
      <c r="A58" s="13" t="s">
        <v>592</v>
      </c>
      <c r="B58" s="14"/>
      <c r="C58" s="14"/>
      <c r="D58" s="39"/>
      <c r="E58" s="2">
        <v>4600</v>
      </c>
    </row>
    <row r="59" spans="1:5" ht="15.75">
      <c r="A59" s="15" t="s">
        <v>733</v>
      </c>
      <c r="B59" s="16"/>
      <c r="C59" s="16"/>
      <c r="D59" s="40"/>
      <c r="E59" s="2">
        <v>87</v>
      </c>
    </row>
    <row r="60" spans="1:5" ht="15.75">
      <c r="A60" s="15" t="s">
        <v>593</v>
      </c>
      <c r="B60" s="16"/>
      <c r="C60" s="16"/>
      <c r="D60" s="40"/>
      <c r="E60" s="2">
        <v>94</v>
      </c>
    </row>
    <row r="61" spans="1:5" ht="15.75">
      <c r="A61" s="45" t="s">
        <v>638</v>
      </c>
      <c r="B61" s="46"/>
      <c r="C61" s="16"/>
      <c r="D61" s="40"/>
      <c r="E61" s="31"/>
    </row>
    <row r="62" spans="1:5" ht="15.75">
      <c r="A62" s="13" t="s">
        <v>635</v>
      </c>
      <c r="B62" s="16"/>
      <c r="C62" s="16"/>
      <c r="D62" s="40"/>
      <c r="E62" s="2"/>
    </row>
    <row r="63" spans="1:5" ht="15.75">
      <c r="A63" s="15" t="s">
        <v>636</v>
      </c>
      <c r="B63" s="16"/>
      <c r="C63" s="16"/>
      <c r="D63" s="40"/>
      <c r="E63" s="2"/>
    </row>
    <row r="64" spans="1:5" ht="15.75">
      <c r="A64" s="15" t="s">
        <v>637</v>
      </c>
      <c r="B64" s="16"/>
      <c r="C64" s="16"/>
      <c r="D64" s="40"/>
      <c r="E64" s="2"/>
    </row>
    <row r="65" spans="1:5" ht="15.75">
      <c r="A65" s="45" t="s">
        <v>639</v>
      </c>
      <c r="B65" s="46"/>
      <c r="C65" s="16"/>
      <c r="D65" s="40"/>
      <c r="E65" s="31"/>
    </row>
    <row r="66" spans="1:5" ht="15.75">
      <c r="A66" s="13" t="s">
        <v>635</v>
      </c>
      <c r="B66" s="16"/>
      <c r="C66" s="16"/>
      <c r="D66" s="40"/>
      <c r="E66" s="2"/>
    </row>
    <row r="67" spans="1:5" ht="15.75">
      <c r="A67" s="15" t="s">
        <v>636</v>
      </c>
      <c r="B67" s="16"/>
      <c r="C67" s="16"/>
      <c r="D67" s="40"/>
      <c r="E67" s="2"/>
    </row>
    <row r="68" spans="1:5" ht="15.75">
      <c r="A68" s="15" t="s">
        <v>637</v>
      </c>
      <c r="B68" s="16"/>
      <c r="C68" s="16"/>
      <c r="D68" s="40"/>
      <c r="E68" s="2"/>
    </row>
    <row r="69" spans="1:5" ht="15.75">
      <c r="A69" s="15"/>
      <c r="B69" s="16"/>
      <c r="C69" s="16"/>
      <c r="D69" s="40"/>
      <c r="E69" s="31"/>
    </row>
    <row r="70" spans="1:5" ht="15.75">
      <c r="A70" s="15" t="s">
        <v>594</v>
      </c>
      <c r="B70" s="16"/>
      <c r="C70" s="16"/>
      <c r="D70" s="40"/>
      <c r="E70" s="2"/>
    </row>
    <row r="71" spans="1:5" ht="15.75">
      <c r="A71" s="15" t="s">
        <v>595</v>
      </c>
      <c r="B71" s="16"/>
      <c r="C71" s="16"/>
      <c r="D71" s="40"/>
      <c r="E71" s="2"/>
    </row>
    <row r="72" spans="1:5" ht="15.75">
      <c r="A72" s="15" t="s">
        <v>536</v>
      </c>
      <c r="B72" s="14"/>
      <c r="C72" s="14"/>
      <c r="D72" s="39"/>
      <c r="E72" s="2">
        <v>60000</v>
      </c>
    </row>
    <row r="73" spans="1:5" ht="33" customHeight="1">
      <c r="A73" s="624" t="s">
        <v>640</v>
      </c>
      <c r="B73" s="625"/>
      <c r="C73" s="625"/>
      <c r="D73" s="625"/>
      <c r="E73" s="625"/>
    </row>
    <row r="74" spans="1:5" ht="15.75">
      <c r="A74" s="5"/>
      <c r="B74" s="5"/>
      <c r="C74" s="5"/>
      <c r="D74" s="5"/>
      <c r="E74" s="5"/>
    </row>
    <row r="75" spans="1:5" ht="15.75">
      <c r="A75" s="12" t="s">
        <v>596</v>
      </c>
      <c r="B75" s="11"/>
      <c r="C75" s="11"/>
      <c r="D75" s="5"/>
      <c r="E75" s="5"/>
    </row>
    <row r="76" spans="1:5" ht="15.75">
      <c r="A76" s="17" t="str">
        <f>CONCATENATE("Actual Delinquency for ",E1-3," Tax (round to three decimal places)")</f>
        <v>Actual Delinquency for 2009 Tax (round to three decimal places)</v>
      </c>
      <c r="B76" s="10"/>
      <c r="C76" s="5"/>
      <c r="D76" s="5"/>
      <c r="E76" s="41">
        <v>2.33</v>
      </c>
    </row>
    <row r="77" spans="1:5" ht="15.75">
      <c r="A77" s="17" t="s">
        <v>641</v>
      </c>
      <c r="B77" s="17"/>
      <c r="C77" s="10"/>
      <c r="D77" s="10"/>
      <c r="E77" s="512"/>
    </row>
    <row r="78" spans="1:5" ht="34.5" customHeight="1">
      <c r="A78" s="616" t="s">
        <v>597</v>
      </c>
      <c r="B78" s="617"/>
      <c r="C78" s="617"/>
      <c r="D78" s="617"/>
      <c r="E78" s="617"/>
    </row>
    <row r="79" spans="1:5" ht="15.75">
      <c r="A79" s="33"/>
      <c r="B79" s="33"/>
      <c r="C79" s="33"/>
      <c r="D79" s="33"/>
      <c r="E79" s="33"/>
    </row>
    <row r="80" spans="1:5" ht="15.75">
      <c r="A80" s="612" t="str">
        <f>CONCATENATE("From the ",E1-2," Budget Certificate Page")</f>
        <v>From the 2010 Budget Certificate Page</v>
      </c>
      <c r="B80" s="613"/>
      <c r="C80" s="33"/>
      <c r="D80" s="33"/>
      <c r="E80" s="33"/>
    </row>
    <row r="81" spans="1:5" ht="15.75">
      <c r="A81" s="58"/>
      <c r="B81" s="58" t="str">
        <f>CONCATENATE("",E1-2," Expenditure Amounts")</f>
        <v>2010 Expenditure Amounts</v>
      </c>
      <c r="C81" s="614" t="str">
        <f>CONCATENATE("Note: If the ",E1-2," budget was amended, then the")</f>
        <v>Note: If the 2010 budget was amended, then the</v>
      </c>
      <c r="D81" s="615"/>
      <c r="E81" s="615"/>
    </row>
    <row r="82" spans="1:5" ht="15.75">
      <c r="A82" s="59" t="s">
        <v>662</v>
      </c>
      <c r="B82" s="59" t="s">
        <v>663</v>
      </c>
      <c r="C82" s="60" t="s">
        <v>664</v>
      </c>
      <c r="D82" s="61"/>
      <c r="E82" s="61"/>
    </row>
    <row r="83" spans="1:5" ht="15.75">
      <c r="A83" s="62" t="str">
        <f>inputPrYr!B20</f>
        <v>General</v>
      </c>
      <c r="B83" s="4">
        <v>32500</v>
      </c>
      <c r="C83" s="60" t="s">
        <v>665</v>
      </c>
      <c r="D83" s="63"/>
      <c r="E83" s="63"/>
    </row>
    <row r="84" spans="1:5" ht="15.75">
      <c r="A84" s="62" t="str">
        <f>inputPrYr!B21</f>
        <v>Debt Service</v>
      </c>
      <c r="B84" s="4"/>
      <c r="C84" s="60"/>
      <c r="D84" s="63"/>
      <c r="E84" s="63"/>
    </row>
    <row r="85" spans="1:5" ht="15.75">
      <c r="A85" s="62" t="str">
        <f>inputPrYr!B22</f>
        <v>Road</v>
      </c>
      <c r="B85" s="4">
        <v>186977</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t="str">
        <f>inputPrYr!B34</f>
        <v>Cemetery</v>
      </c>
      <c r="B94" s="4">
        <v>127840</v>
      </c>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265</v>
      </c>
      <c r="B3" s="398"/>
      <c r="C3" s="398"/>
      <c r="D3" s="398"/>
      <c r="E3" s="398"/>
      <c r="F3" s="398"/>
      <c r="G3" s="398"/>
    </row>
    <row r="4" spans="1:7" ht="15.75">
      <c r="A4" s="398"/>
      <c r="B4" s="398"/>
      <c r="C4" s="398"/>
      <c r="D4" s="398"/>
      <c r="E4" s="398"/>
      <c r="F4" s="398"/>
      <c r="G4" s="398"/>
    </row>
    <row r="5" ht="15.75">
      <c r="A5" s="399" t="s">
        <v>171</v>
      </c>
    </row>
    <row r="6" ht="15.75">
      <c r="A6" s="399" t="str">
        <f>CONCATENATE(inputPrYr!D9," estimated expenditures show that at the end of this year")</f>
        <v>2012 estimated expenditures show that at the end of this year</v>
      </c>
    </row>
    <row r="7" ht="15.75">
      <c r="A7" s="399" t="s">
        <v>266</v>
      </c>
    </row>
    <row r="8" ht="15.75">
      <c r="A8" s="399" t="s">
        <v>267</v>
      </c>
    </row>
    <row r="10" ht="15.75">
      <c r="A10" t="s">
        <v>173</v>
      </c>
    </row>
    <row r="11" ht="15.75">
      <c r="A11" t="s">
        <v>174</v>
      </c>
    </row>
    <row r="12" ht="15.75">
      <c r="A12" t="s">
        <v>175</v>
      </c>
    </row>
    <row r="13" spans="1:7" ht="15.75">
      <c r="A13" s="398"/>
      <c r="B13" s="398"/>
      <c r="C13" s="398"/>
      <c r="D13" s="398"/>
      <c r="E13" s="398"/>
      <c r="F13" s="398"/>
      <c r="G13" s="398"/>
    </row>
    <row r="14" ht="15.75">
      <c r="A14" s="400" t="s">
        <v>268</v>
      </c>
    </row>
    <row r="15" ht="15.75">
      <c r="A15" s="399"/>
    </row>
    <row r="16" ht="15.75">
      <c r="A16" s="399" t="s">
        <v>269</v>
      </c>
    </row>
    <row r="17" ht="15.75">
      <c r="A17" s="399" t="s">
        <v>270</v>
      </c>
    </row>
    <row r="18" ht="15.75">
      <c r="A18" s="399" t="s">
        <v>271</v>
      </c>
    </row>
    <row r="19" ht="15.75">
      <c r="A19" s="399"/>
    </row>
    <row r="20" ht="15.75">
      <c r="A20" s="399" t="s">
        <v>272</v>
      </c>
    </row>
    <row r="21" ht="15.75">
      <c r="A21" s="399" t="s">
        <v>273</v>
      </c>
    </row>
    <row r="22" ht="15.75">
      <c r="A22" s="399" t="s">
        <v>274</v>
      </c>
    </row>
    <row r="23" ht="15.75">
      <c r="A23" s="399" t="s">
        <v>275</v>
      </c>
    </row>
    <row r="24" ht="15.75">
      <c r="A24" s="399"/>
    </row>
    <row r="25" ht="15.75">
      <c r="A25" s="400" t="s">
        <v>237</v>
      </c>
    </row>
    <row r="26" ht="15.75">
      <c r="A26" s="400"/>
    </row>
    <row r="27" ht="15.75">
      <c r="A27" s="399" t="s">
        <v>238</v>
      </c>
    </row>
    <row r="28" spans="1:6" ht="15.75">
      <c r="A28" s="399" t="s">
        <v>239</v>
      </c>
      <c r="B28" s="399"/>
      <c r="C28" s="399"/>
      <c r="D28" s="399"/>
      <c r="E28" s="399"/>
      <c r="F28" s="399"/>
    </row>
    <row r="29" spans="1:6" ht="15.75">
      <c r="A29" s="399" t="s">
        <v>240</v>
      </c>
      <c r="B29" s="399"/>
      <c r="C29" s="399"/>
      <c r="D29" s="399"/>
      <c r="E29" s="399"/>
      <c r="F29" s="399"/>
    </row>
    <row r="30" spans="1:6" ht="15.75">
      <c r="A30" s="399" t="s">
        <v>241</v>
      </c>
      <c r="B30" s="399"/>
      <c r="C30" s="399"/>
      <c r="D30" s="399"/>
      <c r="E30" s="399"/>
      <c r="F30" s="399"/>
    </row>
    <row r="31" ht="15.75">
      <c r="A31" s="399"/>
    </row>
    <row r="32" spans="1:7" ht="15.75">
      <c r="A32" s="400" t="s">
        <v>242</v>
      </c>
      <c r="B32" s="400"/>
      <c r="C32" s="400"/>
      <c r="D32" s="400"/>
      <c r="E32" s="400"/>
      <c r="F32" s="400"/>
      <c r="G32" s="400"/>
    </row>
    <row r="33" spans="1:7" ht="15.75">
      <c r="A33" s="400" t="s">
        <v>243</v>
      </c>
      <c r="B33" s="400"/>
      <c r="C33" s="400"/>
      <c r="D33" s="400"/>
      <c r="E33" s="400"/>
      <c r="F33" s="400"/>
      <c r="G33" s="400"/>
    </row>
    <row r="34" spans="1:7" ht="15.75">
      <c r="A34" s="400"/>
      <c r="B34" s="400"/>
      <c r="C34" s="400"/>
      <c r="D34" s="400"/>
      <c r="E34" s="400"/>
      <c r="F34" s="400"/>
      <c r="G34" s="400"/>
    </row>
    <row r="35" spans="1:7" ht="15.75">
      <c r="A35" s="399" t="s">
        <v>276</v>
      </c>
      <c r="B35" s="399"/>
      <c r="C35" s="399"/>
      <c r="D35" s="399"/>
      <c r="E35" s="399"/>
      <c r="F35" s="399"/>
      <c r="G35" s="399"/>
    </row>
    <row r="36" spans="1:7" ht="15.75">
      <c r="A36" s="399" t="s">
        <v>277</v>
      </c>
      <c r="B36" s="399"/>
      <c r="C36" s="399"/>
      <c r="D36" s="399"/>
      <c r="E36" s="399"/>
      <c r="F36" s="399"/>
      <c r="G36" s="399"/>
    </row>
    <row r="37" spans="1:7" ht="15.75">
      <c r="A37" s="399" t="s">
        <v>278</v>
      </c>
      <c r="B37" s="399"/>
      <c r="C37" s="399"/>
      <c r="D37" s="399"/>
      <c r="E37" s="399"/>
      <c r="F37" s="399"/>
      <c r="G37" s="399"/>
    </row>
    <row r="38" spans="1:7" ht="15.75">
      <c r="A38" s="399" t="s">
        <v>279</v>
      </c>
      <c r="B38" s="399"/>
      <c r="C38" s="399"/>
      <c r="D38" s="399"/>
      <c r="E38" s="399"/>
      <c r="F38" s="399"/>
      <c r="G38" s="399"/>
    </row>
    <row r="39" spans="1:7" ht="15.75">
      <c r="A39" s="399" t="s">
        <v>280</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244</v>
      </c>
      <c r="B42" s="399"/>
      <c r="C42" s="399"/>
      <c r="D42" s="399"/>
      <c r="E42" s="399"/>
      <c r="F42" s="399"/>
    </row>
    <row r="43" spans="1:6" ht="15.75">
      <c r="A43" s="403" t="s">
        <v>128</v>
      </c>
      <c r="B43" s="399"/>
      <c r="C43" s="399"/>
      <c r="D43" s="399"/>
      <c r="E43" s="399"/>
      <c r="F43" s="399"/>
    </row>
    <row r="44" spans="1:6" ht="15.75">
      <c r="A44" s="403" t="s">
        <v>129</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130</v>
      </c>
      <c r="B47" s="399"/>
      <c r="C47" s="399"/>
      <c r="D47" s="399"/>
      <c r="E47" s="399"/>
      <c r="F47" s="399"/>
    </row>
    <row r="48" spans="1:6" ht="15.75">
      <c r="A48" s="403" t="s">
        <v>131</v>
      </c>
      <c r="B48" s="399"/>
      <c r="C48" s="399"/>
      <c r="D48" s="399"/>
      <c r="E48" s="399"/>
      <c r="F48" s="399"/>
    </row>
    <row r="49" spans="1:7" ht="15.75">
      <c r="A49" s="399"/>
      <c r="B49" s="399"/>
      <c r="C49" s="399"/>
      <c r="D49" s="399"/>
      <c r="E49" s="399"/>
      <c r="F49" s="399"/>
      <c r="G49" s="399"/>
    </row>
    <row r="50" spans="1:7" ht="15.75">
      <c r="A50" s="399" t="s">
        <v>198</v>
      </c>
      <c r="B50" s="399"/>
      <c r="C50" s="399"/>
      <c r="D50" s="399"/>
      <c r="E50" s="399"/>
      <c r="F50" s="399"/>
      <c r="G50" s="399"/>
    </row>
    <row r="51" spans="1:7" ht="15.75">
      <c r="A51" s="399" t="s">
        <v>199</v>
      </c>
      <c r="B51" s="399"/>
      <c r="C51" s="399"/>
      <c r="D51" s="399"/>
      <c r="E51" s="399"/>
      <c r="F51" s="399"/>
      <c r="G51" s="399"/>
    </row>
    <row r="52" spans="1:7" ht="15.75">
      <c r="A52" s="399" t="s">
        <v>200</v>
      </c>
      <c r="B52" s="399"/>
      <c r="C52" s="399"/>
      <c r="D52" s="399"/>
      <c r="E52" s="399"/>
      <c r="F52" s="399"/>
      <c r="G52" s="399"/>
    </row>
    <row r="53" spans="1:7" ht="15.75">
      <c r="A53" s="399" t="s">
        <v>201</v>
      </c>
      <c r="B53" s="399"/>
      <c r="C53" s="399"/>
      <c r="D53" s="399"/>
      <c r="E53" s="399"/>
      <c r="F53" s="399"/>
      <c r="G53" s="399"/>
    </row>
    <row r="54" spans="1:7" ht="15.75">
      <c r="A54" s="399" t="s">
        <v>202</v>
      </c>
      <c r="B54" s="399"/>
      <c r="C54" s="399"/>
      <c r="D54" s="399"/>
      <c r="E54" s="399"/>
      <c r="F54" s="399"/>
      <c r="G54" s="399"/>
    </row>
    <row r="55" spans="1:7" ht="15.75">
      <c r="A55" s="399"/>
      <c r="B55" s="399"/>
      <c r="C55" s="399"/>
      <c r="D55" s="399"/>
      <c r="E55" s="399"/>
      <c r="F55" s="399"/>
      <c r="G55" s="399"/>
    </row>
    <row r="56" spans="1:6" ht="15.75">
      <c r="A56" s="403" t="s">
        <v>140</v>
      </c>
      <c r="B56" s="399"/>
      <c r="C56" s="399"/>
      <c r="D56" s="399"/>
      <c r="E56" s="399"/>
      <c r="F56" s="399"/>
    </row>
    <row r="57" spans="1:6" ht="15.75">
      <c r="A57" s="403" t="s">
        <v>141</v>
      </c>
      <c r="B57" s="399"/>
      <c r="C57" s="399"/>
      <c r="D57" s="399"/>
      <c r="E57" s="399"/>
      <c r="F57" s="399"/>
    </row>
    <row r="58" spans="1:6" ht="15.75">
      <c r="A58" s="403" t="s">
        <v>142</v>
      </c>
      <c r="B58" s="399"/>
      <c r="C58" s="399"/>
      <c r="D58" s="399"/>
      <c r="E58" s="399"/>
      <c r="F58" s="399"/>
    </row>
    <row r="59" spans="1:6" ht="15.75">
      <c r="A59" s="403"/>
      <c r="B59" s="399"/>
      <c r="C59" s="399"/>
      <c r="D59" s="399"/>
      <c r="E59" s="399"/>
      <c r="F59" s="399"/>
    </row>
    <row r="60" spans="1:7" ht="15.75">
      <c r="A60" s="399" t="s">
        <v>281</v>
      </c>
      <c r="B60" s="399"/>
      <c r="C60" s="399"/>
      <c r="D60" s="399"/>
      <c r="E60" s="399"/>
      <c r="F60" s="399"/>
      <c r="G60" s="399"/>
    </row>
    <row r="61" spans="1:7" ht="15.75">
      <c r="A61" s="399" t="s">
        <v>282</v>
      </c>
      <c r="B61" s="399"/>
      <c r="C61" s="399"/>
      <c r="D61" s="399"/>
      <c r="E61" s="399"/>
      <c r="F61" s="399"/>
      <c r="G61" s="399"/>
    </row>
    <row r="62" spans="1:7" ht="15.75">
      <c r="A62" s="399" t="s">
        <v>283</v>
      </c>
      <c r="B62" s="399"/>
      <c r="C62" s="399"/>
      <c r="D62" s="399"/>
      <c r="E62" s="399"/>
      <c r="F62" s="399"/>
      <c r="G62" s="399"/>
    </row>
    <row r="63" spans="1:7" ht="15.75">
      <c r="A63" s="399" t="s">
        <v>284</v>
      </c>
      <c r="B63" s="399"/>
      <c r="C63" s="399"/>
      <c r="D63" s="399"/>
      <c r="E63" s="399"/>
      <c r="F63" s="399"/>
      <c r="G63" s="399"/>
    </row>
    <row r="64" spans="1:7" ht="15.75">
      <c r="A64" s="399" t="s">
        <v>285</v>
      </c>
      <c r="B64" s="399"/>
      <c r="C64" s="399"/>
      <c r="D64" s="399"/>
      <c r="E64" s="399"/>
      <c r="F64" s="399"/>
      <c r="G64" s="399"/>
    </row>
    <row r="66" spans="1:6" ht="15.75">
      <c r="A66" s="403" t="s">
        <v>248</v>
      </c>
      <c r="B66" s="399"/>
      <c r="C66" s="399"/>
      <c r="D66" s="399"/>
      <c r="E66" s="399"/>
      <c r="F66" s="399"/>
    </row>
    <row r="67" spans="1:6" ht="15.75">
      <c r="A67" s="403" t="s">
        <v>249</v>
      </c>
      <c r="B67" s="399"/>
      <c r="C67" s="399"/>
      <c r="D67" s="399"/>
      <c r="E67" s="399"/>
      <c r="F67" s="399"/>
    </row>
    <row r="68" spans="1:6" ht="15.75">
      <c r="A68" s="403" t="s">
        <v>250</v>
      </c>
      <c r="B68" s="399"/>
      <c r="C68" s="399"/>
      <c r="D68" s="399"/>
      <c r="E68" s="399"/>
      <c r="F68" s="399"/>
    </row>
    <row r="69" spans="1:6" ht="15.75">
      <c r="A69" s="403" t="s">
        <v>251</v>
      </c>
      <c r="B69" s="399"/>
      <c r="C69" s="399"/>
      <c r="D69" s="399"/>
      <c r="E69" s="399"/>
      <c r="F69" s="399"/>
    </row>
    <row r="70" spans="1:6" ht="15.75">
      <c r="A70" s="403" t="s">
        <v>252</v>
      </c>
      <c r="B70" s="399"/>
      <c r="C70" s="399"/>
      <c r="D70" s="399"/>
      <c r="E70" s="399"/>
      <c r="F70" s="399"/>
    </row>
    <row r="71" ht="15.75">
      <c r="A71" s="399"/>
    </row>
    <row r="72" ht="15.75">
      <c r="A72" s="399" t="s">
        <v>169</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286</v>
      </c>
      <c r="B3" s="398"/>
      <c r="C3" s="398"/>
      <c r="D3" s="398"/>
      <c r="E3" s="398"/>
      <c r="F3" s="398"/>
      <c r="G3" s="398"/>
    </row>
    <row r="4" spans="1:7" ht="15.75">
      <c r="A4" s="398" t="s">
        <v>287</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467</v>
      </c>
    </row>
    <row r="8" ht="15.75">
      <c r="A8" s="399" t="str">
        <f>CONCATENATE("estimated ",inputPrYr!D9," 'total expenditures' exceed your ",inputPrYr!D9,"")</f>
        <v>estimated 2012 'total expenditures' exceed your 2012</v>
      </c>
    </row>
    <row r="9" ht="15.75">
      <c r="A9" s="402" t="s">
        <v>288</v>
      </c>
    </row>
    <row r="10" ht="15.75">
      <c r="A10" s="399"/>
    </row>
    <row r="11" ht="15.75">
      <c r="A11" s="399" t="s">
        <v>289</v>
      </c>
    </row>
    <row r="12" ht="15.75">
      <c r="A12" s="399" t="s">
        <v>290</v>
      </c>
    </row>
    <row r="13" ht="15.75">
      <c r="A13" s="399" t="s">
        <v>291</v>
      </c>
    </row>
    <row r="14" ht="15.75">
      <c r="A14" s="399"/>
    </row>
    <row r="15" ht="15.75">
      <c r="A15" s="400" t="s">
        <v>292</v>
      </c>
    </row>
    <row r="16" spans="1:7" ht="15.75">
      <c r="A16" s="398"/>
      <c r="B16" s="398"/>
      <c r="C16" s="398"/>
      <c r="D16" s="398"/>
      <c r="E16" s="398"/>
      <c r="F16" s="398"/>
      <c r="G16" s="398"/>
    </row>
    <row r="17" spans="1:8" ht="15.75">
      <c r="A17" s="405" t="s">
        <v>293</v>
      </c>
      <c r="B17" s="397"/>
      <c r="C17" s="397"/>
      <c r="D17" s="397"/>
      <c r="E17" s="397"/>
      <c r="F17" s="397"/>
      <c r="G17" s="397"/>
      <c r="H17" s="397"/>
    </row>
    <row r="18" spans="1:7" ht="15.75">
      <c r="A18" s="399" t="s">
        <v>294</v>
      </c>
      <c r="B18" s="406"/>
      <c r="C18" s="406"/>
      <c r="D18" s="406"/>
      <c r="E18" s="406"/>
      <c r="F18" s="406"/>
      <c r="G18" s="406"/>
    </row>
    <row r="19" ht="15.75">
      <c r="A19" s="399" t="s">
        <v>295</v>
      </c>
    </row>
    <row r="20" ht="15.75">
      <c r="A20" s="399" t="s">
        <v>296</v>
      </c>
    </row>
    <row r="22" ht="15.75">
      <c r="A22" s="400" t="s">
        <v>297</v>
      </c>
    </row>
    <row r="24" ht="15.75">
      <c r="A24" s="399" t="s">
        <v>298</v>
      </c>
    </row>
    <row r="25" ht="15.75">
      <c r="A25" s="399" t="s">
        <v>299</v>
      </c>
    </row>
    <row r="26" ht="15.75">
      <c r="A26" s="399" t="s">
        <v>300</v>
      </c>
    </row>
    <row r="28" ht="15.75">
      <c r="A28" s="400" t="s">
        <v>301</v>
      </c>
    </row>
    <row r="30" ht="15.75">
      <c r="A30" t="s">
        <v>302</v>
      </c>
    </row>
    <row r="31" ht="15.75">
      <c r="A31" t="s">
        <v>303</v>
      </c>
    </row>
    <row r="32" ht="15.75">
      <c r="A32" t="s">
        <v>304</v>
      </c>
    </row>
    <row r="33" ht="15.75">
      <c r="A33" s="399" t="s">
        <v>305</v>
      </c>
    </row>
    <row r="35" ht="15.75">
      <c r="A35" t="s">
        <v>306</v>
      </c>
    </row>
    <row r="36" ht="15.75">
      <c r="A36" t="s">
        <v>307</v>
      </c>
    </row>
    <row r="37" ht="15.75">
      <c r="A37" t="s">
        <v>308</v>
      </c>
    </row>
    <row r="38" ht="15.75">
      <c r="A38" t="s">
        <v>309</v>
      </c>
    </row>
    <row r="40" ht="15.75">
      <c r="A40" t="s">
        <v>310</v>
      </c>
    </row>
    <row r="41" ht="15.75">
      <c r="A41" t="s">
        <v>311</v>
      </c>
    </row>
    <row r="42" ht="15.75">
      <c r="A42" t="s">
        <v>312</v>
      </c>
    </row>
    <row r="43" ht="15.75">
      <c r="A43" t="s">
        <v>313</v>
      </c>
    </row>
    <row r="44" ht="15.75">
      <c r="A44" t="s">
        <v>314</v>
      </c>
    </row>
    <row r="45" ht="15.75">
      <c r="A45" t="s">
        <v>315</v>
      </c>
    </row>
    <row r="47" ht="15.75">
      <c r="A47" t="s">
        <v>316</v>
      </c>
    </row>
    <row r="48" ht="15.75">
      <c r="A48" t="s">
        <v>317</v>
      </c>
    </row>
    <row r="49" ht="15.75">
      <c r="A49" s="399" t="s">
        <v>318</v>
      </c>
    </row>
    <row r="50" ht="15.75">
      <c r="A50" s="399" t="s">
        <v>319</v>
      </c>
    </row>
    <row r="52" ht="15.75">
      <c r="A52" t="s">
        <v>169</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3" t="s">
        <v>363</v>
      </c>
      <c r="C6" s="704"/>
      <c r="D6" s="704"/>
      <c r="E6" s="704"/>
      <c r="F6" s="704"/>
      <c r="G6" s="704"/>
      <c r="H6" s="704"/>
      <c r="I6" s="704"/>
      <c r="J6" s="704"/>
      <c r="K6" s="704"/>
      <c r="L6" s="425"/>
    </row>
    <row r="7" spans="1:12" ht="40.5" customHeight="1">
      <c r="A7" s="423"/>
      <c r="B7" s="705" t="s">
        <v>364</v>
      </c>
      <c r="C7" s="706"/>
      <c r="D7" s="706"/>
      <c r="E7" s="706"/>
      <c r="F7" s="706"/>
      <c r="G7" s="706"/>
      <c r="H7" s="706"/>
      <c r="I7" s="706"/>
      <c r="J7" s="706"/>
      <c r="K7" s="706"/>
      <c r="L7" s="423"/>
    </row>
    <row r="8" spans="1:12" ht="14.25">
      <c r="A8" s="423"/>
      <c r="B8" s="707" t="s">
        <v>365</v>
      </c>
      <c r="C8" s="707"/>
      <c r="D8" s="707"/>
      <c r="E8" s="707"/>
      <c r="F8" s="707"/>
      <c r="G8" s="707"/>
      <c r="H8" s="707"/>
      <c r="I8" s="707"/>
      <c r="J8" s="707"/>
      <c r="K8" s="707"/>
      <c r="L8" s="423"/>
    </row>
    <row r="9" spans="1:12" ht="14.25">
      <c r="A9" s="423"/>
      <c r="L9" s="423"/>
    </row>
    <row r="10" spans="1:12" ht="14.25">
      <c r="A10" s="423"/>
      <c r="B10" s="707" t="s">
        <v>366</v>
      </c>
      <c r="C10" s="707"/>
      <c r="D10" s="707"/>
      <c r="E10" s="707"/>
      <c r="F10" s="707"/>
      <c r="G10" s="707"/>
      <c r="H10" s="707"/>
      <c r="I10" s="707"/>
      <c r="J10" s="707"/>
      <c r="K10" s="707"/>
      <c r="L10" s="423"/>
    </row>
    <row r="11" spans="1:12" ht="14.25">
      <c r="A11" s="423"/>
      <c r="B11" s="426"/>
      <c r="C11" s="426"/>
      <c r="D11" s="426"/>
      <c r="E11" s="426"/>
      <c r="F11" s="426"/>
      <c r="G11" s="426"/>
      <c r="H11" s="426"/>
      <c r="I11" s="426"/>
      <c r="J11" s="426"/>
      <c r="K11" s="426"/>
      <c r="L11" s="423"/>
    </row>
    <row r="12" spans="1:12" ht="32.25" customHeight="1">
      <c r="A12" s="423"/>
      <c r="B12" s="708" t="s">
        <v>367</v>
      </c>
      <c r="C12" s="708"/>
      <c r="D12" s="708"/>
      <c r="E12" s="708"/>
      <c r="F12" s="708"/>
      <c r="G12" s="708"/>
      <c r="H12" s="708"/>
      <c r="I12" s="708"/>
      <c r="J12" s="708"/>
      <c r="K12" s="708"/>
      <c r="L12" s="423"/>
    </row>
    <row r="13" spans="1:12" ht="14.25">
      <c r="A13" s="423"/>
      <c r="L13" s="423"/>
    </row>
    <row r="14" spans="1:12" ht="14.25">
      <c r="A14" s="423"/>
      <c r="B14" s="427" t="s">
        <v>368</v>
      </c>
      <c r="L14" s="423"/>
    </row>
    <row r="15" spans="1:12" ht="14.25">
      <c r="A15" s="423"/>
      <c r="L15" s="423"/>
    </row>
    <row r="16" spans="1:12" ht="14.25">
      <c r="A16" s="423"/>
      <c r="B16" s="424" t="s">
        <v>369</v>
      </c>
      <c r="L16" s="423"/>
    </row>
    <row r="17" spans="1:12" ht="14.25">
      <c r="A17" s="423"/>
      <c r="B17" s="424" t="s">
        <v>370</v>
      </c>
      <c r="L17" s="423"/>
    </row>
    <row r="18" spans="1:12" ht="14.25">
      <c r="A18" s="423"/>
      <c r="L18" s="423"/>
    </row>
    <row r="19" spans="1:12" ht="14.25">
      <c r="A19" s="423"/>
      <c r="B19" s="427" t="s">
        <v>371</v>
      </c>
      <c r="L19" s="423"/>
    </row>
    <row r="20" spans="1:12" ht="14.25">
      <c r="A20" s="423"/>
      <c r="B20" s="427"/>
      <c r="L20" s="423"/>
    </row>
    <row r="21" spans="1:12" ht="14.25">
      <c r="A21" s="423"/>
      <c r="B21" s="424" t="s">
        <v>372</v>
      </c>
      <c r="L21" s="423"/>
    </row>
    <row r="22" spans="1:12" ht="14.25">
      <c r="A22" s="423"/>
      <c r="L22" s="423"/>
    </row>
    <row r="23" spans="1:12" ht="14.25">
      <c r="A23" s="423"/>
      <c r="B23" s="424" t="s">
        <v>373</v>
      </c>
      <c r="E23" s="424" t="s">
        <v>374</v>
      </c>
      <c r="F23" s="702">
        <v>133685008</v>
      </c>
      <c r="G23" s="702"/>
      <c r="L23" s="423"/>
    </row>
    <row r="24" spans="1:12" ht="14.25">
      <c r="A24" s="423"/>
      <c r="L24" s="423"/>
    </row>
    <row r="25" spans="1:12" ht="14.25">
      <c r="A25" s="423"/>
      <c r="C25" s="710">
        <f>F23</f>
        <v>133685008</v>
      </c>
      <c r="D25" s="710"/>
      <c r="E25" s="424" t="s">
        <v>375</v>
      </c>
      <c r="F25" s="428">
        <v>1000</v>
      </c>
      <c r="G25" s="428" t="s">
        <v>374</v>
      </c>
      <c r="H25" s="429">
        <f>F23/F25</f>
        <v>133685.008</v>
      </c>
      <c r="L25" s="423"/>
    </row>
    <row r="26" spans="1:12" ht="15" thickBot="1">
      <c r="A26" s="423"/>
      <c r="L26" s="423"/>
    </row>
    <row r="27" spans="1:12" ht="14.25">
      <c r="A27" s="423"/>
      <c r="B27" s="430" t="s">
        <v>368</v>
      </c>
      <c r="C27" s="431"/>
      <c r="D27" s="431"/>
      <c r="E27" s="431"/>
      <c r="F27" s="431"/>
      <c r="G27" s="431"/>
      <c r="H27" s="431"/>
      <c r="I27" s="431"/>
      <c r="J27" s="431"/>
      <c r="K27" s="432"/>
      <c r="L27" s="423"/>
    </row>
    <row r="28" spans="1:12" ht="14.25">
      <c r="A28" s="423"/>
      <c r="B28" s="433">
        <f>F23</f>
        <v>133685008</v>
      </c>
      <c r="C28" s="434" t="s">
        <v>376</v>
      </c>
      <c r="D28" s="434"/>
      <c r="E28" s="434" t="s">
        <v>375</v>
      </c>
      <c r="F28" s="435">
        <v>1000</v>
      </c>
      <c r="G28" s="435" t="s">
        <v>374</v>
      </c>
      <c r="H28" s="436">
        <f>B28/F28</f>
        <v>133685.008</v>
      </c>
      <c r="I28" s="434" t="s">
        <v>377</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09" t="s">
        <v>364</v>
      </c>
      <c r="C30" s="709"/>
      <c r="D30" s="709"/>
      <c r="E30" s="709"/>
      <c r="F30" s="709"/>
      <c r="G30" s="709"/>
      <c r="H30" s="709"/>
      <c r="I30" s="709"/>
      <c r="J30" s="709"/>
      <c r="K30" s="709"/>
      <c r="L30" s="423"/>
    </row>
    <row r="31" spans="1:12" ht="14.25">
      <c r="A31" s="423"/>
      <c r="B31" s="707" t="s">
        <v>378</v>
      </c>
      <c r="C31" s="707"/>
      <c r="D31" s="707"/>
      <c r="E31" s="707"/>
      <c r="F31" s="707"/>
      <c r="G31" s="707"/>
      <c r="H31" s="707"/>
      <c r="I31" s="707"/>
      <c r="J31" s="707"/>
      <c r="K31" s="707"/>
      <c r="L31" s="423"/>
    </row>
    <row r="32" spans="1:12" ht="14.25">
      <c r="A32" s="423"/>
      <c r="L32" s="423"/>
    </row>
    <row r="33" spans="1:12" ht="14.25">
      <c r="A33" s="423"/>
      <c r="B33" s="707" t="s">
        <v>379</v>
      </c>
      <c r="C33" s="707"/>
      <c r="D33" s="707"/>
      <c r="E33" s="707"/>
      <c r="F33" s="707"/>
      <c r="G33" s="707"/>
      <c r="H33" s="707"/>
      <c r="I33" s="707"/>
      <c r="J33" s="707"/>
      <c r="K33" s="707"/>
      <c r="L33" s="423"/>
    </row>
    <row r="34" spans="1:12" ht="14.25">
      <c r="A34" s="423"/>
      <c r="L34" s="423"/>
    </row>
    <row r="35" spans="1:12" ht="89.25" customHeight="1">
      <c r="A35" s="423"/>
      <c r="B35" s="708" t="s">
        <v>380</v>
      </c>
      <c r="C35" s="711"/>
      <c r="D35" s="711"/>
      <c r="E35" s="711"/>
      <c r="F35" s="711"/>
      <c r="G35" s="711"/>
      <c r="H35" s="711"/>
      <c r="I35" s="711"/>
      <c r="J35" s="711"/>
      <c r="K35" s="711"/>
      <c r="L35" s="423"/>
    </row>
    <row r="36" spans="1:12" ht="14.25">
      <c r="A36" s="423"/>
      <c r="L36" s="423"/>
    </row>
    <row r="37" spans="1:12" ht="14.25">
      <c r="A37" s="423"/>
      <c r="B37" s="427" t="s">
        <v>381</v>
      </c>
      <c r="L37" s="423"/>
    </row>
    <row r="38" spans="1:12" ht="14.25">
      <c r="A38" s="423"/>
      <c r="L38" s="423"/>
    </row>
    <row r="39" spans="1:12" ht="14.25">
      <c r="A39" s="423"/>
      <c r="B39" s="424" t="s">
        <v>382</v>
      </c>
      <c r="L39" s="423"/>
    </row>
    <row r="40" spans="1:12" ht="14.25">
      <c r="A40" s="423"/>
      <c r="L40" s="423"/>
    </row>
    <row r="41" spans="1:12" ht="14.25">
      <c r="A41" s="423"/>
      <c r="C41" s="712">
        <v>3120000</v>
      </c>
      <c r="D41" s="712"/>
      <c r="E41" s="424" t="s">
        <v>375</v>
      </c>
      <c r="F41" s="428">
        <v>1000</v>
      </c>
      <c r="G41" s="428" t="s">
        <v>374</v>
      </c>
      <c r="H41" s="441">
        <f>C41/F41</f>
        <v>3120</v>
      </c>
      <c r="L41" s="423"/>
    </row>
    <row r="42" spans="1:12" ht="14.25">
      <c r="A42" s="423"/>
      <c r="L42" s="423"/>
    </row>
    <row r="43" spans="1:12" ht="14.25">
      <c r="A43" s="423"/>
      <c r="B43" s="424" t="s">
        <v>383</v>
      </c>
      <c r="L43" s="423"/>
    </row>
    <row r="44" spans="1:12" ht="14.25">
      <c r="A44" s="423"/>
      <c r="L44" s="423"/>
    </row>
    <row r="45" spans="1:12" ht="14.25">
      <c r="A45" s="423"/>
      <c r="B45" s="424" t="s">
        <v>384</v>
      </c>
      <c r="L45" s="423"/>
    </row>
    <row r="46" spans="1:12" ht="15" thickBot="1">
      <c r="A46" s="423"/>
      <c r="L46" s="423"/>
    </row>
    <row r="47" spans="1:12" ht="14.25">
      <c r="A47" s="423"/>
      <c r="B47" s="442" t="s">
        <v>368</v>
      </c>
      <c r="C47" s="431"/>
      <c r="D47" s="431"/>
      <c r="E47" s="431"/>
      <c r="F47" s="431"/>
      <c r="G47" s="431"/>
      <c r="H47" s="431"/>
      <c r="I47" s="431"/>
      <c r="J47" s="431"/>
      <c r="K47" s="432"/>
      <c r="L47" s="423"/>
    </row>
    <row r="48" spans="1:12" ht="14.25">
      <c r="A48" s="423"/>
      <c r="B48" s="702">
        <v>133685008</v>
      </c>
      <c r="C48" s="702"/>
      <c r="D48" s="434" t="s">
        <v>385</v>
      </c>
      <c r="E48" s="434" t="s">
        <v>375</v>
      </c>
      <c r="F48" s="435">
        <v>1000</v>
      </c>
      <c r="G48" s="435" t="s">
        <v>374</v>
      </c>
      <c r="H48" s="436">
        <f>B48/F48</f>
        <v>133685.008</v>
      </c>
      <c r="I48" s="434" t="s">
        <v>386</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387</v>
      </c>
      <c r="D50" s="434"/>
      <c r="E50" s="434" t="s">
        <v>375</v>
      </c>
      <c r="F50" s="436">
        <f>H48</f>
        <v>133685.008</v>
      </c>
      <c r="G50" s="713" t="s">
        <v>388</v>
      </c>
      <c r="H50" s="714"/>
      <c r="I50" s="435" t="s">
        <v>374</v>
      </c>
      <c r="J50" s="445">
        <f>B50/F50</f>
        <v>52.8690023342034</v>
      </c>
      <c r="K50" s="437"/>
      <c r="L50" s="423"/>
    </row>
    <row r="51" spans="1:15" ht="15" thickBot="1">
      <c r="A51" s="423"/>
      <c r="B51" s="438"/>
      <c r="C51" s="439"/>
      <c r="D51" s="439"/>
      <c r="E51" s="439"/>
      <c r="F51" s="439"/>
      <c r="G51" s="439"/>
      <c r="H51" s="439"/>
      <c r="I51" s="700" t="s">
        <v>389</v>
      </c>
      <c r="J51" s="700"/>
      <c r="K51" s="701"/>
      <c r="L51" s="423"/>
      <c r="O51" s="446"/>
    </row>
    <row r="52" spans="1:12" ht="40.5" customHeight="1">
      <c r="A52" s="423"/>
      <c r="B52" s="709" t="s">
        <v>364</v>
      </c>
      <c r="C52" s="709"/>
      <c r="D52" s="709"/>
      <c r="E52" s="709"/>
      <c r="F52" s="709"/>
      <c r="G52" s="709"/>
      <c r="H52" s="709"/>
      <c r="I52" s="709"/>
      <c r="J52" s="709"/>
      <c r="K52" s="709"/>
      <c r="L52" s="423"/>
    </row>
    <row r="53" spans="1:12" ht="14.25">
      <c r="A53" s="423"/>
      <c r="B53" s="707" t="s">
        <v>390</v>
      </c>
      <c r="C53" s="707"/>
      <c r="D53" s="707"/>
      <c r="E53" s="707"/>
      <c r="F53" s="707"/>
      <c r="G53" s="707"/>
      <c r="H53" s="707"/>
      <c r="I53" s="707"/>
      <c r="J53" s="707"/>
      <c r="K53" s="707"/>
      <c r="L53" s="423"/>
    </row>
    <row r="54" spans="1:12" ht="14.25">
      <c r="A54" s="423"/>
      <c r="B54" s="426"/>
      <c r="C54" s="426"/>
      <c r="D54" s="426"/>
      <c r="E54" s="426"/>
      <c r="F54" s="426"/>
      <c r="G54" s="426"/>
      <c r="H54" s="426"/>
      <c r="I54" s="426"/>
      <c r="J54" s="426"/>
      <c r="K54" s="426"/>
      <c r="L54" s="423"/>
    </row>
    <row r="55" spans="1:12" ht="14.25">
      <c r="A55" s="423"/>
      <c r="B55" s="703" t="s">
        <v>391</v>
      </c>
      <c r="C55" s="703"/>
      <c r="D55" s="703"/>
      <c r="E55" s="703"/>
      <c r="F55" s="703"/>
      <c r="G55" s="703"/>
      <c r="H55" s="703"/>
      <c r="I55" s="703"/>
      <c r="J55" s="703"/>
      <c r="K55" s="703"/>
      <c r="L55" s="423"/>
    </row>
    <row r="56" spans="1:12" ht="15" customHeight="1">
      <c r="A56" s="423"/>
      <c r="L56" s="423"/>
    </row>
    <row r="57" spans="1:24" ht="74.25" customHeight="1">
      <c r="A57" s="423"/>
      <c r="B57" s="708" t="s">
        <v>392</v>
      </c>
      <c r="C57" s="711"/>
      <c r="D57" s="711"/>
      <c r="E57" s="711"/>
      <c r="F57" s="711"/>
      <c r="G57" s="711"/>
      <c r="H57" s="711"/>
      <c r="I57" s="711"/>
      <c r="J57" s="711"/>
      <c r="K57" s="711"/>
      <c r="L57" s="423"/>
      <c r="M57" s="447"/>
      <c r="N57" s="448"/>
      <c r="O57" s="448"/>
      <c r="P57" s="448"/>
      <c r="Q57" s="448"/>
      <c r="R57" s="448"/>
      <c r="S57" s="448"/>
      <c r="T57" s="448"/>
      <c r="U57" s="448"/>
      <c r="V57" s="448"/>
      <c r="W57" s="448"/>
      <c r="X57" s="448"/>
    </row>
    <row r="58" spans="1:24" ht="15" customHeight="1">
      <c r="A58" s="423"/>
      <c r="B58" s="708"/>
      <c r="C58" s="711"/>
      <c r="D58" s="711"/>
      <c r="E58" s="711"/>
      <c r="F58" s="711"/>
      <c r="G58" s="711"/>
      <c r="H58" s="711"/>
      <c r="I58" s="711"/>
      <c r="J58" s="711"/>
      <c r="K58" s="711"/>
      <c r="L58" s="423"/>
      <c r="M58" s="447"/>
      <c r="N58" s="448"/>
      <c r="O58" s="448"/>
      <c r="P58" s="448"/>
      <c r="Q58" s="448"/>
      <c r="R58" s="448"/>
      <c r="S58" s="448"/>
      <c r="T58" s="448"/>
      <c r="U58" s="448"/>
      <c r="V58" s="448"/>
      <c r="W58" s="448"/>
      <c r="X58" s="448"/>
    </row>
    <row r="59" spans="1:24" ht="14.25">
      <c r="A59" s="423"/>
      <c r="B59" s="427" t="s">
        <v>381</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393</v>
      </c>
      <c r="L61" s="423"/>
      <c r="M61" s="448"/>
      <c r="N61" s="448"/>
      <c r="O61" s="448"/>
      <c r="P61" s="448"/>
      <c r="Q61" s="448"/>
      <c r="R61" s="448"/>
      <c r="S61" s="448"/>
      <c r="T61" s="448"/>
      <c r="U61" s="448"/>
      <c r="V61" s="448"/>
      <c r="W61" s="448"/>
      <c r="X61" s="448"/>
    </row>
    <row r="62" spans="1:24" ht="14.25">
      <c r="A62" s="423"/>
      <c r="B62" s="424" t="s">
        <v>394</v>
      </c>
      <c r="L62" s="423"/>
      <c r="M62" s="448"/>
      <c r="N62" s="448"/>
      <c r="O62" s="448"/>
      <c r="P62" s="448"/>
      <c r="Q62" s="448"/>
      <c r="R62" s="448"/>
      <c r="S62" s="448"/>
      <c r="T62" s="448"/>
      <c r="U62" s="448"/>
      <c r="V62" s="448"/>
      <c r="W62" s="448"/>
      <c r="X62" s="448"/>
    </row>
    <row r="63" spans="1:24" ht="14.25">
      <c r="A63" s="423"/>
      <c r="B63" s="424" t="s">
        <v>395</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396</v>
      </c>
      <c r="L65" s="423"/>
      <c r="M65" s="448"/>
      <c r="N65" s="448"/>
      <c r="O65" s="448"/>
      <c r="P65" s="448"/>
      <c r="Q65" s="448"/>
      <c r="R65" s="448"/>
      <c r="S65" s="448"/>
      <c r="T65" s="448"/>
      <c r="U65" s="448"/>
      <c r="V65" s="448"/>
      <c r="W65" s="448"/>
      <c r="X65" s="448"/>
    </row>
    <row r="66" spans="1:24" ht="14.25">
      <c r="A66" s="423"/>
      <c r="B66" s="424" t="s">
        <v>397</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398</v>
      </c>
      <c r="L68" s="423"/>
      <c r="M68" s="449"/>
      <c r="N68" s="450"/>
      <c r="O68" s="450"/>
      <c r="P68" s="450"/>
      <c r="Q68" s="450"/>
      <c r="R68" s="450"/>
      <c r="S68" s="450"/>
      <c r="T68" s="450"/>
      <c r="U68" s="450"/>
      <c r="V68" s="450"/>
      <c r="W68" s="450"/>
      <c r="X68" s="448"/>
    </row>
    <row r="69" spans="1:24" ht="14.25">
      <c r="A69" s="423"/>
      <c r="B69" s="424" t="s">
        <v>399</v>
      </c>
      <c r="L69" s="423"/>
      <c r="M69" s="448"/>
      <c r="N69" s="448"/>
      <c r="O69" s="448"/>
      <c r="P69" s="448"/>
      <c r="Q69" s="448"/>
      <c r="R69" s="448"/>
      <c r="S69" s="448"/>
      <c r="T69" s="448"/>
      <c r="U69" s="448"/>
      <c r="V69" s="448"/>
      <c r="W69" s="448"/>
      <c r="X69" s="448"/>
    </row>
    <row r="70" spans="1:24" ht="14.25">
      <c r="A70" s="423"/>
      <c r="B70" s="424" t="s">
        <v>400</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368</v>
      </c>
      <c r="C72" s="431"/>
      <c r="D72" s="431"/>
      <c r="E72" s="431"/>
      <c r="F72" s="431"/>
      <c r="G72" s="431"/>
      <c r="H72" s="431"/>
      <c r="I72" s="431"/>
      <c r="J72" s="431"/>
      <c r="K72" s="432"/>
      <c r="L72" s="451"/>
    </row>
    <row r="73" spans="1:12" ht="14.25">
      <c r="A73" s="423"/>
      <c r="B73" s="443"/>
      <c r="C73" s="434" t="s">
        <v>376</v>
      </c>
      <c r="D73" s="434"/>
      <c r="E73" s="434"/>
      <c r="F73" s="434"/>
      <c r="G73" s="434"/>
      <c r="H73" s="434"/>
      <c r="I73" s="434"/>
      <c r="J73" s="434"/>
      <c r="K73" s="437"/>
      <c r="L73" s="451"/>
    </row>
    <row r="74" spans="1:12" ht="14.25">
      <c r="A74" s="423"/>
      <c r="B74" s="443" t="s">
        <v>401</v>
      </c>
      <c r="C74" s="702">
        <v>133685008</v>
      </c>
      <c r="D74" s="702"/>
      <c r="E74" s="435" t="s">
        <v>375</v>
      </c>
      <c r="F74" s="435">
        <v>1000</v>
      </c>
      <c r="G74" s="435" t="s">
        <v>374</v>
      </c>
      <c r="H74" s="452">
        <f>C74/F74</f>
        <v>133685.008</v>
      </c>
      <c r="I74" s="434" t="s">
        <v>402</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403</v>
      </c>
      <c r="D76" s="434"/>
      <c r="E76" s="435"/>
      <c r="F76" s="434" t="s">
        <v>402</v>
      </c>
      <c r="G76" s="434"/>
      <c r="H76" s="434"/>
      <c r="I76" s="434"/>
      <c r="J76" s="434"/>
      <c r="K76" s="437"/>
      <c r="L76" s="451"/>
    </row>
    <row r="77" spans="1:12" ht="14.25">
      <c r="A77" s="423"/>
      <c r="B77" s="443" t="s">
        <v>404</v>
      </c>
      <c r="C77" s="702">
        <v>5000</v>
      </c>
      <c r="D77" s="702"/>
      <c r="E77" s="435" t="s">
        <v>375</v>
      </c>
      <c r="F77" s="452">
        <f>H74</f>
        <v>133685.008</v>
      </c>
      <c r="G77" s="435" t="s">
        <v>374</v>
      </c>
      <c r="H77" s="445">
        <f>C77/F77</f>
        <v>0.03740135169083432</v>
      </c>
      <c r="I77" s="434" t="s">
        <v>405</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406</v>
      </c>
      <c r="D79" s="454"/>
      <c r="E79" s="455"/>
      <c r="F79" s="454"/>
      <c r="G79" s="454"/>
      <c r="H79" s="454"/>
      <c r="I79" s="454"/>
      <c r="J79" s="454"/>
      <c r="K79" s="456"/>
      <c r="L79" s="451"/>
    </row>
    <row r="80" spans="1:12" ht="14.25">
      <c r="A80" s="423"/>
      <c r="B80" s="443" t="s">
        <v>407</v>
      </c>
      <c r="C80" s="702">
        <v>100000</v>
      </c>
      <c r="D80" s="702"/>
      <c r="E80" s="435" t="s">
        <v>746</v>
      </c>
      <c r="F80" s="435">
        <v>0.115</v>
      </c>
      <c r="G80" s="435" t="s">
        <v>374</v>
      </c>
      <c r="H80" s="452">
        <f>C80*F80</f>
        <v>11500</v>
      </c>
      <c r="I80" s="434" t="s">
        <v>408</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409</v>
      </c>
      <c r="D82" s="454"/>
      <c r="E82" s="455"/>
      <c r="F82" s="454" t="s">
        <v>405</v>
      </c>
      <c r="G82" s="454"/>
      <c r="H82" s="454"/>
      <c r="I82" s="454"/>
      <c r="J82" s="454" t="s">
        <v>410</v>
      </c>
      <c r="K82" s="456"/>
      <c r="L82" s="451"/>
    </row>
    <row r="83" spans="1:12" ht="14.25">
      <c r="A83" s="423"/>
      <c r="B83" s="443" t="s">
        <v>411</v>
      </c>
      <c r="C83" s="716">
        <f>H80</f>
        <v>11500</v>
      </c>
      <c r="D83" s="716"/>
      <c r="E83" s="435" t="s">
        <v>746</v>
      </c>
      <c r="F83" s="445">
        <f>H77</f>
        <v>0.03740135169083432</v>
      </c>
      <c r="G83" s="435" t="s">
        <v>375</v>
      </c>
      <c r="H83" s="435">
        <v>1000</v>
      </c>
      <c r="I83" s="435" t="s">
        <v>374</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09" t="s">
        <v>364</v>
      </c>
      <c r="C85" s="709"/>
      <c r="D85" s="709"/>
      <c r="E85" s="709"/>
      <c r="F85" s="709"/>
      <c r="G85" s="709"/>
      <c r="H85" s="709"/>
      <c r="I85" s="709"/>
      <c r="J85" s="709"/>
      <c r="K85" s="709"/>
      <c r="L85" s="423"/>
    </row>
    <row r="86" spans="1:12" ht="14.25">
      <c r="A86" s="423"/>
      <c r="B86" s="703" t="s">
        <v>412</v>
      </c>
      <c r="C86" s="703"/>
      <c r="D86" s="703"/>
      <c r="E86" s="703"/>
      <c r="F86" s="703"/>
      <c r="G86" s="703"/>
      <c r="H86" s="703"/>
      <c r="I86" s="703"/>
      <c r="J86" s="703"/>
      <c r="K86" s="703"/>
      <c r="L86" s="423"/>
    </row>
    <row r="87" spans="1:12" ht="14.25">
      <c r="A87" s="423"/>
      <c r="B87" s="462"/>
      <c r="C87" s="462"/>
      <c r="D87" s="462"/>
      <c r="E87" s="462"/>
      <c r="F87" s="462"/>
      <c r="G87" s="462"/>
      <c r="H87" s="462"/>
      <c r="I87" s="462"/>
      <c r="J87" s="462"/>
      <c r="K87" s="462"/>
      <c r="L87" s="423"/>
    </row>
    <row r="88" spans="1:12" ht="14.25">
      <c r="A88" s="423"/>
      <c r="B88" s="703" t="s">
        <v>413</v>
      </c>
      <c r="C88" s="703"/>
      <c r="D88" s="703"/>
      <c r="E88" s="703"/>
      <c r="F88" s="703"/>
      <c r="G88" s="703"/>
      <c r="H88" s="703"/>
      <c r="I88" s="703"/>
      <c r="J88" s="703"/>
      <c r="K88" s="703"/>
      <c r="L88" s="423"/>
    </row>
    <row r="89" spans="1:12" ht="14.25">
      <c r="A89" s="423"/>
      <c r="B89" s="463"/>
      <c r="C89" s="463"/>
      <c r="D89" s="463"/>
      <c r="E89" s="463"/>
      <c r="F89" s="463"/>
      <c r="G89" s="463"/>
      <c r="H89" s="463"/>
      <c r="I89" s="463"/>
      <c r="J89" s="463"/>
      <c r="K89" s="463"/>
      <c r="L89" s="423"/>
    </row>
    <row r="90" spans="1:12" ht="45" customHeight="1">
      <c r="A90" s="423"/>
      <c r="B90" s="708" t="s">
        <v>414</v>
      </c>
      <c r="C90" s="708"/>
      <c r="D90" s="708"/>
      <c r="E90" s="708"/>
      <c r="F90" s="708"/>
      <c r="G90" s="708"/>
      <c r="H90" s="708"/>
      <c r="I90" s="708"/>
      <c r="J90" s="708"/>
      <c r="K90" s="708"/>
      <c r="L90" s="423"/>
    </row>
    <row r="91" spans="1:12" ht="15" customHeight="1" thickBot="1">
      <c r="A91" s="423"/>
      <c r="L91" s="423"/>
    </row>
    <row r="92" spans="1:12" ht="15" customHeight="1">
      <c r="A92" s="423"/>
      <c r="B92" s="464" t="s">
        <v>368</v>
      </c>
      <c r="C92" s="465"/>
      <c r="D92" s="465"/>
      <c r="E92" s="465"/>
      <c r="F92" s="465"/>
      <c r="G92" s="465"/>
      <c r="H92" s="465"/>
      <c r="I92" s="465"/>
      <c r="J92" s="465"/>
      <c r="K92" s="466"/>
      <c r="L92" s="423"/>
    </row>
    <row r="93" spans="1:12" ht="15" customHeight="1">
      <c r="A93" s="423"/>
      <c r="B93" s="467"/>
      <c r="C93" s="468" t="s">
        <v>376</v>
      </c>
      <c r="D93" s="468"/>
      <c r="E93" s="468"/>
      <c r="F93" s="468"/>
      <c r="G93" s="468"/>
      <c r="H93" s="468"/>
      <c r="I93" s="468"/>
      <c r="J93" s="468"/>
      <c r="K93" s="469"/>
      <c r="L93" s="423"/>
    </row>
    <row r="94" spans="1:12" ht="15" customHeight="1">
      <c r="A94" s="423"/>
      <c r="B94" s="467" t="s">
        <v>401</v>
      </c>
      <c r="C94" s="702">
        <v>133685008</v>
      </c>
      <c r="D94" s="702"/>
      <c r="E94" s="435" t="s">
        <v>375</v>
      </c>
      <c r="F94" s="435">
        <v>1000</v>
      </c>
      <c r="G94" s="435" t="s">
        <v>374</v>
      </c>
      <c r="H94" s="452">
        <f>C94/F94</f>
        <v>133685.008</v>
      </c>
      <c r="I94" s="468" t="s">
        <v>402</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403</v>
      </c>
      <c r="D96" s="468"/>
      <c r="E96" s="435"/>
      <c r="F96" s="468" t="s">
        <v>402</v>
      </c>
      <c r="G96" s="468"/>
      <c r="H96" s="468"/>
      <c r="I96" s="468"/>
      <c r="J96" s="468"/>
      <c r="K96" s="469"/>
      <c r="L96" s="423"/>
    </row>
    <row r="97" spans="1:12" ht="15" customHeight="1">
      <c r="A97" s="423"/>
      <c r="B97" s="467" t="s">
        <v>404</v>
      </c>
      <c r="C97" s="702">
        <v>50000</v>
      </c>
      <c r="D97" s="702"/>
      <c r="E97" s="435" t="s">
        <v>375</v>
      </c>
      <c r="F97" s="452">
        <f>H94</f>
        <v>133685.008</v>
      </c>
      <c r="G97" s="435" t="s">
        <v>374</v>
      </c>
      <c r="H97" s="445">
        <f>C97/F97</f>
        <v>0.3740135169083432</v>
      </c>
      <c r="I97" s="468" t="s">
        <v>405</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415</v>
      </c>
      <c r="D99" s="471"/>
      <c r="E99" s="455"/>
      <c r="F99" s="471"/>
      <c r="G99" s="471"/>
      <c r="H99" s="471"/>
      <c r="I99" s="471"/>
      <c r="J99" s="471"/>
      <c r="K99" s="472"/>
      <c r="L99" s="423"/>
    </row>
    <row r="100" spans="1:12" ht="15" customHeight="1">
      <c r="A100" s="423"/>
      <c r="B100" s="467" t="s">
        <v>407</v>
      </c>
      <c r="C100" s="702">
        <v>2500000</v>
      </c>
      <c r="D100" s="702"/>
      <c r="E100" s="435" t="s">
        <v>746</v>
      </c>
      <c r="F100" s="473">
        <v>0.3</v>
      </c>
      <c r="G100" s="435" t="s">
        <v>374</v>
      </c>
      <c r="H100" s="452">
        <f>C100*F100</f>
        <v>750000</v>
      </c>
      <c r="I100" s="468" t="s">
        <v>408</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409</v>
      </c>
      <c r="D102" s="471"/>
      <c r="E102" s="455"/>
      <c r="F102" s="471" t="s">
        <v>405</v>
      </c>
      <c r="G102" s="471"/>
      <c r="H102" s="471"/>
      <c r="I102" s="471"/>
      <c r="J102" s="471" t="s">
        <v>410</v>
      </c>
      <c r="K102" s="472"/>
      <c r="L102" s="423"/>
    </row>
    <row r="103" spans="1:12" ht="15" customHeight="1">
      <c r="A103" s="423"/>
      <c r="B103" s="467" t="s">
        <v>411</v>
      </c>
      <c r="C103" s="716">
        <f>H100</f>
        <v>750000</v>
      </c>
      <c r="D103" s="716"/>
      <c r="E103" s="435" t="s">
        <v>746</v>
      </c>
      <c r="F103" s="445">
        <f>H97</f>
        <v>0.3740135169083432</v>
      </c>
      <c r="G103" s="435" t="s">
        <v>375</v>
      </c>
      <c r="H103" s="435">
        <v>1000</v>
      </c>
      <c r="I103" s="435" t="s">
        <v>374</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09" t="s">
        <v>364</v>
      </c>
      <c r="C105" s="718"/>
      <c r="D105" s="718"/>
      <c r="E105" s="718"/>
      <c r="F105" s="718"/>
      <c r="G105" s="718"/>
      <c r="H105" s="718"/>
      <c r="I105" s="718"/>
      <c r="J105" s="718"/>
      <c r="K105" s="718"/>
      <c r="L105" s="423"/>
    </row>
    <row r="106" spans="1:12" ht="15" customHeight="1">
      <c r="A106" s="423"/>
      <c r="B106" s="715" t="s">
        <v>416</v>
      </c>
      <c r="C106" s="704"/>
      <c r="D106" s="704"/>
      <c r="E106" s="704"/>
      <c r="F106" s="704"/>
      <c r="G106" s="704"/>
      <c r="H106" s="704"/>
      <c r="I106" s="704"/>
      <c r="J106" s="704"/>
      <c r="K106" s="704"/>
      <c r="L106" s="423"/>
    </row>
    <row r="107" spans="1:12" ht="15" customHeight="1">
      <c r="A107" s="423"/>
      <c r="B107" s="468"/>
      <c r="C107" s="476"/>
      <c r="D107" s="476"/>
      <c r="E107" s="435"/>
      <c r="F107" s="445"/>
      <c r="G107" s="435"/>
      <c r="H107" s="435"/>
      <c r="I107" s="435"/>
      <c r="J107" s="457"/>
      <c r="K107" s="468"/>
      <c r="L107" s="423"/>
    </row>
    <row r="108" spans="1:12" ht="15" customHeight="1">
      <c r="A108" s="423"/>
      <c r="B108" s="715" t="s">
        <v>417</v>
      </c>
      <c r="C108" s="717"/>
      <c r="D108" s="717"/>
      <c r="E108" s="717"/>
      <c r="F108" s="717"/>
      <c r="G108" s="717"/>
      <c r="H108" s="717"/>
      <c r="I108" s="717"/>
      <c r="J108" s="717"/>
      <c r="K108" s="717"/>
      <c r="L108" s="423"/>
    </row>
    <row r="109" spans="1:12" ht="15" customHeight="1">
      <c r="A109" s="423"/>
      <c r="B109" s="468"/>
      <c r="C109" s="476"/>
      <c r="D109" s="476"/>
      <c r="E109" s="435"/>
      <c r="F109" s="445"/>
      <c r="G109" s="435"/>
      <c r="H109" s="435"/>
      <c r="I109" s="435"/>
      <c r="J109" s="457"/>
      <c r="K109" s="468"/>
      <c r="L109" s="423"/>
    </row>
    <row r="110" spans="1:12" ht="59.25" customHeight="1">
      <c r="A110" s="423"/>
      <c r="B110" s="719" t="s">
        <v>418</v>
      </c>
      <c r="C110" s="711"/>
      <c r="D110" s="711"/>
      <c r="E110" s="711"/>
      <c r="F110" s="711"/>
      <c r="G110" s="711"/>
      <c r="H110" s="711"/>
      <c r="I110" s="711"/>
      <c r="J110" s="711"/>
      <c r="K110" s="711"/>
      <c r="L110" s="423"/>
    </row>
    <row r="111" spans="1:12" ht="15" thickBot="1">
      <c r="A111" s="423"/>
      <c r="B111" s="426"/>
      <c r="C111" s="426"/>
      <c r="D111" s="426"/>
      <c r="E111" s="426"/>
      <c r="F111" s="426"/>
      <c r="G111" s="426"/>
      <c r="H111" s="426"/>
      <c r="I111" s="426"/>
      <c r="J111" s="426"/>
      <c r="K111" s="426"/>
      <c r="L111" s="477"/>
    </row>
    <row r="112" spans="1:12" ht="14.25">
      <c r="A112" s="423"/>
      <c r="B112" s="430" t="s">
        <v>368</v>
      </c>
      <c r="C112" s="431"/>
      <c r="D112" s="431"/>
      <c r="E112" s="431"/>
      <c r="F112" s="431"/>
      <c r="G112" s="431"/>
      <c r="H112" s="431"/>
      <c r="I112" s="431"/>
      <c r="J112" s="431"/>
      <c r="K112" s="432"/>
      <c r="L112" s="423"/>
    </row>
    <row r="113" spans="1:12" ht="14.25">
      <c r="A113" s="423"/>
      <c r="B113" s="443"/>
      <c r="C113" s="434" t="s">
        <v>376</v>
      </c>
      <c r="D113" s="434"/>
      <c r="E113" s="434"/>
      <c r="F113" s="434"/>
      <c r="G113" s="434"/>
      <c r="H113" s="434"/>
      <c r="I113" s="434"/>
      <c r="J113" s="434"/>
      <c r="K113" s="437"/>
      <c r="L113" s="423"/>
    </row>
    <row r="114" spans="1:12" ht="14.25">
      <c r="A114" s="423"/>
      <c r="B114" s="443" t="s">
        <v>401</v>
      </c>
      <c r="C114" s="702">
        <v>133685008</v>
      </c>
      <c r="D114" s="702"/>
      <c r="E114" s="435" t="s">
        <v>375</v>
      </c>
      <c r="F114" s="435">
        <v>1000</v>
      </c>
      <c r="G114" s="435" t="s">
        <v>374</v>
      </c>
      <c r="H114" s="452">
        <f>C114/F114</f>
        <v>133685.008</v>
      </c>
      <c r="I114" s="434" t="s">
        <v>402</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403</v>
      </c>
      <c r="D116" s="434"/>
      <c r="E116" s="435"/>
      <c r="F116" s="434" t="s">
        <v>402</v>
      </c>
      <c r="G116" s="434"/>
      <c r="H116" s="434"/>
      <c r="I116" s="434"/>
      <c r="J116" s="434"/>
      <c r="K116" s="437"/>
      <c r="L116" s="423"/>
    </row>
    <row r="117" spans="1:12" ht="14.25">
      <c r="A117" s="423"/>
      <c r="B117" s="443" t="s">
        <v>404</v>
      </c>
      <c r="C117" s="702">
        <v>50000</v>
      </c>
      <c r="D117" s="702"/>
      <c r="E117" s="435" t="s">
        <v>375</v>
      </c>
      <c r="F117" s="452">
        <f>H114</f>
        <v>133685.008</v>
      </c>
      <c r="G117" s="435" t="s">
        <v>374</v>
      </c>
      <c r="H117" s="445">
        <f>C117/F117</f>
        <v>0.3740135169083432</v>
      </c>
      <c r="I117" s="434" t="s">
        <v>405</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415</v>
      </c>
      <c r="D119" s="454"/>
      <c r="E119" s="455"/>
      <c r="F119" s="454"/>
      <c r="G119" s="454"/>
      <c r="H119" s="454"/>
      <c r="I119" s="454"/>
      <c r="J119" s="454"/>
      <c r="K119" s="456"/>
      <c r="L119" s="423"/>
    </row>
    <row r="120" spans="1:12" ht="14.25">
      <c r="A120" s="423"/>
      <c r="B120" s="443" t="s">
        <v>407</v>
      </c>
      <c r="C120" s="702">
        <v>2500000</v>
      </c>
      <c r="D120" s="702"/>
      <c r="E120" s="435" t="s">
        <v>746</v>
      </c>
      <c r="F120" s="473">
        <v>0.25</v>
      </c>
      <c r="G120" s="435" t="s">
        <v>374</v>
      </c>
      <c r="H120" s="452">
        <f>C120*F120</f>
        <v>625000</v>
      </c>
      <c r="I120" s="434" t="s">
        <v>408</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409</v>
      </c>
      <c r="D122" s="454"/>
      <c r="E122" s="455"/>
      <c r="F122" s="454" t="s">
        <v>405</v>
      </c>
      <c r="G122" s="454"/>
      <c r="H122" s="454"/>
      <c r="I122" s="454"/>
      <c r="J122" s="454" t="s">
        <v>410</v>
      </c>
      <c r="K122" s="456"/>
      <c r="L122" s="423"/>
    </row>
    <row r="123" spans="1:12" ht="14.25">
      <c r="A123" s="423"/>
      <c r="B123" s="443" t="s">
        <v>411</v>
      </c>
      <c r="C123" s="716">
        <f>H120</f>
        <v>625000</v>
      </c>
      <c r="D123" s="716"/>
      <c r="E123" s="435" t="s">
        <v>746</v>
      </c>
      <c r="F123" s="445">
        <f>H117</f>
        <v>0.3740135169083432</v>
      </c>
      <c r="G123" s="435" t="s">
        <v>375</v>
      </c>
      <c r="H123" s="435">
        <v>1000</v>
      </c>
      <c r="I123" s="435" t="s">
        <v>374</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09" t="s">
        <v>364</v>
      </c>
      <c r="C125" s="709"/>
      <c r="D125" s="709"/>
      <c r="E125" s="709"/>
      <c r="F125" s="709"/>
      <c r="G125" s="709"/>
      <c r="H125" s="709"/>
      <c r="I125" s="709"/>
      <c r="J125" s="709"/>
      <c r="K125" s="709"/>
      <c r="L125" s="477"/>
    </row>
    <row r="126" spans="1:12" ht="14.25">
      <c r="A126" s="423"/>
      <c r="B126" s="703" t="s">
        <v>419</v>
      </c>
      <c r="C126" s="703"/>
      <c r="D126" s="703"/>
      <c r="E126" s="703"/>
      <c r="F126" s="703"/>
      <c r="G126" s="703"/>
      <c r="H126" s="703"/>
      <c r="I126" s="703"/>
      <c r="J126" s="703"/>
      <c r="K126" s="703"/>
      <c r="L126" s="477"/>
    </row>
    <row r="127" spans="1:12" ht="14.25">
      <c r="A127" s="423"/>
      <c r="B127" s="426"/>
      <c r="C127" s="426"/>
      <c r="D127" s="426"/>
      <c r="E127" s="426"/>
      <c r="F127" s="426"/>
      <c r="G127" s="426"/>
      <c r="H127" s="426"/>
      <c r="I127" s="426"/>
      <c r="J127" s="426"/>
      <c r="K127" s="426"/>
      <c r="L127" s="477"/>
    </row>
    <row r="128" spans="1:12" ht="14.25">
      <c r="A128" s="423"/>
      <c r="B128" s="703" t="s">
        <v>420</v>
      </c>
      <c r="C128" s="703"/>
      <c r="D128" s="703"/>
      <c r="E128" s="703"/>
      <c r="F128" s="703"/>
      <c r="G128" s="703"/>
      <c r="H128" s="703"/>
      <c r="I128" s="703"/>
      <c r="J128" s="703"/>
      <c r="K128" s="703"/>
      <c r="L128" s="477"/>
    </row>
    <row r="129" spans="1:12" ht="14.25">
      <c r="A129" s="423"/>
      <c r="B129" s="463"/>
      <c r="C129" s="463"/>
      <c r="D129" s="463"/>
      <c r="E129" s="463"/>
      <c r="F129" s="463"/>
      <c r="G129" s="463"/>
      <c r="H129" s="463"/>
      <c r="I129" s="463"/>
      <c r="J129" s="463"/>
      <c r="K129" s="463"/>
      <c r="L129" s="477"/>
    </row>
    <row r="130" spans="1:12" ht="74.25" customHeight="1">
      <c r="A130" s="423"/>
      <c r="B130" s="708" t="s">
        <v>421</v>
      </c>
      <c r="C130" s="708"/>
      <c r="D130" s="708"/>
      <c r="E130" s="708"/>
      <c r="F130" s="708"/>
      <c r="G130" s="708"/>
      <c r="H130" s="708"/>
      <c r="I130" s="708"/>
      <c r="J130" s="708"/>
      <c r="K130" s="708"/>
      <c r="L130" s="477"/>
    </row>
    <row r="131" spans="1:12" ht="15" thickBot="1">
      <c r="A131" s="423"/>
      <c r="L131" s="423"/>
    </row>
    <row r="132" spans="1:12" ht="14.25">
      <c r="A132" s="423"/>
      <c r="B132" s="430" t="s">
        <v>368</v>
      </c>
      <c r="C132" s="431"/>
      <c r="D132" s="431"/>
      <c r="E132" s="431"/>
      <c r="F132" s="431"/>
      <c r="G132" s="431"/>
      <c r="H132" s="431"/>
      <c r="I132" s="431"/>
      <c r="J132" s="431"/>
      <c r="K132" s="432"/>
      <c r="L132" s="423"/>
    </row>
    <row r="133" spans="1:12" ht="14.25">
      <c r="A133" s="423"/>
      <c r="B133" s="443"/>
      <c r="C133" s="726" t="s">
        <v>422</v>
      </c>
      <c r="D133" s="726"/>
      <c r="E133" s="434"/>
      <c r="F133" s="435" t="s">
        <v>423</v>
      </c>
      <c r="G133" s="434"/>
      <c r="H133" s="726" t="s">
        <v>408</v>
      </c>
      <c r="I133" s="726"/>
      <c r="J133" s="434"/>
      <c r="K133" s="437"/>
      <c r="L133" s="423"/>
    </row>
    <row r="134" spans="1:12" ht="14.25">
      <c r="A134" s="423"/>
      <c r="B134" s="443" t="s">
        <v>401</v>
      </c>
      <c r="C134" s="702">
        <v>100000</v>
      </c>
      <c r="D134" s="702"/>
      <c r="E134" s="435" t="s">
        <v>746</v>
      </c>
      <c r="F134" s="435">
        <v>0.115</v>
      </c>
      <c r="G134" s="435" t="s">
        <v>374</v>
      </c>
      <c r="H134" s="720">
        <f>C134*F134</f>
        <v>11500</v>
      </c>
      <c r="I134" s="720"/>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5" t="s">
        <v>408</v>
      </c>
      <c r="D136" s="725"/>
      <c r="E136" s="454"/>
      <c r="F136" s="455" t="s">
        <v>424</v>
      </c>
      <c r="G136" s="455"/>
      <c r="H136" s="454"/>
      <c r="I136" s="454"/>
      <c r="J136" s="454" t="s">
        <v>425</v>
      </c>
      <c r="K136" s="456"/>
      <c r="L136" s="423"/>
    </row>
    <row r="137" spans="1:12" ht="14.25">
      <c r="A137" s="423"/>
      <c r="B137" s="443" t="s">
        <v>404</v>
      </c>
      <c r="C137" s="720">
        <f>H134</f>
        <v>11500</v>
      </c>
      <c r="D137" s="720"/>
      <c r="E137" s="435" t="s">
        <v>746</v>
      </c>
      <c r="F137" s="478">
        <v>52.869</v>
      </c>
      <c r="G137" s="435" t="s">
        <v>375</v>
      </c>
      <c r="H137" s="435">
        <v>1000</v>
      </c>
      <c r="I137" s="435" t="s">
        <v>374</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364</v>
      </c>
      <c r="C139" s="484"/>
      <c r="D139" s="484"/>
      <c r="E139" s="485"/>
      <c r="F139" s="486"/>
      <c r="G139" s="485"/>
      <c r="H139" s="485"/>
      <c r="I139" s="485"/>
      <c r="J139" s="487"/>
      <c r="K139" s="488"/>
      <c r="L139" s="423"/>
    </row>
    <row r="140" spans="1:12" ht="14.25">
      <c r="A140" s="423"/>
      <c r="B140" s="489" t="s">
        <v>426</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427</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7" t="s">
        <v>428</v>
      </c>
      <c r="C144" s="728"/>
      <c r="D144" s="728"/>
      <c r="E144" s="728"/>
      <c r="F144" s="728"/>
      <c r="G144" s="728"/>
      <c r="H144" s="728"/>
      <c r="I144" s="728"/>
      <c r="J144" s="728"/>
      <c r="K144" s="729"/>
      <c r="L144" s="423"/>
    </row>
    <row r="145" spans="1:12" ht="15" thickBot="1">
      <c r="A145" s="423"/>
      <c r="B145" s="443"/>
      <c r="C145" s="452"/>
      <c r="D145" s="452"/>
      <c r="E145" s="435"/>
      <c r="F145" s="495"/>
      <c r="G145" s="435"/>
      <c r="H145" s="435"/>
      <c r="I145" s="435"/>
      <c r="J145" s="479"/>
      <c r="K145" s="437"/>
      <c r="L145" s="423"/>
    </row>
    <row r="146" spans="1:12" ht="14.25">
      <c r="A146" s="423"/>
      <c r="B146" s="430" t="s">
        <v>368</v>
      </c>
      <c r="C146" s="496"/>
      <c r="D146" s="496"/>
      <c r="E146" s="497"/>
      <c r="F146" s="498"/>
      <c r="G146" s="497"/>
      <c r="H146" s="497"/>
      <c r="I146" s="497"/>
      <c r="J146" s="499"/>
      <c r="K146" s="432"/>
      <c r="L146" s="423"/>
    </row>
    <row r="147" spans="1:12" ht="14.25">
      <c r="A147" s="423"/>
      <c r="B147" s="443"/>
      <c r="C147" s="720" t="s">
        <v>429</v>
      </c>
      <c r="D147" s="720"/>
      <c r="E147" s="435"/>
      <c r="F147" s="495" t="s">
        <v>430</v>
      </c>
      <c r="G147" s="435"/>
      <c r="H147" s="435"/>
      <c r="I147" s="435"/>
      <c r="J147" s="721" t="s">
        <v>431</v>
      </c>
      <c r="K147" s="722"/>
      <c r="L147" s="423"/>
    </row>
    <row r="148" spans="1:12" ht="14.25">
      <c r="A148" s="423"/>
      <c r="B148" s="443"/>
      <c r="C148" s="723">
        <v>52.869</v>
      </c>
      <c r="D148" s="723"/>
      <c r="E148" s="435" t="s">
        <v>746</v>
      </c>
      <c r="F148" s="500">
        <v>133685008</v>
      </c>
      <c r="G148" s="501" t="s">
        <v>375</v>
      </c>
      <c r="H148" s="435">
        <v>1000</v>
      </c>
      <c r="I148" s="435" t="s">
        <v>374</v>
      </c>
      <c r="J148" s="720">
        <f>C148*(F148/1000)</f>
        <v>7067792.687952</v>
      </c>
      <c r="K148" s="724"/>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30:K130"/>
    <mergeCell ref="C133:D133"/>
    <mergeCell ref="H133:I133"/>
    <mergeCell ref="C134:D134"/>
    <mergeCell ref="H134:I134"/>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26:K126"/>
    <mergeCell ref="B108:K108"/>
    <mergeCell ref="B86:K86"/>
    <mergeCell ref="B88:K88"/>
    <mergeCell ref="B90:K90"/>
    <mergeCell ref="C94:D94"/>
    <mergeCell ref="C100:D100"/>
    <mergeCell ref="C103:D103"/>
    <mergeCell ref="B105:K105"/>
    <mergeCell ref="B106:K106"/>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342</v>
      </c>
    </row>
    <row r="3" ht="31.5">
      <c r="A3" s="518" t="s">
        <v>343</v>
      </c>
    </row>
    <row r="4" ht="15.75">
      <c r="A4" s="519" t="s">
        <v>344</v>
      </c>
    </row>
    <row r="7" ht="31.5">
      <c r="A7" s="518" t="s">
        <v>345</v>
      </c>
    </row>
    <row r="8" ht="15.75">
      <c r="A8" s="519" t="s">
        <v>346</v>
      </c>
    </row>
    <row r="11" ht="15.75">
      <c r="A11" s="517" t="s">
        <v>347</v>
      </c>
    </row>
    <row r="12" ht="15.75">
      <c r="A12" s="519" t="s">
        <v>348</v>
      </c>
    </row>
    <row r="15" ht="15.75">
      <c r="A15" s="517" t="s">
        <v>349</v>
      </c>
    </row>
    <row r="16" ht="15.75">
      <c r="A16" s="519" t="s">
        <v>350</v>
      </c>
    </row>
    <row r="19" ht="15.75">
      <c r="A19" s="517" t="s">
        <v>351</v>
      </c>
    </row>
    <row r="20" ht="15.75">
      <c r="A20" s="519" t="s">
        <v>352</v>
      </c>
    </row>
    <row r="23" ht="15.75">
      <c r="A23" s="517" t="s">
        <v>353</v>
      </c>
    </row>
    <row r="24" ht="15.75">
      <c r="A24" s="519" t="s">
        <v>354</v>
      </c>
    </row>
    <row r="27" ht="15.75">
      <c r="A27" s="517" t="s">
        <v>355</v>
      </c>
    </row>
    <row r="28" ht="15.75">
      <c r="A28" s="519" t="s">
        <v>356</v>
      </c>
    </row>
    <row r="31" ht="15.75">
      <c r="A31" s="517" t="s">
        <v>357</v>
      </c>
    </row>
    <row r="32" ht="15.75">
      <c r="A32" s="519" t="s">
        <v>358</v>
      </c>
    </row>
    <row r="35" ht="15.75">
      <c r="A35" s="517" t="s">
        <v>359</v>
      </c>
    </row>
    <row r="36" ht="15.75">
      <c r="A36" s="519" t="s">
        <v>360</v>
      </c>
    </row>
    <row r="39" ht="15.75">
      <c r="A39" s="517" t="s">
        <v>361</v>
      </c>
    </row>
    <row r="40" ht="15.75">
      <c r="A40" s="519" t="s">
        <v>362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92</v>
      </c>
    </row>
    <row r="2" ht="15.75">
      <c r="A2" s="117" t="s">
        <v>93</v>
      </c>
    </row>
    <row r="3" ht="15.75">
      <c r="A3" s="117" t="s">
        <v>94</v>
      </c>
    </row>
    <row r="5" ht="15.75">
      <c r="A5" s="607" t="s">
        <v>89</v>
      </c>
    </row>
    <row r="6" ht="15.75">
      <c r="A6" s="601" t="s">
        <v>90</v>
      </c>
    </row>
    <row r="8" ht="15.75">
      <c r="A8" s="408" t="s">
        <v>6</v>
      </c>
    </row>
    <row r="9" ht="15.75">
      <c r="A9" s="601" t="s">
        <v>7</v>
      </c>
    </row>
    <row r="10" ht="15.75">
      <c r="A10" s="601" t="s">
        <v>8</v>
      </c>
    </row>
    <row r="11" ht="31.5">
      <c r="A11" s="600" t="s">
        <v>9</v>
      </c>
    </row>
    <row r="12" ht="15.75">
      <c r="A12" s="601" t="s">
        <v>10</v>
      </c>
    </row>
    <row r="13" ht="15.75">
      <c r="A13" s="601" t="s">
        <v>11</v>
      </c>
    </row>
    <row r="14" ht="15.75">
      <c r="A14" s="601" t="s">
        <v>12</v>
      </c>
    </row>
    <row r="15" ht="15.75">
      <c r="A15" s="601" t="s">
        <v>13</v>
      </c>
    </row>
    <row r="16" ht="15.75">
      <c r="A16" s="601" t="s">
        <v>14</v>
      </c>
    </row>
    <row r="17" ht="15.75">
      <c r="A17" s="601" t="s">
        <v>15</v>
      </c>
    </row>
    <row r="18" ht="15.75">
      <c r="A18" s="601" t="s">
        <v>16</v>
      </c>
    </row>
    <row r="19" ht="15.75">
      <c r="A19" s="601" t="s">
        <v>17</v>
      </c>
    </row>
    <row r="20" ht="15.75">
      <c r="A20" s="601" t="s">
        <v>18</v>
      </c>
    </row>
    <row r="21" ht="15.75">
      <c r="A21" s="601" t="s">
        <v>19</v>
      </c>
    </row>
    <row r="22" ht="15.75">
      <c r="A22" s="601" t="s">
        <v>20</v>
      </c>
    </row>
    <row r="23" ht="15.75">
      <c r="A23" s="601" t="s">
        <v>21</v>
      </c>
    </row>
    <row r="24" ht="15.75">
      <c r="A24" s="601" t="s">
        <v>22</v>
      </c>
    </row>
    <row r="25" ht="15.75">
      <c r="A25" s="601" t="s">
        <v>23</v>
      </c>
    </row>
    <row r="26" ht="15.75">
      <c r="A26" s="601" t="s">
        <v>24</v>
      </c>
    </row>
    <row r="27" ht="15.75">
      <c r="A27" s="601" t="s">
        <v>25</v>
      </c>
    </row>
    <row r="28" ht="15.75">
      <c r="A28" s="601" t="s">
        <v>26</v>
      </c>
    </row>
    <row r="29" ht="15.75">
      <c r="A29" s="601" t="s">
        <v>27</v>
      </c>
    </row>
    <row r="30" ht="15.75">
      <c r="A30" s="601" t="s">
        <v>28</v>
      </c>
    </row>
    <row r="31" ht="15.75">
      <c r="A31" s="117" t="s">
        <v>88</v>
      </c>
    </row>
    <row r="33" ht="15.75">
      <c r="A33" s="408" t="s">
        <v>340</v>
      </c>
    </row>
    <row r="34" ht="36" customHeight="1">
      <c r="A34" s="221" t="s">
        <v>341</v>
      </c>
    </row>
    <row r="36" ht="15.75">
      <c r="A36" s="408" t="s">
        <v>336</v>
      </c>
    </row>
    <row r="37" ht="15.75">
      <c r="A37" s="117" t="s">
        <v>337</v>
      </c>
    </row>
    <row r="38" ht="15.75">
      <c r="A38" s="117" t="s">
        <v>338</v>
      </c>
    </row>
    <row r="39" ht="15.75">
      <c r="A39" s="117" t="s">
        <v>339</v>
      </c>
    </row>
    <row r="41" ht="15.75">
      <c r="A41" s="408" t="s">
        <v>325</v>
      </c>
    </row>
    <row r="42" ht="15.75">
      <c r="A42" s="117" t="s">
        <v>335</v>
      </c>
    </row>
    <row r="44" ht="15.75">
      <c r="A44" s="407" t="s">
        <v>60</v>
      </c>
    </row>
    <row r="45" ht="15.75">
      <c r="A45" s="117" t="s">
        <v>61</v>
      </c>
    </row>
    <row r="46" ht="15.75">
      <c r="A46" s="117" t="s">
        <v>62</v>
      </c>
    </row>
    <row r="47" ht="15.75">
      <c r="A47" s="117" t="s">
        <v>462</v>
      </c>
    </row>
    <row r="48" ht="15.75">
      <c r="A48" s="117" t="s">
        <v>463</v>
      </c>
    </row>
    <row r="49" ht="15.75">
      <c r="A49" s="117" t="s">
        <v>464</v>
      </c>
    </row>
    <row r="50" ht="15.75">
      <c r="A50" s="117" t="s">
        <v>323</v>
      </c>
    </row>
    <row r="52" ht="15.75">
      <c r="A52" s="407" t="s">
        <v>812</v>
      </c>
    </row>
    <row r="53" ht="15.75">
      <c r="A53" s="117" t="s">
        <v>813</v>
      </c>
    </row>
    <row r="54" ht="15.75">
      <c r="A54" s="117" t="s">
        <v>814</v>
      </c>
    </row>
    <row r="55" ht="15.75">
      <c r="A55" s="117" t="s">
        <v>815</v>
      </c>
    </row>
    <row r="56" ht="15.75">
      <c r="A56" s="117" t="s">
        <v>816</v>
      </c>
    </row>
    <row r="57" ht="15.75">
      <c r="A57" s="117" t="s">
        <v>817</v>
      </c>
    </row>
    <row r="58" ht="15.75">
      <c r="A58" s="117" t="s">
        <v>818</v>
      </c>
    </row>
    <row r="59" ht="15.75">
      <c r="A59" s="117" t="s">
        <v>819</v>
      </c>
    </row>
    <row r="60" ht="15.75">
      <c r="A60" s="117" t="s">
        <v>821</v>
      </c>
    </row>
    <row r="61" ht="15.75">
      <c r="A61" s="117" t="s">
        <v>822</v>
      </c>
    </row>
    <row r="62" ht="15.75">
      <c r="A62" s="117" t="s">
        <v>838</v>
      </c>
    </row>
    <row r="63" ht="15.75">
      <c r="A63" s="117" t="s">
        <v>839</v>
      </c>
    </row>
    <row r="64" ht="15.75">
      <c r="A64" s="117" t="s">
        <v>840</v>
      </c>
    </row>
    <row r="65" ht="15.75">
      <c r="A65" s="117" t="s">
        <v>841</v>
      </c>
    </row>
    <row r="66" ht="15.75">
      <c r="A66" s="117" t="s">
        <v>43</v>
      </c>
    </row>
    <row r="67" ht="15.75">
      <c r="A67" s="117" t="s">
        <v>44</v>
      </c>
    </row>
    <row r="68" ht="15.75">
      <c r="A68" s="117" t="s">
        <v>56</v>
      </c>
    </row>
    <row r="69" ht="15.75">
      <c r="A69" s="388" t="s">
        <v>57</v>
      </c>
    </row>
    <row r="71" ht="15.75">
      <c r="A71" s="407" t="s">
        <v>807</v>
      </c>
    </row>
    <row r="72" ht="15.75">
      <c r="A72" s="117" t="s">
        <v>808</v>
      </c>
    </row>
    <row r="74" ht="15.75">
      <c r="A74" s="407" t="s">
        <v>805</v>
      </c>
    </row>
    <row r="75" ht="15.75">
      <c r="A75" s="117" t="s">
        <v>806</v>
      </c>
    </row>
    <row r="77" ht="15.75">
      <c r="A77" s="407" t="s">
        <v>801</v>
      </c>
    </row>
    <row r="78" ht="15.75">
      <c r="A78" s="117" t="s">
        <v>802</v>
      </c>
    </row>
    <row r="79" ht="15.75">
      <c r="A79" s="117" t="s">
        <v>803</v>
      </c>
    </row>
    <row r="80" ht="15.75">
      <c r="A80" s="117" t="s">
        <v>804</v>
      </c>
    </row>
    <row r="82" ht="15.75">
      <c r="A82" s="407" t="s">
        <v>797</v>
      </c>
    </row>
    <row r="83" ht="15.75">
      <c r="A83" s="117" t="s">
        <v>798</v>
      </c>
    </row>
    <row r="84" ht="15.75">
      <c r="A84" s="117" t="s">
        <v>799</v>
      </c>
    </row>
    <row r="86" ht="15.75">
      <c r="A86" s="407" t="s">
        <v>712</v>
      </c>
    </row>
    <row r="87" ht="15.75">
      <c r="A87" s="117" t="s">
        <v>684</v>
      </c>
    </row>
    <row r="88" ht="31.5">
      <c r="A88" s="221" t="s">
        <v>685</v>
      </c>
    </row>
    <row r="89" ht="15.75">
      <c r="A89" s="117" t="s">
        <v>698</v>
      </c>
    </row>
    <row r="90" ht="15.75">
      <c r="A90" s="117" t="s">
        <v>699</v>
      </c>
    </row>
    <row r="91" ht="15.75">
      <c r="A91" s="117" t="s">
        <v>700</v>
      </c>
    </row>
    <row r="92" ht="15.75">
      <c r="A92" s="117" t="s">
        <v>701</v>
      </c>
    </row>
    <row r="93" ht="31.5">
      <c r="A93" s="221" t="s">
        <v>693</v>
      </c>
    </row>
    <row r="94" ht="31.5">
      <c r="A94" s="221" t="s">
        <v>702</v>
      </c>
    </row>
    <row r="95" ht="31.5">
      <c r="A95" s="221" t="s">
        <v>703</v>
      </c>
    </row>
    <row r="96" ht="15.75">
      <c r="A96" s="221" t="s">
        <v>704</v>
      </c>
    </row>
    <row r="97" ht="31.5">
      <c r="A97" s="221" t="s">
        <v>705</v>
      </c>
    </row>
    <row r="98" ht="15.75">
      <c r="A98" s="117" t="s">
        <v>706</v>
      </c>
    </row>
    <row r="99" ht="15.75">
      <c r="A99" s="117" t="s">
        <v>707</v>
      </c>
    </row>
    <row r="100" ht="15.75">
      <c r="A100" s="117" t="s">
        <v>708</v>
      </c>
    </row>
    <row r="101" ht="15.75">
      <c r="A101" s="117" t="s">
        <v>709</v>
      </c>
    </row>
    <row r="102" ht="31.5">
      <c r="A102" s="221" t="s">
        <v>710</v>
      </c>
    </row>
    <row r="103" ht="15.75">
      <c r="A103" s="221" t="s">
        <v>686</v>
      </c>
    </row>
    <row r="104" ht="31.5">
      <c r="A104" s="221" t="s">
        <v>694</v>
      </c>
    </row>
    <row r="105" ht="15.75">
      <c r="A105" s="221" t="s">
        <v>687</v>
      </c>
    </row>
    <row r="106" ht="15.75">
      <c r="A106" s="221" t="s">
        <v>688</v>
      </c>
    </row>
    <row r="107" ht="15.75">
      <c r="A107" s="221" t="s">
        <v>689</v>
      </c>
    </row>
    <row r="108" ht="31.5">
      <c r="A108" s="221" t="s">
        <v>690</v>
      </c>
    </row>
    <row r="109" ht="31.5">
      <c r="A109" s="221" t="s">
        <v>695</v>
      </c>
    </row>
    <row r="110" ht="31.5">
      <c r="A110" s="221" t="s">
        <v>691</v>
      </c>
    </row>
    <row r="111" ht="31.5">
      <c r="A111" s="221" t="s">
        <v>696</v>
      </c>
    </row>
    <row r="112" ht="15.75">
      <c r="A112" s="221" t="s">
        <v>697</v>
      </c>
    </row>
    <row r="113" ht="15.75">
      <c r="A113" s="221"/>
    </row>
    <row r="114" ht="15.75">
      <c r="A114" s="407" t="s">
        <v>620</v>
      </c>
    </row>
    <row r="115" ht="47.25">
      <c r="A115" s="221" t="s">
        <v>652</v>
      </c>
    </row>
    <row r="116" ht="15.75">
      <c r="A116" s="117" t="s">
        <v>621</v>
      </c>
    </row>
    <row r="117" ht="15.75">
      <c r="A117" s="117" t="s">
        <v>625</v>
      </c>
    </row>
    <row r="118" ht="15.75">
      <c r="A118" s="117" t="s">
        <v>626</v>
      </c>
    </row>
    <row r="119" ht="15.75">
      <c r="A119" s="117" t="s">
        <v>622</v>
      </c>
    </row>
    <row r="120" ht="15.75">
      <c r="A120" s="117" t="s">
        <v>623</v>
      </c>
    </row>
    <row r="121" ht="15.75">
      <c r="A121" s="117" t="s">
        <v>624</v>
      </c>
    </row>
    <row r="122" ht="15.75">
      <c r="A122" s="221" t="s">
        <v>724</v>
      </c>
    </row>
    <row r="123" ht="15.75">
      <c r="A123" s="117" t="s">
        <v>627</v>
      </c>
    </row>
    <row r="124" ht="15.75">
      <c r="A124" s="117" t="s">
        <v>628</v>
      </c>
    </row>
    <row r="125" ht="15.75">
      <c r="A125" s="117" t="s">
        <v>653</v>
      </c>
    </row>
    <row r="126" ht="15.75">
      <c r="A126" s="117" t="s">
        <v>643</v>
      </c>
    </row>
    <row r="127" ht="15.75">
      <c r="A127" s="117" t="s">
        <v>654</v>
      </c>
    </row>
    <row r="128" ht="15.75">
      <c r="A128" s="117" t="s">
        <v>629</v>
      </c>
    </row>
    <row r="129" ht="15.75">
      <c r="A129" s="117" t="s">
        <v>725</v>
      </c>
    </row>
    <row r="130" ht="15.75">
      <c r="A130" s="117" t="s">
        <v>630</v>
      </c>
    </row>
    <row r="131" ht="15.75">
      <c r="A131" s="117" t="s">
        <v>644</v>
      </c>
    </row>
    <row r="132" ht="31.5">
      <c r="A132" s="221" t="s">
        <v>645</v>
      </c>
    </row>
    <row r="133" ht="15.75">
      <c r="A133" s="117" t="s">
        <v>646</v>
      </c>
    </row>
    <row r="134" ht="15.75">
      <c r="A134" s="117" t="s">
        <v>655</v>
      </c>
    </row>
    <row r="135" ht="15.75">
      <c r="A135" s="117" t="s">
        <v>692</v>
      </c>
    </row>
    <row r="136" ht="15.75">
      <c r="A136" s="117" t="s">
        <v>723</v>
      </c>
    </row>
    <row r="137" ht="15.75">
      <c r="A137" s="117" t="s">
        <v>657</v>
      </c>
    </row>
    <row r="138" ht="15.75">
      <c r="A138" s="117" t="s">
        <v>722</v>
      </c>
    </row>
    <row r="139" ht="15.75">
      <c r="A139" s="117" t="s">
        <v>661</v>
      </c>
    </row>
    <row r="140" ht="15.75">
      <c r="A140" s="117" t="s">
        <v>666</v>
      </c>
    </row>
    <row r="141" ht="15.75">
      <c r="A141" s="117" t="s">
        <v>667</v>
      </c>
    </row>
    <row r="142" ht="15.75">
      <c r="A142" s="117" t="s">
        <v>675</v>
      </c>
    </row>
    <row r="143" ht="15.75">
      <c r="A143" s="117" t="s">
        <v>676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2" sqref="A12"/>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68</v>
      </c>
      <c r="B2" s="627"/>
      <c r="C2" s="627"/>
      <c r="D2" s="627"/>
      <c r="E2" s="627"/>
      <c r="F2" s="627"/>
    </row>
    <row r="4" ht="15.75">
      <c r="D4" s="390"/>
    </row>
    <row r="5" spans="1:4" ht="15.75">
      <c r="A5" s="220" t="s">
        <v>63</v>
      </c>
      <c r="B5" s="391" t="s">
        <v>115</v>
      </c>
      <c r="C5" s="392"/>
      <c r="D5" s="220" t="s">
        <v>87</v>
      </c>
    </row>
    <row r="6" spans="1:4" ht="15.75">
      <c r="A6" s="220"/>
      <c r="B6" s="393"/>
      <c r="C6" s="394"/>
      <c r="D6" s="220" t="s">
        <v>86</v>
      </c>
    </row>
    <row r="7" spans="1:4" ht="15.75">
      <c r="A7" s="220" t="s">
        <v>64</v>
      </c>
      <c r="B7" s="391" t="s">
        <v>116</v>
      </c>
      <c r="C7" s="395"/>
      <c r="D7" s="220"/>
    </row>
    <row r="8" spans="1:4" ht="15.75">
      <c r="A8" s="220"/>
      <c r="B8" s="220"/>
      <c r="C8" s="220"/>
      <c r="D8" s="220"/>
    </row>
    <row r="9" spans="1:5" ht="15.75">
      <c r="A9" s="220" t="s">
        <v>65</v>
      </c>
      <c r="B9" s="157" t="s">
        <v>117</v>
      </c>
      <c r="C9" s="157"/>
      <c r="D9" s="157"/>
      <c r="E9" s="396"/>
    </row>
    <row r="10" spans="1:4" ht="15.75">
      <c r="A10" s="220"/>
      <c r="B10" s="220"/>
      <c r="C10" s="220"/>
      <c r="D10" s="220"/>
    </row>
    <row r="11" spans="1:4" ht="15.75">
      <c r="A11" s="220"/>
      <c r="B11" s="220"/>
      <c r="C11" s="220"/>
      <c r="D11" s="220"/>
    </row>
    <row r="12" spans="1:5" ht="15.75">
      <c r="A12" s="220" t="s">
        <v>66</v>
      </c>
      <c r="B12" s="157" t="s">
        <v>118</v>
      </c>
      <c r="C12" s="157"/>
      <c r="D12" s="157"/>
      <c r="E12" s="396"/>
    </row>
    <row r="15" spans="1:5" ht="15.75">
      <c r="A15" s="628" t="s">
        <v>69</v>
      </c>
      <c r="B15" s="628"/>
      <c r="C15" s="220"/>
      <c r="D15" s="220"/>
      <c r="E15" s="220"/>
    </row>
    <row r="16" spans="1:5" ht="15.75">
      <c r="A16" s="220"/>
      <c r="B16" s="220"/>
      <c r="C16" s="220"/>
      <c r="D16" s="220"/>
      <c r="E16" s="220"/>
    </row>
    <row r="17" spans="1:5" ht="15.75">
      <c r="A17" s="220" t="s">
        <v>63</v>
      </c>
      <c r="B17" s="393" t="s">
        <v>67</v>
      </c>
      <c r="C17" s="220"/>
      <c r="D17" s="220"/>
      <c r="E17" s="220"/>
    </row>
    <row r="18" spans="1:5" ht="15.75">
      <c r="A18" s="220"/>
      <c r="B18" s="220"/>
      <c r="C18" s="220"/>
      <c r="D18" s="220"/>
      <c r="E18" s="220"/>
    </row>
    <row r="19" spans="1:5" ht="15.75">
      <c r="A19" s="220" t="s">
        <v>64</v>
      </c>
      <c r="B19" s="220" t="s">
        <v>70</v>
      </c>
      <c r="C19" s="220"/>
      <c r="D19" s="220"/>
      <c r="E19" s="220"/>
    </row>
    <row r="20" spans="1:5" ht="15.75">
      <c r="A20" s="220"/>
      <c r="B20" s="220"/>
      <c r="C20" s="220"/>
      <c r="D20" s="220"/>
      <c r="E20" s="220"/>
    </row>
    <row r="21" spans="1:5" ht="15.75">
      <c r="A21" s="220" t="s">
        <v>65</v>
      </c>
      <c r="B21" s="220" t="s">
        <v>71</v>
      </c>
      <c r="C21" s="220"/>
      <c r="D21" s="220"/>
      <c r="E21" s="220"/>
    </row>
    <row r="22" spans="1:5" ht="15.75">
      <c r="A22" s="220"/>
      <c r="B22" s="220"/>
      <c r="C22" s="220"/>
      <c r="D22" s="220"/>
      <c r="E22" s="220"/>
    </row>
    <row r="23" spans="1:5" ht="15.75">
      <c r="A23" s="220" t="s">
        <v>66</v>
      </c>
      <c r="B23" s="220" t="s">
        <v>72</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9" t="s">
        <v>506</v>
      </c>
      <c r="B1" s="629"/>
      <c r="C1" s="629"/>
      <c r="D1" s="629"/>
      <c r="E1" s="629"/>
      <c r="F1" s="629"/>
      <c r="G1" s="66">
        <f>inputPrYr!D9</f>
        <v>2012</v>
      </c>
    </row>
    <row r="2" spans="2:6" s="66" customFormat="1" ht="15.75">
      <c r="B2" s="67"/>
      <c r="C2" s="67"/>
      <c r="D2" s="67"/>
      <c r="E2" s="67"/>
      <c r="F2" s="68"/>
    </row>
    <row r="3" spans="1:7" s="66" customFormat="1" ht="15.75">
      <c r="A3" s="633" t="str">
        <f>CONCATENATE("To the Clerk of ",inputPrYr!D4,", State of Kansas")</f>
        <v>To the Clerk of Sedgwick County, State of Kansas</v>
      </c>
      <c r="B3" s="634"/>
      <c r="C3" s="634"/>
      <c r="D3" s="634"/>
      <c r="E3" s="634"/>
      <c r="F3" s="634"/>
      <c r="G3" s="634"/>
    </row>
    <row r="4" spans="1:6" s="66" customFormat="1" ht="15.75">
      <c r="A4" s="70" t="s">
        <v>584</v>
      </c>
      <c r="B4" s="67"/>
      <c r="C4" s="67"/>
      <c r="D4" s="67"/>
      <c r="E4" s="67"/>
      <c r="F4" s="67"/>
    </row>
    <row r="5" s="66" customFormat="1" ht="15.75">
      <c r="C5" s="599" t="str">
        <f>inputPrYr!D3</f>
        <v>Kechi Township</v>
      </c>
    </row>
    <row r="6" spans="1:6" s="66" customFormat="1" ht="15.75">
      <c r="A6" s="638" t="s">
        <v>582</v>
      </c>
      <c r="B6" s="634"/>
      <c r="C6" s="634"/>
      <c r="D6" s="634"/>
      <c r="E6" s="634"/>
      <c r="F6" s="634"/>
    </row>
    <row r="7" spans="1:6" s="66" customFormat="1" ht="15.75" customHeight="1">
      <c r="A7" s="633" t="s">
        <v>583</v>
      </c>
      <c r="B7" s="639"/>
      <c r="C7" s="639"/>
      <c r="D7" s="639"/>
      <c r="E7" s="639"/>
      <c r="F7" s="63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35" t="str">
        <f>CONCATENATE("",G1," Adopted Budget")</f>
        <v>2012 Adopted Budget</v>
      </c>
      <c r="E11" s="636"/>
      <c r="F11" s="637"/>
    </row>
    <row r="12" spans="1:6" s="66" customFormat="1" ht="15.75">
      <c r="A12" s="74"/>
      <c r="C12" s="72"/>
      <c r="D12" s="75" t="s">
        <v>734</v>
      </c>
      <c r="E12" s="630" t="str">
        <f>CONCATENATE("Amount of ",G1-1," Ad Valorem Tax")</f>
        <v>Amount of 2011 Ad Valorem Tax</v>
      </c>
      <c r="F12" s="76" t="s">
        <v>735</v>
      </c>
    </row>
    <row r="13" spans="3:6" s="66" customFormat="1" ht="15.75">
      <c r="C13" s="76" t="s">
        <v>736</v>
      </c>
      <c r="D13" s="525" t="s">
        <v>663</v>
      </c>
      <c r="E13" s="631"/>
      <c r="F13" s="78" t="s">
        <v>737</v>
      </c>
    </row>
    <row r="14" spans="1:6" s="66" customFormat="1" ht="15.75">
      <c r="A14" s="79" t="s">
        <v>738</v>
      </c>
      <c r="B14" s="80"/>
      <c r="C14" s="81" t="s">
        <v>739</v>
      </c>
      <c r="D14" s="526" t="s">
        <v>432</v>
      </c>
      <c r="E14" s="632"/>
      <c r="F14" s="81" t="s">
        <v>741</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660</v>
      </c>
      <c r="B16" s="83"/>
      <c r="C16" s="85">
        <v>3</v>
      </c>
      <c r="D16" s="73"/>
      <c r="E16" s="73"/>
      <c r="F16" s="86"/>
    </row>
    <row r="17" spans="1:6" s="66" customFormat="1" ht="15.75">
      <c r="A17" s="87" t="s">
        <v>601</v>
      </c>
      <c r="B17" s="83"/>
      <c r="C17" s="85">
        <v>4</v>
      </c>
      <c r="D17" s="73"/>
      <c r="E17" s="73"/>
      <c r="F17" s="86"/>
    </row>
    <row r="18" spans="1:6" s="66" customFormat="1" ht="15.75">
      <c r="A18" s="87" t="s">
        <v>573</v>
      </c>
      <c r="B18" s="83"/>
      <c r="C18" s="85">
        <v>5</v>
      </c>
      <c r="D18" s="73"/>
      <c r="E18" s="73"/>
      <c r="F18" s="86"/>
    </row>
    <row r="19" spans="1:6" s="66" customFormat="1" ht="15.75">
      <c r="A19" s="88" t="s">
        <v>742</v>
      </c>
      <c r="B19" s="89" t="s">
        <v>743</v>
      </c>
      <c r="C19" s="90"/>
      <c r="F19" s="91"/>
    </row>
    <row r="20" spans="1:6" s="66" customFormat="1" ht="15.75">
      <c r="A20" s="92" t="str">
        <f>inputPrYr!B20</f>
        <v>General</v>
      </c>
      <c r="B20" s="93" t="str">
        <f>inputPrYr!C20</f>
        <v>79-1962</v>
      </c>
      <c r="C20" s="94">
        <f>IF(gen!C57&gt;0,gen!C57,"  ")</f>
        <v>6</v>
      </c>
      <c r="D20" s="85">
        <f>IF(gen!$E$46&lt;&gt;0,gen!$E$46,"  ")</f>
        <v>32500</v>
      </c>
      <c r="E20" s="85">
        <f>IF(gen!$E$53&lt;&gt;0,gen!$E$53,0)</f>
        <v>25144.629999999997</v>
      </c>
      <c r="F20" s="95" t="str">
        <f>IF(AND(gen!E53=0,$B$45&gt;=0)," ",IF(AND(E20&gt;0,$B$45=0)," ",IF(AND(E20&gt;0,$B$45&gt;0),ROUND(E20/$B$45*1000,3))))</f>
        <v> </v>
      </c>
    </row>
    <row r="21" spans="1:6" s="66" customFormat="1" ht="15.75">
      <c r="A21" s="92" t="s">
        <v>800</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252093</v>
      </c>
      <c r="E22" s="85">
        <f>IF(road!$E$48&lt;&gt;0,road!$E$48,"  ")</f>
        <v>86858</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Cemetery</v>
      </c>
      <c r="B31" s="97"/>
      <c r="C31" s="98" t="str">
        <f>IF(Cemetery!$C$65&gt;0,Cemetery!$C$65,"  ")</f>
        <v>  </v>
      </c>
      <c r="D31" s="85">
        <f>IF(Cemetery!$E$28&lt;&gt;0,Cemetery!$E$28,"  ")</f>
        <v>128000</v>
      </c>
      <c r="E31" s="85"/>
      <c r="F31" s="95"/>
    </row>
    <row r="32" spans="1:6" s="66" customFormat="1" ht="15.75">
      <c r="A32" s="96" t="str">
        <f>IF(inputPrYr!$B35&gt;"  ",inputPrYr!$B35,"  ")</f>
        <v>  </v>
      </c>
      <c r="B32" s="99"/>
      <c r="C32" s="98" t="str">
        <f>IF(Cemetery!$C$65&gt;0,Cemetery!$C$65,"  ")</f>
        <v>  </v>
      </c>
      <c r="D32" s="85" t="str">
        <f>IF(Cemetery!$E$59&lt;&gt;0,Cemetery!$E$59,"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744</v>
      </c>
      <c r="B36" s="97"/>
      <c r="C36" s="98" t="str">
        <f>IF(road!C65&gt;0,road!C65,"  ")</f>
        <v>  </v>
      </c>
      <c r="D36" s="90"/>
      <c r="E36" s="90"/>
      <c r="F36" s="95"/>
    </row>
    <row r="37" spans="1:6" s="66" customFormat="1" ht="16.5" thickBot="1">
      <c r="A37" s="100" t="s">
        <v>745</v>
      </c>
      <c r="B37" s="91"/>
      <c r="C37" s="101" t="s">
        <v>746</v>
      </c>
      <c r="D37" s="102">
        <f>SUM(D20:D36)</f>
        <v>412593</v>
      </c>
      <c r="E37" s="102">
        <f>SUM(E20:E36)</f>
        <v>112002.63</v>
      </c>
      <c r="F37" s="103">
        <f>IF(SUM(F20:F36)&gt;0,SUM(F20:F36),"")</f>
      </c>
    </row>
    <row r="38" spans="1:3" s="66" customFormat="1" ht="16.5" thickTop="1">
      <c r="A38" s="87" t="s">
        <v>600</v>
      </c>
      <c r="B38" s="83"/>
      <c r="C38" s="98">
        <f>summ!C52</f>
        <v>0</v>
      </c>
    </row>
    <row r="39" spans="1:5" s="66" customFormat="1" ht="15.75">
      <c r="A39" s="82" t="s">
        <v>656</v>
      </c>
      <c r="B39" s="83"/>
      <c r="C39" s="98">
        <f>IF(nhood!C39&gt;0,nhood!C39,"")</f>
      </c>
      <c r="D39" s="104" t="s">
        <v>590</v>
      </c>
      <c r="E39" s="105" t="str">
        <f>IF(E37&gt;computation!J34,"Yes","No")</f>
        <v>No</v>
      </c>
    </row>
    <row r="40" spans="1:5" s="66" customFormat="1" ht="15.75">
      <c r="A40" s="87" t="s">
        <v>589</v>
      </c>
      <c r="B40" s="83"/>
      <c r="C40" s="98">
        <f>IF(Resolution!D50&gt;0,Resolution!D50,"")</f>
      </c>
      <c r="D40" s="106"/>
      <c r="E40" s="107"/>
    </row>
    <row r="41" spans="1:6" s="66" customFormat="1" ht="15.75">
      <c r="A41" s="82" t="s">
        <v>534</v>
      </c>
      <c r="B41" s="640" t="s">
        <v>559</v>
      </c>
      <c r="C41" s="641"/>
      <c r="D41" s="109"/>
      <c r="F41" s="74" t="s">
        <v>747</v>
      </c>
    </row>
    <row r="42" spans="1:6" s="66" customFormat="1" ht="15.75">
      <c r="A42" s="82" t="str">
        <f>inputPrYr!D3</f>
        <v>Kechi Township</v>
      </c>
      <c r="B42" s="642"/>
      <c r="C42" s="643"/>
      <c r="D42" s="110"/>
      <c r="F42" s="74"/>
    </row>
    <row r="43" spans="1:6" s="66" customFormat="1" ht="15.75">
      <c r="A43" s="82" t="str">
        <f>inputPrYr!D6</f>
        <v>City of Kechi</v>
      </c>
      <c r="B43" s="642"/>
      <c r="C43" s="650"/>
      <c r="D43" s="110"/>
      <c r="F43" s="74"/>
    </row>
    <row r="44" spans="1:6" s="66" customFormat="1" ht="15.75">
      <c r="A44" s="82">
        <f>inputPrYr!D7</f>
        <v>0</v>
      </c>
      <c r="B44" s="642"/>
      <c r="C44" s="650"/>
      <c r="D44" s="110"/>
      <c r="F44" s="74"/>
    </row>
    <row r="45" spans="1:6" s="66" customFormat="1" ht="15.75">
      <c r="A45" s="82" t="s">
        <v>670</v>
      </c>
      <c r="B45" s="648">
        <f>SUM(B42:C44)</f>
        <v>0</v>
      </c>
      <c r="C45" s="649"/>
      <c r="D45" s="110"/>
      <c r="F45" s="74"/>
    </row>
    <row r="46" spans="1:6" s="66" customFormat="1" ht="15.75">
      <c r="A46" s="111"/>
      <c r="B46" s="644" t="str">
        <f>CONCATENATE("Nov. 1, ",G1-1," Valuation")</f>
        <v>Nov. 1, 2011 Valuation</v>
      </c>
      <c r="C46" s="645"/>
      <c r="D46" s="109"/>
      <c r="F46" s="74"/>
    </row>
    <row r="47" spans="1:6" s="66" customFormat="1" ht="15.75">
      <c r="A47" s="111" t="s">
        <v>748</v>
      </c>
      <c r="D47" s="73"/>
      <c r="F47" s="74"/>
    </row>
    <row r="48" spans="1:6" s="66" customFormat="1" ht="15.75">
      <c r="A48" s="114"/>
      <c r="D48" s="109"/>
      <c r="E48" s="73"/>
      <c r="F48" s="73"/>
    </row>
    <row r="49" spans="1:2" s="66" customFormat="1" ht="15.75">
      <c r="A49" s="115"/>
      <c r="B49" s="72"/>
    </row>
    <row r="50" spans="1:6" s="66" customFormat="1" ht="15.75">
      <c r="A50" s="111" t="s">
        <v>577</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581</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750</v>
      </c>
      <c r="B59" s="66"/>
      <c r="C59" s="66"/>
      <c r="D59" s="646" t="s">
        <v>749</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751</v>
      </c>
      <c r="B63" s="118"/>
      <c r="C63" s="118"/>
      <c r="D63" s="118"/>
      <c r="E63" s="118"/>
      <c r="F63" s="66"/>
    </row>
    <row r="64" spans="1:6" ht="15.75">
      <c r="A64" s="119" t="s">
        <v>752</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6" sqref="A16"/>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Kechi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29"/>
      <c r="C3" s="629"/>
      <c r="D3" s="629"/>
      <c r="E3" s="629"/>
      <c r="F3" s="629"/>
      <c r="G3" s="629"/>
      <c r="H3" s="629"/>
      <c r="I3" s="629"/>
      <c r="J3" s="629"/>
    </row>
    <row r="4" spans="1:10" ht="15.75">
      <c r="A4" s="66"/>
      <c r="B4" s="66"/>
      <c r="C4" s="66"/>
      <c r="D4" s="66"/>
      <c r="E4" s="629"/>
      <c r="F4" s="629"/>
      <c r="G4" s="629"/>
      <c r="H4" s="65"/>
      <c r="I4" s="66"/>
      <c r="J4" s="268" t="s">
        <v>516</v>
      </c>
    </row>
    <row r="5" spans="1:10" ht="15.75">
      <c r="A5" s="269" t="s">
        <v>517</v>
      </c>
      <c r="B5" s="66" t="str">
        <f>CONCATENATE("Total Tax Levy Amount in ",J1-1,"")</f>
        <v>Total Tax Levy Amount in 2011</v>
      </c>
      <c r="C5" s="66"/>
      <c r="D5" s="66"/>
      <c r="E5" s="194"/>
      <c r="F5" s="194"/>
      <c r="G5" s="194"/>
      <c r="H5" s="270" t="s">
        <v>766</v>
      </c>
      <c r="I5" s="194" t="s">
        <v>753</v>
      </c>
      <c r="J5" s="271">
        <f>inputPrYr!E31</f>
        <v>104119</v>
      </c>
    </row>
    <row r="6" spans="1:10" ht="15.75">
      <c r="A6" s="269" t="s">
        <v>518</v>
      </c>
      <c r="B6" s="66" t="str">
        <f>CONCATENATE("Debt Service Levy in ",J1-1,"")</f>
        <v>Debt Service Levy in 2011</v>
      </c>
      <c r="C6" s="66"/>
      <c r="D6" s="66"/>
      <c r="E6" s="194"/>
      <c r="F6" s="194"/>
      <c r="G6" s="194"/>
      <c r="H6" s="270" t="s">
        <v>519</v>
      </c>
      <c r="I6" s="194" t="s">
        <v>753</v>
      </c>
      <c r="J6" s="272">
        <f>inputPrYr!E21</f>
        <v>0</v>
      </c>
    </row>
    <row r="7" spans="1:10" ht="15.75">
      <c r="A7" s="269" t="s">
        <v>520</v>
      </c>
      <c r="B7" s="163" t="s">
        <v>542</v>
      </c>
      <c r="C7" s="66"/>
      <c r="D7" s="66"/>
      <c r="E7" s="194"/>
      <c r="F7" s="194"/>
      <c r="G7" s="194"/>
      <c r="H7" s="194"/>
      <c r="I7" s="194" t="s">
        <v>753</v>
      </c>
      <c r="J7" s="273">
        <f>J5-J6</f>
        <v>104119</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521</v>
      </c>
      <c r="B11" s="163" t="str">
        <f>CONCATENATE("New Improvements for ",J1-1,":")</f>
        <v>New Improvements for 2011:</v>
      </c>
      <c r="C11" s="66"/>
      <c r="D11" s="66"/>
      <c r="E11" s="270"/>
      <c r="F11" s="270" t="s">
        <v>766</v>
      </c>
      <c r="G11" s="247">
        <f>inputOth!E16</f>
        <v>1481339</v>
      </c>
      <c r="H11" s="274"/>
      <c r="I11" s="194"/>
      <c r="J11" s="194"/>
    </row>
    <row r="12" spans="1:10" ht="15.75">
      <c r="A12" s="269"/>
      <c r="B12" s="269"/>
      <c r="C12" s="66"/>
      <c r="D12" s="66"/>
      <c r="E12" s="270"/>
      <c r="F12" s="270"/>
      <c r="G12" s="274"/>
      <c r="H12" s="274"/>
      <c r="I12" s="194"/>
      <c r="J12" s="194"/>
    </row>
    <row r="13" spans="1:10" ht="15.75">
      <c r="A13" s="269" t="s">
        <v>522</v>
      </c>
      <c r="B13" s="163" t="str">
        <f>CONCATENATE("Increase in Personal Property for ",J1-1,":")</f>
        <v>Increase in Personal Property for 2011:</v>
      </c>
      <c r="C13" s="66"/>
      <c r="D13" s="66"/>
      <c r="E13" s="270"/>
      <c r="F13" s="270"/>
      <c r="G13" s="274"/>
      <c r="H13" s="274"/>
      <c r="I13" s="194"/>
      <c r="J13" s="194"/>
    </row>
    <row r="14" spans="1:10" ht="15.75">
      <c r="A14" s="66"/>
      <c r="B14" s="66" t="s">
        <v>523</v>
      </c>
      <c r="C14" s="66" t="str">
        <f>CONCATENATE("Personal Property ",J1-1,"")</f>
        <v>Personal Property 2011</v>
      </c>
      <c r="D14" s="269" t="s">
        <v>766</v>
      </c>
      <c r="E14" s="247">
        <f>inputOth!E21</f>
        <v>641394</v>
      </c>
      <c r="F14" s="270"/>
      <c r="G14" s="194"/>
      <c r="H14" s="194"/>
      <c r="I14" s="274"/>
      <c r="J14" s="194"/>
    </row>
    <row r="15" spans="1:10" ht="15.75">
      <c r="A15" s="269"/>
      <c r="B15" s="66" t="s">
        <v>524</v>
      </c>
      <c r="C15" s="66" t="str">
        <f>CONCATENATE("Personal Property ",J1-2,"")</f>
        <v>Personal Property 2010</v>
      </c>
      <c r="D15" s="269" t="s">
        <v>519</v>
      </c>
      <c r="E15" s="273">
        <f>inputOth!E31</f>
        <v>697741</v>
      </c>
      <c r="F15" s="270"/>
      <c r="G15" s="274"/>
      <c r="H15" s="274"/>
      <c r="I15" s="194"/>
      <c r="J15" s="194"/>
    </row>
    <row r="16" spans="1:10" ht="15.75">
      <c r="A16" s="269"/>
      <c r="B16" s="66" t="s">
        <v>525</v>
      </c>
      <c r="C16" s="66" t="s">
        <v>543</v>
      </c>
      <c r="D16" s="66"/>
      <c r="E16" s="194"/>
      <c r="F16" s="194" t="s">
        <v>766</v>
      </c>
      <c r="G16" s="247">
        <f>IF(E14&gt;E15,E14-E15,0)</f>
        <v>0</v>
      </c>
      <c r="H16" s="274"/>
      <c r="I16" s="194"/>
      <c r="J16" s="194"/>
    </row>
    <row r="17" spans="1:10" ht="15.75">
      <c r="A17" s="269"/>
      <c r="B17" s="269"/>
      <c r="C17" s="66"/>
      <c r="D17" s="66"/>
      <c r="E17" s="194"/>
      <c r="F17" s="194"/>
      <c r="G17" s="274" t="s">
        <v>533</v>
      </c>
      <c r="H17" s="274"/>
      <c r="I17" s="194"/>
      <c r="J17" s="194"/>
    </row>
    <row r="18" spans="1:10" ht="15.75">
      <c r="A18" s="269" t="s">
        <v>526</v>
      </c>
      <c r="B18" s="163" t="str">
        <f>CONCATENATE("Valuation of Property that has Changed in Use during ",J1-1,":")</f>
        <v>Valuation of Property that has Changed in Use during 2011:</v>
      </c>
      <c r="C18" s="66"/>
      <c r="D18" s="66"/>
      <c r="E18" s="194"/>
      <c r="F18" s="270" t="s">
        <v>766</v>
      </c>
      <c r="G18" s="247">
        <f>inputOth!E26</f>
        <v>978</v>
      </c>
      <c r="H18" s="194"/>
      <c r="I18" s="194"/>
      <c r="J18" s="194"/>
    </row>
    <row r="19" spans="1:10" ht="15.75">
      <c r="A19" s="66" t="s">
        <v>734</v>
      </c>
      <c r="B19" s="66"/>
      <c r="C19" s="66"/>
      <c r="D19" s="269"/>
      <c r="E19" s="274"/>
      <c r="F19" s="274"/>
      <c r="G19" s="274"/>
      <c r="H19" s="194"/>
      <c r="I19" s="194"/>
      <c r="J19" s="194"/>
    </row>
    <row r="20" spans="1:10" ht="15.75">
      <c r="A20" s="269" t="s">
        <v>527</v>
      </c>
      <c r="B20" s="163" t="s">
        <v>544</v>
      </c>
      <c r="C20" s="66"/>
      <c r="D20" s="66"/>
      <c r="E20" s="194"/>
      <c r="F20" s="194"/>
      <c r="G20" s="247">
        <f>G11+G16+G18</f>
        <v>1482317</v>
      </c>
      <c r="H20" s="274"/>
      <c r="I20" s="194"/>
      <c r="J20" s="194"/>
    </row>
    <row r="21" spans="1:10" ht="15.75">
      <c r="A21" s="269"/>
      <c r="B21" s="269"/>
      <c r="C21" s="163"/>
      <c r="D21" s="66"/>
      <c r="E21" s="194"/>
      <c r="F21" s="194"/>
      <c r="G21" s="274"/>
      <c r="H21" s="274"/>
      <c r="I21" s="194"/>
      <c r="J21" s="194"/>
    </row>
    <row r="22" spans="1:10" ht="15.75">
      <c r="A22" s="269" t="s">
        <v>528</v>
      </c>
      <c r="B22" s="66" t="str">
        <f>CONCATENATE("Total Estimated Valuation July 1,",J1-1,"")</f>
        <v>Total Estimated Valuation July 1,2011</v>
      </c>
      <c r="C22" s="66"/>
      <c r="D22" s="66"/>
      <c r="E22" s="247">
        <f>inputOth!E11</f>
        <v>21058105</v>
      </c>
      <c r="F22" s="194"/>
      <c r="G22" s="194"/>
      <c r="H22" s="194"/>
      <c r="I22" s="270"/>
      <c r="J22" s="194"/>
    </row>
    <row r="23" spans="1:10" ht="15.75">
      <c r="A23" s="269"/>
      <c r="B23" s="269"/>
      <c r="C23" s="66"/>
      <c r="D23" s="66"/>
      <c r="E23" s="274"/>
      <c r="F23" s="194"/>
      <c r="G23" s="194"/>
      <c r="H23" s="194"/>
      <c r="I23" s="270"/>
      <c r="J23" s="194"/>
    </row>
    <row r="24" spans="1:10" ht="15.75">
      <c r="A24" s="269" t="s">
        <v>529</v>
      </c>
      <c r="B24" s="163" t="s">
        <v>545</v>
      </c>
      <c r="C24" s="66"/>
      <c r="D24" s="66"/>
      <c r="E24" s="194"/>
      <c r="F24" s="194"/>
      <c r="G24" s="247">
        <f>E22-G20</f>
        <v>19575788</v>
      </c>
      <c r="H24" s="274"/>
      <c r="I24" s="270"/>
      <c r="J24" s="194"/>
    </row>
    <row r="25" spans="1:10" ht="15.75">
      <c r="A25" s="269"/>
      <c r="B25" s="269"/>
      <c r="C25" s="163"/>
      <c r="D25" s="66"/>
      <c r="E25" s="66"/>
      <c r="F25" s="66"/>
      <c r="G25" s="275"/>
      <c r="H25" s="73"/>
      <c r="I25" s="269"/>
      <c r="J25" s="66"/>
    </row>
    <row r="26" spans="1:10" ht="15.75">
      <c r="A26" s="269" t="s">
        <v>530</v>
      </c>
      <c r="B26" s="66" t="s">
        <v>546</v>
      </c>
      <c r="C26" s="66"/>
      <c r="D26" s="66"/>
      <c r="E26" s="66"/>
      <c r="F26" s="66"/>
      <c r="G26" s="276">
        <f>IF(G20&gt;0,G20/G24,0)</f>
        <v>0.07572195816587307</v>
      </c>
      <c r="H26" s="73"/>
      <c r="I26" s="66"/>
      <c r="J26" s="66"/>
    </row>
    <row r="27" spans="1:10" ht="15.75">
      <c r="A27" s="269"/>
      <c r="B27" s="269"/>
      <c r="C27" s="66"/>
      <c r="D27" s="66"/>
      <c r="E27" s="66"/>
      <c r="F27" s="66"/>
      <c r="G27" s="73"/>
      <c r="H27" s="73"/>
      <c r="I27" s="66"/>
      <c r="J27" s="66"/>
    </row>
    <row r="28" spans="1:10" ht="15.75">
      <c r="A28" s="269" t="s">
        <v>531</v>
      </c>
      <c r="B28" s="66" t="s">
        <v>547</v>
      </c>
      <c r="C28" s="66"/>
      <c r="D28" s="66"/>
      <c r="E28" s="66"/>
      <c r="F28" s="66"/>
      <c r="G28" s="73"/>
      <c r="H28" s="277" t="s">
        <v>766</v>
      </c>
      <c r="I28" s="66" t="s">
        <v>753</v>
      </c>
      <c r="J28" s="247">
        <f>ROUND(G26*J7,0)</f>
        <v>7884</v>
      </c>
    </row>
    <row r="29" spans="1:10" ht="15.75">
      <c r="A29" s="269"/>
      <c r="B29" s="269"/>
      <c r="C29" s="66"/>
      <c r="D29" s="66"/>
      <c r="E29" s="66"/>
      <c r="F29" s="66"/>
      <c r="G29" s="73"/>
      <c r="H29" s="277"/>
      <c r="I29" s="66"/>
      <c r="J29" s="274"/>
    </row>
    <row r="30" spans="1:10" ht="16.5" thickBot="1">
      <c r="A30" s="269" t="s">
        <v>532</v>
      </c>
      <c r="B30" s="163" t="s">
        <v>551</v>
      </c>
      <c r="C30" s="66"/>
      <c r="D30" s="66"/>
      <c r="E30" s="66"/>
      <c r="F30" s="66"/>
      <c r="G30" s="66"/>
      <c r="H30" s="66"/>
      <c r="I30" s="66" t="s">
        <v>753</v>
      </c>
      <c r="J30" s="278">
        <f>J7+J28</f>
        <v>112003</v>
      </c>
    </row>
    <row r="31" spans="1:10" ht="16.5" thickTop="1">
      <c r="A31" s="66"/>
      <c r="B31" s="66"/>
      <c r="C31" s="66"/>
      <c r="D31" s="66"/>
      <c r="E31" s="66"/>
      <c r="F31" s="66"/>
      <c r="G31" s="66"/>
      <c r="H31" s="66"/>
      <c r="I31" s="66"/>
      <c r="J31" s="66"/>
    </row>
    <row r="32" spans="1:10" ht="15.75">
      <c r="A32" s="269" t="s">
        <v>549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550</v>
      </c>
      <c r="B34" s="163" t="s">
        <v>552</v>
      </c>
      <c r="C34" s="66"/>
      <c r="D34" s="66"/>
      <c r="E34" s="66"/>
      <c r="F34" s="66"/>
      <c r="G34" s="66"/>
      <c r="H34" s="66"/>
      <c r="I34" s="66"/>
      <c r="J34" s="278">
        <f>J30+J32</f>
        <v>112003</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548</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A16" sqref="A16"/>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Kechi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717</v>
      </c>
      <c r="C6" s="647"/>
      <c r="D6" s="647"/>
      <c r="E6" s="647"/>
      <c r="F6" s="647"/>
      <c r="G6" s="647"/>
      <c r="H6" s="647"/>
      <c r="I6" s="647"/>
      <c r="J6" s="647"/>
      <c r="K6" s="647"/>
    </row>
    <row r="7" spans="1:11" ht="16.5">
      <c r="A7" s="66"/>
      <c r="B7" s="629"/>
      <c r="C7" s="654"/>
      <c r="D7" s="654"/>
      <c r="E7" s="654"/>
      <c r="F7" s="654"/>
      <c r="G7" s="654"/>
      <c r="H7" s="654"/>
      <c r="I7" s="654"/>
      <c r="J7" s="654"/>
      <c r="K7" s="654"/>
    </row>
    <row r="8" spans="1:11" ht="16.5">
      <c r="A8" s="66"/>
      <c r="B8" s="62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35"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514</v>
      </c>
      <c r="H11" s="81"/>
      <c r="I11" s="81" t="s">
        <v>515</v>
      </c>
      <c r="J11" s="78" t="s">
        <v>556</v>
      </c>
      <c r="K11" s="78" t="s">
        <v>595</v>
      </c>
    </row>
    <row r="12" spans="1:11" ht="15.75">
      <c r="A12" s="66"/>
      <c r="B12" s="92" t="str">
        <f>inputPrYr!B20</f>
        <v>General</v>
      </c>
      <c r="C12" s="238"/>
      <c r="D12" s="92">
        <f>IF(inputPrYr!E20&gt;0,inputPrYr!E20,"  ")</f>
        <v>26427</v>
      </c>
      <c r="E12" s="239">
        <f>IF(inputOth!D37&gt;0,inputOth!D37,"  ")</f>
        <v>1.34</v>
      </c>
      <c r="F12" s="240"/>
      <c r="G12" s="92">
        <f>IF(inputPrYr!E20=0,0,G25-SUM(G13:G22))</f>
        <v>1168</v>
      </c>
      <c r="H12" s="241"/>
      <c r="I12" s="92">
        <f>IF(inputPrYr!E20=0,0,I27-SUM(I13:I22))</f>
        <v>22</v>
      </c>
      <c r="J12" s="92">
        <f>IF(inputPrYr!E20=0,0,J29-SUM(J13:J22))</f>
        <v>24</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77692</v>
      </c>
      <c r="E14" s="239">
        <f>IF(inputOth!D39&gt;0,inputOth!D39,"  ")</f>
        <v>9.307</v>
      </c>
      <c r="F14" s="240"/>
      <c r="G14" s="92">
        <f>IF(inputPrYr!E22=0,0,ROUND(D14*$G$33,0))</f>
        <v>3432</v>
      </c>
      <c r="H14" s="241"/>
      <c r="I14" s="92">
        <f>IF(inputPrYr!$E$22=0,0,ROUND($D$14*$I$35,0))</f>
        <v>65</v>
      </c>
      <c r="J14" s="92">
        <f>IF(inputPrYr!E22=0,0,ROUND($D14*$J$37,0))</f>
        <v>70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732</v>
      </c>
      <c r="C23" s="242"/>
      <c r="D23" s="243">
        <f aca="true" t="shared" si="0" ref="D23:J23">SUM(D12:D22)</f>
        <v>104119</v>
      </c>
      <c r="E23" s="244">
        <f>SUM(E12:E22)</f>
        <v>10.647</v>
      </c>
      <c r="F23" s="245"/>
      <c r="G23" s="243">
        <f t="shared" si="0"/>
        <v>4600</v>
      </c>
      <c r="H23" s="243"/>
      <c r="I23" s="243">
        <f t="shared" si="0"/>
        <v>87</v>
      </c>
      <c r="J23" s="243">
        <f t="shared" si="0"/>
        <v>94</v>
      </c>
      <c r="K23" s="243">
        <f>SUM(K12:K22)</f>
        <v>0</v>
      </c>
    </row>
    <row r="24" spans="1:11" ht="16.5" thickTop="1">
      <c r="A24" s="66"/>
      <c r="B24" s="66"/>
      <c r="C24" s="66"/>
      <c r="D24" s="66"/>
      <c r="E24" s="66"/>
      <c r="F24" s="66"/>
      <c r="G24" s="66"/>
      <c r="H24" s="66"/>
      <c r="I24" s="66"/>
      <c r="J24" s="66"/>
      <c r="K24" s="66"/>
    </row>
    <row r="25" spans="1:11" ht="15.75">
      <c r="A25" s="66"/>
      <c r="B25" s="74" t="s">
        <v>756</v>
      </c>
      <c r="C25" s="213"/>
      <c r="D25" s="66"/>
      <c r="E25" s="66"/>
      <c r="F25" s="66"/>
      <c r="G25" s="246">
        <f>SUM(inputOth!E58,inputOth!E62,inputOth!E66)</f>
        <v>4600</v>
      </c>
      <c r="H25" s="66"/>
      <c r="I25" s="66"/>
      <c r="J25" s="66"/>
      <c r="K25" s="66"/>
    </row>
    <row r="26" spans="1:11" ht="15.75">
      <c r="A26" s="66"/>
      <c r="B26" s="66"/>
      <c r="C26" s="66"/>
      <c r="D26" s="66"/>
      <c r="E26" s="66"/>
      <c r="F26" s="66"/>
      <c r="G26" s="66"/>
      <c r="H26" s="66"/>
      <c r="I26" s="66"/>
      <c r="J26" s="66"/>
      <c r="K26" s="66"/>
    </row>
    <row r="27" spans="1:11" ht="15.75">
      <c r="A27" s="66"/>
      <c r="B27" s="74" t="s">
        <v>757</v>
      </c>
      <c r="C27" s="66"/>
      <c r="D27" s="66"/>
      <c r="E27" s="66"/>
      <c r="F27" s="66"/>
      <c r="G27" s="66"/>
      <c r="H27" s="246">
        <f>inputPrYr!E81</f>
        <v>0</v>
      </c>
      <c r="I27" s="246">
        <f>SUM(inputOth!E59,inputOth!E63,inputOth!E67)</f>
        <v>87</v>
      </c>
      <c r="J27" s="66"/>
      <c r="K27" s="66"/>
    </row>
    <row r="28" spans="1:11" ht="15.75">
      <c r="A28" s="66"/>
      <c r="B28" s="66"/>
      <c r="C28" s="66"/>
      <c r="D28" s="66"/>
      <c r="E28" s="66"/>
      <c r="F28" s="66"/>
      <c r="G28" s="66"/>
      <c r="H28" s="66"/>
      <c r="I28" s="66"/>
      <c r="J28" s="66"/>
      <c r="K28" s="66"/>
    </row>
    <row r="29" spans="1:11" ht="15.75">
      <c r="A29" s="66"/>
      <c r="B29" s="74" t="s">
        <v>511</v>
      </c>
      <c r="C29" s="66"/>
      <c r="D29" s="66"/>
      <c r="E29" s="66"/>
      <c r="F29" s="66"/>
      <c r="G29" s="66"/>
      <c r="H29" s="66"/>
      <c r="I29" s="66"/>
      <c r="J29" s="246">
        <f>SUM(inputOth!E60,inputOth!E64,inputOth!E68)</f>
        <v>94</v>
      </c>
      <c r="K29" s="182"/>
    </row>
    <row r="30" spans="1:11" ht="15.75">
      <c r="A30" s="66"/>
      <c r="B30" s="66"/>
      <c r="C30" s="66"/>
      <c r="D30" s="66"/>
      <c r="E30" s="66"/>
      <c r="F30" s="66"/>
      <c r="G30" s="66"/>
      <c r="H30" s="66"/>
      <c r="I30" s="66"/>
      <c r="J30" s="66"/>
      <c r="K30" s="66"/>
    </row>
    <row r="31" spans="1:11" ht="15.75">
      <c r="A31" s="66"/>
      <c r="B31" s="66" t="s">
        <v>658</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758</v>
      </c>
      <c r="C33" s="66"/>
      <c r="D33" s="66"/>
      <c r="E33" s="66"/>
      <c r="F33" s="66"/>
      <c r="G33" s="248">
        <f>IF(D23=0,0,G25/D23)</f>
        <v>0.04418021686723845</v>
      </c>
      <c r="H33" s="66"/>
      <c r="I33" s="66"/>
      <c r="J33" s="66"/>
      <c r="K33" s="66"/>
    </row>
    <row r="34" spans="1:11" ht="15.75">
      <c r="A34" s="66"/>
      <c r="B34" s="66"/>
      <c r="C34" s="249"/>
      <c r="D34" s="66"/>
      <c r="E34" s="66"/>
      <c r="F34" s="66"/>
      <c r="G34" s="66"/>
      <c r="H34" s="66"/>
      <c r="I34" s="66"/>
      <c r="J34" s="66"/>
      <c r="K34" s="66"/>
    </row>
    <row r="35" spans="1:11" ht="15.75">
      <c r="A35" s="66"/>
      <c r="B35" s="74" t="s">
        <v>759</v>
      </c>
      <c r="C35" s="66"/>
      <c r="D35" s="66"/>
      <c r="E35" s="66"/>
      <c r="F35" s="66"/>
      <c r="G35" s="66"/>
      <c r="H35" s="250">
        <f>IF(D23=0,0,H27/D23)</f>
        <v>0</v>
      </c>
      <c r="I35" s="251">
        <f>IF(D23=0,0,I27/D23)</f>
        <v>0.000835582362489075</v>
      </c>
      <c r="J35" s="66"/>
      <c r="K35" s="66"/>
    </row>
    <row r="36" spans="1:11" ht="15.75">
      <c r="A36" s="66"/>
      <c r="B36" s="66"/>
      <c r="C36" s="66"/>
      <c r="D36" s="66"/>
      <c r="E36" s="66"/>
      <c r="F36" s="66"/>
      <c r="G36" s="66"/>
      <c r="H36" s="66"/>
      <c r="I36" s="66"/>
      <c r="J36" s="66"/>
      <c r="K36" s="66"/>
    </row>
    <row r="37" spans="1:11" ht="15.75">
      <c r="A37" s="66"/>
      <c r="B37" s="74" t="s">
        <v>513</v>
      </c>
      <c r="C37" s="66"/>
      <c r="D37" s="66"/>
      <c r="E37" s="66"/>
      <c r="F37" s="66"/>
      <c r="G37" s="66"/>
      <c r="H37" s="66"/>
      <c r="I37" s="66"/>
      <c r="J37" s="248">
        <f>IF(D23=0,0,J29/D23)</f>
        <v>0.0009028131272870466</v>
      </c>
      <c r="K37" s="252"/>
    </row>
    <row r="38" spans="1:11" ht="15.75">
      <c r="A38" s="66"/>
      <c r="B38" s="66"/>
      <c r="C38" s="66"/>
      <c r="D38" s="66"/>
      <c r="E38" s="66"/>
      <c r="F38" s="66"/>
      <c r="G38" s="66"/>
      <c r="H38" s="66"/>
      <c r="I38" s="66"/>
      <c r="J38" s="66"/>
      <c r="K38" s="66"/>
    </row>
    <row r="39" spans="1:11" ht="15.75">
      <c r="A39" s="66"/>
      <c r="B39" s="66" t="s">
        <v>659</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Kechi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9" t="s">
        <v>601</v>
      </c>
      <c r="B5" s="629"/>
      <c r="C5" s="629"/>
      <c r="D5" s="629"/>
      <c r="E5" s="629"/>
      <c r="F5" s="629"/>
    </row>
    <row r="6" spans="1:6" ht="14.25" customHeight="1">
      <c r="A6" s="65"/>
      <c r="B6" s="254"/>
      <c r="C6" s="254"/>
      <c r="D6" s="254"/>
      <c r="E6" s="254"/>
      <c r="F6" s="254"/>
    </row>
    <row r="7" spans="1:6" ht="15" customHeight="1">
      <c r="A7" s="255" t="s">
        <v>740</v>
      </c>
      <c r="B7" s="255" t="s">
        <v>331</v>
      </c>
      <c r="C7" s="256" t="s">
        <v>783</v>
      </c>
      <c r="D7" s="256" t="s">
        <v>602</v>
      </c>
      <c r="E7" s="255" t="s">
        <v>603</v>
      </c>
      <c r="F7" s="255" t="s">
        <v>604</v>
      </c>
    </row>
    <row r="8" spans="1:6" ht="15" customHeight="1">
      <c r="A8" s="257" t="s">
        <v>332</v>
      </c>
      <c r="B8" s="257" t="s">
        <v>333</v>
      </c>
      <c r="C8" s="258" t="s">
        <v>605</v>
      </c>
      <c r="D8" s="258" t="s">
        <v>605</v>
      </c>
      <c r="E8" s="258" t="s">
        <v>605</v>
      </c>
      <c r="F8" s="258" t="s">
        <v>606</v>
      </c>
    </row>
    <row r="9" spans="1:6" s="261" customFormat="1" ht="15" customHeight="1" thickBot="1">
      <c r="A9" s="259" t="s">
        <v>607</v>
      </c>
      <c r="B9" s="260" t="s">
        <v>608</v>
      </c>
      <c r="C9" s="260">
        <f>F1-2</f>
        <v>2010</v>
      </c>
      <c r="D9" s="260">
        <f>F1-1</f>
        <v>2011</v>
      </c>
      <c r="E9" s="260">
        <f>F1</f>
        <v>2012</v>
      </c>
      <c r="F9" s="260" t="s">
        <v>727</v>
      </c>
    </row>
    <row r="10" spans="1:6" ht="15" customHeight="1" thickTop="1">
      <c r="A10" s="262"/>
      <c r="B10" s="262"/>
      <c r="C10" s="263"/>
      <c r="D10" s="263"/>
      <c r="E10" s="263"/>
      <c r="F10" s="262"/>
    </row>
    <row r="11" spans="1:6" ht="15" customHeight="1">
      <c r="A11" s="212" t="s">
        <v>681</v>
      </c>
      <c r="B11" s="212" t="s">
        <v>744</v>
      </c>
      <c r="C11" s="264">
        <f>gen!$C$39</f>
        <v>0</v>
      </c>
      <c r="D11" s="264">
        <f>gen!$D$39</f>
        <v>0</v>
      </c>
      <c r="E11" s="264">
        <f>gen!$E$39</f>
        <v>0</v>
      </c>
      <c r="F11" s="212">
        <f>IF(C11+D11+E11&gt;0,"80-1406b","")</f>
      </c>
    </row>
    <row r="12" spans="1:6" ht="15" customHeight="1">
      <c r="A12" s="212" t="s">
        <v>681</v>
      </c>
      <c r="B12" s="212" t="s">
        <v>744</v>
      </c>
      <c r="C12" s="264">
        <f>gen!$C$41</f>
        <v>0</v>
      </c>
      <c r="D12" s="264">
        <f>gen!$D$41</f>
        <v>0</v>
      </c>
      <c r="E12" s="264">
        <f>gen!$E$41</f>
        <v>0</v>
      </c>
      <c r="F12" s="212">
        <f>IF(C12+D12+E12&gt;0,"80-122","")</f>
      </c>
    </row>
    <row r="13" spans="1:6" ht="15" customHeight="1">
      <c r="A13" s="212" t="s">
        <v>731</v>
      </c>
      <c r="B13" s="212" t="s">
        <v>744</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732</v>
      </c>
      <c r="C27" s="267">
        <f>SUM(C10:C26)</f>
        <v>0</v>
      </c>
      <c r="D27" s="267">
        <f>SUM(D10:D26)</f>
        <v>0</v>
      </c>
      <c r="E27" s="267">
        <f>SUM(E10:E26)</f>
        <v>0</v>
      </c>
      <c r="F27" s="196"/>
    </row>
    <row r="28" spans="1:6" ht="15.75">
      <c r="A28" s="196"/>
      <c r="B28" s="90" t="s">
        <v>330</v>
      </c>
      <c r="C28" s="66"/>
      <c r="D28" s="184"/>
      <c r="E28" s="184"/>
      <c r="F28" s="196"/>
    </row>
    <row r="29" spans="1:6" ht="15.75">
      <c r="A29" s="196"/>
      <c r="B29" s="90" t="s">
        <v>609</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334</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2011-07-12T16:05:09Z</cp:lastPrinted>
  <dcterms:created xsi:type="dcterms:W3CDTF">1998-08-26T16:30:41Z</dcterms:created>
  <dcterms:modified xsi:type="dcterms:W3CDTF">2012-01-25T15:27:54Z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