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state="hidden"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<sst xmlns="http://schemas.openxmlformats.org/spreadsheetml/2006/main" count="1375" uniqueCount="822">
  <si>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</si>
  <si>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</si>
  <si>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</si>
  <si>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</si>
  <si>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</si>
  <si>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</si>
  <si>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</si>
  <si>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</si>
  <si>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</si>
  <si>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</si>
  <si>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</si>
  <si>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</si>
  <si>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</si>
  <si>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</si>
  <si>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</si>
  <si>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</si>
  <si>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</si>
  <si>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</si>
  <si>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</si>
  <si>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</si>
  <si>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</si>
  <si>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</si>
  <si>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</si>
  <si>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</si>
  <si>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</si>
  <si>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</si>
  <si>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</si>
  <si>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</si>
  <si>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</si>
  <si>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</si>
  <si>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</si>
  <si>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</si>
  <si>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</si>
  <si>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</si>
  <si>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</si>
  <si>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</si>
  <si>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</si>
  <si>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</si>
  <si>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</si>
  <si>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</si>
  <si>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</si>
  <si>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</si>
  <si>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</si>
  <si>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</si>
  <si>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</si>
  <si>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</si>
  <si>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</si>
  <si>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</si>
  <si>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</si>
  <si>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</si>
  <si>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</si>
  <si>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</si>
  <si>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</si>
  <si>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</si>
  <si>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</si>
  <si>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</si>
  <si>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</si>
  <si>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</si>
  <si>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</si>
  <si>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</si>
  <si>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</si>
  <si>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</si>
  <si>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</si>
  <si>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</si>
  <si>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</si>
  <si>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</si>
  <si>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</si>
  <si>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</si>
  <si>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</si>
  <si>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</si>
  <si>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</si>
  <si>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</si>
  <si>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</si>
  <si>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</si>
  <si>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</si>
  <si>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</si>
  <si>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</si>
  <si>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</si>
  <si>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</si>
  <si>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</si>
  <si>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</si>
  <si>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</si>
  <si>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</si>
  <si>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</si>
  <si>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</si>
  <si>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</si>
  <si>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</si>
  <si>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</si>
  <si>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</si>
  <si>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</si>
  <si>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</si>
  <si>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</si>
  <si>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</si>
  <si>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</si>
  <si>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</si>
  <si>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</si>
  <si>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</si>
  <si>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</si>
  <si>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</si>
  <si>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</si>
  <si>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</si>
  <si>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</si>
  <si>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</si>
  <si>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</si>
  <si>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</si>
  <si>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</si>
  <si>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</si>
  <si>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</si>
  <si>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</si>
  <si>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</si>
  <si>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</si>
  <si>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</si>
  <si>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</si>
  <si>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</si>
  <si>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</si>
  <si>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</si>
  <si>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</si>
  <si>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</si>
  <si>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</si>
  <si>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</si>
  <si>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</si>
  <si>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</si>
  <si>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</si>
  <si>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</si>
  <si>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</si>
  <si>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</si>
  <si>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</si>
  <si>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</si>
  <si>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</si>
  <si>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</si>
  <si>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</si>
  <si>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</si>
  <si>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</si>
  <si>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</si>
  <si>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</si>
  <si>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</si>
  <si>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</si>
  <si>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</si>
  <si>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</si>
  <si>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</si>
  <si>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</si>
  <si>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</si>
  <si>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</si>
  <si>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</si>
  <si>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</si>
  <si>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</si>
  <si>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</si>
  <si>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</si>
  <si>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</si>
  <si>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</si>
  <si>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</si>
  <si>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</si>
  <si>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</si>
  <si>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</si>
  <si>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</si>
  <si>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</si>
  <si>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</si>
  <si>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</si>
  <si>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</si>
  <si>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</si>
  <si>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</si>
  <si>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</si>
  <si>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</si>
  <si>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</si>
  <si>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</si>
  <si>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</si>
  <si>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</si>
  <si>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</si>
  <si>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</si>
  <si>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</si>
  <si>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</si>
  <si>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</si>
  <si>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</si>
  <si>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</si>
  <si>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</si>
  <si>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</si>
  <si>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</si>
  <si>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</si>
  <si>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</si>
  <si>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</si>
  <si>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</si>
  <si>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</si>
  <si>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</si>
  <si>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</si>
  <si>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</si>
  <si>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</si>
  <si>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</si>
  <si>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</si>
  <si>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</si>
  <si>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</si>
  <si>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</si>
  <si>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</si>
  <si>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</si>
  <si>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</si>
  <si>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</si>
  <si>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</si>
  <si>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</si>
  <si>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</si>
  <si>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</si>
  <si>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</si>
  <si>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</si>
  <si>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</si>
  <si>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</si>
  <si>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</si>
  <si>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</si>
  <si>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</si>
  <si>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</si>
  <si>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</si>
  <si>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</si>
  <si>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</si>
  <si>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</si>
  <si>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</si>
  <si>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</si>
  <si>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</si>
  <si>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</si>
  <si>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</si>
  <si>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</si>
  <si>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</si>
  <si>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</si>
  <si>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</si>
  <si>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</si>
  <si>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</si>
  <si>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</si>
  <si>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</si>
  <si>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</si>
  <si>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</si>
  <si>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</si>
  <si>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</si>
  <si>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</si>
  <si>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</si>
  <si>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</si>
  <si>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</si>
  <si>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</si>
  <si>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</si>
  <si>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</si>
  <si>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</si>
  <si>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</si>
  <si>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</si>
  <si>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</si>
  <si>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</si>
  <si>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</si>
  <si>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</si>
  <si>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</si>
  <si>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</si>
  <si>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</si>
  <si>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</si>
  <si>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</si>
  <si>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</si>
  <si>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</si>
  <si>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</si>
  <si>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</si>
  <si>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</si>
  <si>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</si>
  <si>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</si>
  <si>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</si>
  <si>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</si>
  <si>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</si>
  <si>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</si>
  <si>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</si>
  <si>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</si>
  <si>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</si>
  <si>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</si>
  <si>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</si>
  <si>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</si>
  <si>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</si>
  <si>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</si>
  <si>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</si>
  <si>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</si>
  <si>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</si>
  <si>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</si>
  <si>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</si>
  <si>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</si>
  <si>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</si>
  <si>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</si>
  <si>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</si>
  <si>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</si>
  <si>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</si>
  <si>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</si>
  <si>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</si>
  <si>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</si>
  <si>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</si>
  <si>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</si>
  <si>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</si>
  <si>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</si>
  <si>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</si>
  <si>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</si>
  <si>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</si>
  <si>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</si>
  <si>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</si>
  <si>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</si>
  <si>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</si>
  <si>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</si>
  <si>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</si>
  <si>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</si>
  <si>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</si>
  <si>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</si>
  <si>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</si>
  <si>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</si>
  <si>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</si>
  <si>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</si>
  <si>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</si>
  <si>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</si>
  <si>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</si>
  <si>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</si>
  <si>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</si>
  <si>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</si>
  <si>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</si>
  <si>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</si>
  <si>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</si>
  <si>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</si>
  <si>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</si>
  <si>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</si>
  <si>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</si>
  <si>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</si>
  <si>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</si>
  <si>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</si>
  <si>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</si>
  <si>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</si>
  <si>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</si>
  <si>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</si>
  <si>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</si>
  <si>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</si>
  <si>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</si>
  <si>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</si>
  <si>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</si>
  <si>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</si>
  <si>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</si>
  <si>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</si>
  <si>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</si>
  <si>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</si>
  <si>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</si>
  <si>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</si>
  <si>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</si>
  <si>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</si>
  <si>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</si>
  <si>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</si>
  <si>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</si>
  <si>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</si>
  <si>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</si>
  <si>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</si>
  <si>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</si>
  <si>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</si>
  <si>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</si>
  <si>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</si>
  <si>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</si>
  <si>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</si>
  <si>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</si>
  <si>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</si>
  <si>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</si>
  <si>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</si>
  <si>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</si>
  <si>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</si>
  <si>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</si>
  <si>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</si>
  <si>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</si>
  <si>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</si>
  <si>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</si>
  <si>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</si>
  <si>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</si>
  <si>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</si>
  <si>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</si>
  <si>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</si>
  <si>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</si>
  <si>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</si>
  <si>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</si>
  <si>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</si>
  <si>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</si>
  <si>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</si>
  <si>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</si>
  <si>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</si>
  <si>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</si>
  <si>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</si>
  <si>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</si>
  <si>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</si>
  <si>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</si>
  <si>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</si>
  <si>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</si>
  <si>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</si>
  <si>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</si>
  <si>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</si>
  <si>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</si>
  <si>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</si>
  <si>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</si>
  <si>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</si>
  <si>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</si>
  <si>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</si>
  <si>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</si>
  <si>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</si>
  <si>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</si>
  <si>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</si>
  <si>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</si>
  <si>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</si>
  <si>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</si>
  <si>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</si>
  <si>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</si>
  <si>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</si>
  <si>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</si>
  <si>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</si>
  <si>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</si>
  <si>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</si>
  <si>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</si>
  <si>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</si>
  <si>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</si>
  <si>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</si>
  <si>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</si>
  <si>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</si>
  <si>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</si>
  <si>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</si>
  <si>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</si>
  <si>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</si>
  <si>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</si>
  <si>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</si>
  <si>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</si>
  <si>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</si>
  <si>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</si>
  <si>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</si>
  <si>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</si>
  <si>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</si>
  <si>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</si>
  <si>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</si>
  <si>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</si>
  <si>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</si>
  <si>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</si>
  <si>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</si>
  <si>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</si>
  <si>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</si>
  <si>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</si>
  <si>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</si>
  <si>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</si>
  <si>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</si>
  <si>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</si>
  <si>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</si>
  <si>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</si>
  <si>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</si>
  <si>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</si>
  <si>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</si>
  <si>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</si>
  <si>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</si>
  <si>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</si>
  <si>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</si>
  <si>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</si>
  <si>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</si>
  <si>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</si>
  <si>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</si>
  <si>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</si>
  <si>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</si>
  <si>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</si>
  <si>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</si>
  <si>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</si>
  <si>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</si>
  <si>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</si>
  <si>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</si>
  <si>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</si>
  <si>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</si>
  <si>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</si>
  <si>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</si>
  <si>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</si>
  <si>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</si>
  <si>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</si>
  <si>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</si>
  <si>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</si>
  <si>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</si>
  <si>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</si>
  <si>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</si>
  <si>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</si>
  <si>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</si>
  <si>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</si>
  <si>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</si>
  <si>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</si>
  <si>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</si>
  <si>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</si>
  <si>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</si>
  <si>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</si>
  <si>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</si>
  <si>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</si>
  <si>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</si>
  <si>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</si>
  <si>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</si>
  <si>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</si>
  <si>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</si>
  <si>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</si>
  <si>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</si>
  <si>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</si>
  <si>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</si>
  <si>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</si>
  <si>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</si>
  <si>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</si>
  <si>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</si>
  <si>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</si>
  <si>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</si>
  <si>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</si>
  <si>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</si>
  <si>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</si>
  <si>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</si>
  <si>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</si>
  <si>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</si>
  <si>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</si>
  <si>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</si>
  <si>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</si>
  <si>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</si>
  <si>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</si>
  <si>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</si>
  <si>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</si>
  <si>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</si>
  <si>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</si>
  <si>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</si>
  <si>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</si>
  <si>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</si>
  <si>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</si>
  <si>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</si>
  <si>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</si>
  <si>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</si>
  <si>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</si>
  <si>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</si>
  <si>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</si>
  <si>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</si>
  <si>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</si>
  <si>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</si>
  <si>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</si>
  <si>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</si>
  <si>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</si>
  <si>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</si>
  <si>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</si>
  <si>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</si>
  <si>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</si>
  <si>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</si>
  <si>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</si>
  <si>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</si>
  <si>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</si>
  <si>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</si>
  <si>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</si>
  <si>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</si>
  <si>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</si>
  <si>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</si>
  <si>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</si>
  <si>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</si>
  <si>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</si>
  <si>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</si>
  <si>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</si>
  <si>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</si>
  <si>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</si>
  <si>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</si>
  <si>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</si>
  <si>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</si>
  <si>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</si>
  <si>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</si>
  <si>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</si>
  <si>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</si>
  <si>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</si>
  <si>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</si>
  <si>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</si>
  <si>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</si>
  <si>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</si>
  <si>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</si>
  <si>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</si>
  <si>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</si>
  <si>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</si>
  <si>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</si>
  <si>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</si>
  <si>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</si>
  <si>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</si>
  <si>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</si>
  <si>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</si>
  <si>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</si>
  <si>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</si>
  <si>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</si>
  <si>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</si>
  <si>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</si>
  <si>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</si>
  <si>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</si>
  <si>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</si>
  <si>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</si>
  <si>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</si>
  <si>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</si>
  <si>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</si>
  <si>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</si>
  <si>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</si>
  <si>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</si>
  <si>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</si>
  <si>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</si>
  <si>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</si>
  <si>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</si>
  <si>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</si>
  <si>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</si>
  <si>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</si>
  <si>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</si>
  <si>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</si>
  <si>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</si>
  <si>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</si>
  <si>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</si>
  <si>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</si>
  <si>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</si>
  <si>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</si>
  <si>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</si>
  <si>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</si>
  <si>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</si>
  <si>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</si>
  <si>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</si>
  <si>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</si>
  <si>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</si>
  <si>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</si>
  <si>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</si>
  <si>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</si>
  <si>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</si>
  <si>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</si>
  <si>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</si>
  <si>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</si>
  <si>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</si>
  <si>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</si>
  <si>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</si>
  <si>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</si>
  <si>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</si>
  <si>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</si>
  <si>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</si>
  <si>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</si>
  <si>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</si>
  <si>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</si>
  <si>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</si>
  <si>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</si>
  <si>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</si>
  <si>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</si>
  <si>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</si>
  <si>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</si>
  <si>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</si>
  <si>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</si>
  <si>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</si>
  <si>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</si>
  <si>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</si>
  <si>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</si>
  <si>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</si>
  <si>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</si>
  <si>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</si>
  <si>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</si>
  <si>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</si>
  <si>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</si>
  <si>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</si>
  <si>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</si>
  <si>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</si>
  <si>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</si>
  <si>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</si>
  <si>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</si>
  <si>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</si>
  <si>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</si>
  <si>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</si>
  <si>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</si>
  <si>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</si>
  <si>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</si>
  <si>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</si>
  <si>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</si>
  <si>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</si>
  <si>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</si>
  <si>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</si>
  <si>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</si>
  <si>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</si>
  <si>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</si>
  <si>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</si>
  <si>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</si>
  <si>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</si>
  <si>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</si>
  <si>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</si>
  <si>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</si>
  <si>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</si>
  <si>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</si>
  <si>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</si>
  <si>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</si>
  <si>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</si>
  <si>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</si>
  <si>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</si>
  <si>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</si>
  <si>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</si>
  <si>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</si>
  <si>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</si>
  <si>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</si>
  <si>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</si>
  <si>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</si>
  <si>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</si>
  <si>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</si>
  <si>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</si>
  <si>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</si>
  <si>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</si>
  <si>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</si>
  <si>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</si>
  <si>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</si>
  <si>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</si>
  <si>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</si>
  <si>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</si>
  <si>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</si>
  <si>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</si>
  <si>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</si>
  <si>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</si>
  <si>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</si>
  <si>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</si>
  <si>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</si>
  <si>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</si>
  <si>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</si>
  <si>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</si>
  <si>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</si>
  <si>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</si>
  <si>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</si>
  <si>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</si>
  <si>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</si>
  <si>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</si>
  <si>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</si>
  <si>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</si>
  <si>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</si>
  <si>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</si>
  <si>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</si>
  <si>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</si>
  <si>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</si>
  <si>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</si>
  <si>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</si>
  <si>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</si>
  <si>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</si>
  <si>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</si>
  <si>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</si>
  <si>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</si>
  <si>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</si>
  <si>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</si>
  <si>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</si>
  <si>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</si>
  <si>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</si>
  <si>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</si>
  <si>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</si>
  <si>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</si>
  <si>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</si>
  <si>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</si>
  <si>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</si>
  <si>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</si>
  <si>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</si>
  <si>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</si>
  <si>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</si>
  <si>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</si>
  <si>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</si>
  <si>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</si>
  <si>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</si>
  <si>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</si>
  <si>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</si>
  <si>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</si>
  <si>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</si>
  <si>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</si>
  <si>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</si>
  <si>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</si>
  <si>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</si>
  <si>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</si>
  <si>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</si>
  <si>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</si>
  <si>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</si>
  <si>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</si>
  <si>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</si>
  <si>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</si>
  <si>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(Includes Carryover)</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</si>
  <si>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</si>
  <si>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</si>
  <si>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</si>
  <si>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</si>
  <si>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</si>
  <si>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</si>
  <si>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</si>
  <si>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</si>
  <si>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</si>
  <si>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</si>
  <si>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</si>
  <si>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</si>
  <si>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</si>
  <si>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</si>
  <si>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</si>
  <si>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</si>
  <si>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</si>
  <si>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</si>
  <si>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</si>
  <si>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</si>
  <si>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</si>
  <si>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</si>
  <si>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</si>
  <si>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</si>
  <si>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</si>
  <si>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</si>
  <si>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</si>
  <si>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</si>
  <si>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</si>
  <si>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</si>
  <si>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</si>
  <si>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</si>
  <si>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</si>
  <si>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</si>
  <si>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</si>
  <si>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</si>
  <si>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</si>
  <si>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</si>
  <si>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</si>
  <si>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</si>
  <si>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</si>
  <si>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</si>
  <si>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</si>
  <si>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</si>
  <si>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</si>
  <si>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</si>
  <si>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</si>
  <si>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</si>
  <si>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</si>
  <si>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</si>
  <si>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</si>
  <si>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</si>
  <si>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</si>
  <si>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</si>
  <si>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</si>
  <si>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</si>
  <si>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</si>
  <si>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</si>
  <si>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Rice County</t>
  </si>
  <si>
    <t>Wilson Township</t>
  </si>
  <si>
    <t>First Group Insurance - premium refund</t>
  </si>
  <si>
    <t>Mitchell Twp-ins/tractor repairs</t>
  </si>
  <si>
    <t>Contractural Services</t>
  </si>
  <si>
    <t>Mitchell Twp - ins/tractor repairs</t>
  </si>
  <si>
    <t>Repairs</t>
  </si>
  <si>
    <t>Sale of Chevy truck</t>
  </si>
  <si>
    <t>None</t>
  </si>
  <si>
    <t>August 1, 2011</t>
  </si>
  <si>
    <t>8:00 p.m.</t>
  </si>
  <si>
    <t>2185 Avenue S</t>
  </si>
  <si>
    <t>the Rice County Clerk's Office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</si>
</sst>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390" applyNumberFormat="1" applyFont="1" applyFill="1" applyAlignment="1" applyProtection="1">
      <alignment vertical="center"/>
      <protection/>
    </xf>
    <xf numFmtId="0" fontId="6" fillId="34" borderId="0" xfId="390" applyFont="1" applyFill="1" applyAlignment="1" applyProtection="1">
      <alignment vertical="center"/>
      <protection/>
    </xf>
    <xf numFmtId="0" fontId="6" fillId="0" borderId="0" xfId="390" applyFont="1" applyAlignment="1" applyProtection="1">
      <alignment vertical="center"/>
      <protection locked="0"/>
    </xf>
    <xf numFmtId="0" fontId="5" fillId="34" borderId="0" xfId="391" applyFont="1" applyFill="1" applyAlignment="1" applyProtection="1">
      <alignment horizontal="centerContinuous" vertical="center"/>
      <protection/>
    </xf>
    <xf numFmtId="0" fontId="6" fillId="34" borderId="0" xfId="390"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390" applyFont="1" applyFill="1" applyBorder="1" applyAlignment="1" applyProtection="1">
      <alignment horizontal="left" vertical="center"/>
      <protection/>
    </xf>
    <xf numFmtId="0" fontId="5" fillId="34" borderId="17" xfId="390" applyFont="1" applyFill="1" applyBorder="1" applyAlignment="1" applyProtection="1">
      <alignment vertical="center"/>
      <protection/>
    </xf>
    <xf numFmtId="0" fontId="5" fillId="34" borderId="24" xfId="390" applyFont="1" applyFill="1" applyBorder="1" applyAlignment="1" applyProtection="1">
      <alignment vertical="center"/>
      <protection/>
    </xf>
    <xf numFmtId="3" fontId="5" fillId="34" borderId="19" xfId="390" applyNumberFormat="1" applyFont="1" applyFill="1" applyBorder="1" applyAlignment="1" applyProtection="1">
      <alignment vertical="center"/>
      <protection/>
    </xf>
    <xf numFmtId="37" fontId="5" fillId="36" borderId="16" xfId="390" applyNumberFormat="1" applyFont="1" applyFill="1" applyBorder="1" applyAlignment="1" applyProtection="1">
      <alignment vertical="center"/>
      <protection/>
    </xf>
    <xf numFmtId="0" fontId="5" fillId="34" borderId="19" xfId="390" applyFont="1" applyFill="1" applyBorder="1" applyAlignment="1" applyProtection="1">
      <alignment vertical="center"/>
      <protection/>
    </xf>
    <xf numFmtId="0" fontId="6" fillId="34" borderId="0" xfId="391" applyFont="1" applyFill="1" applyAlignment="1" applyProtection="1">
      <alignment horizontal="centerContinuous" vertical="center"/>
      <protection/>
    </xf>
    <xf numFmtId="0" fontId="6" fillId="34" borderId="0" xfId="391" applyFont="1" applyFill="1" applyAlignment="1" applyProtection="1">
      <alignment vertical="center"/>
      <protection/>
    </xf>
    <xf numFmtId="0" fontId="6" fillId="0" borderId="0" xfId="391"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391" applyFont="1" applyFill="1" applyBorder="1" applyAlignment="1" applyProtection="1">
      <alignment vertical="center"/>
      <protection/>
    </xf>
    <xf numFmtId="0" fontId="6" fillId="34" borderId="0" xfId="391"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39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390"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31" applyFont="1" applyAlignment="1">
      <alignment vertical="center"/>
      <protection/>
    </xf>
    <xf numFmtId="0" fontId="6" fillId="0" borderId="0" xfId="35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370">
      <alignment/>
      <protection/>
    </xf>
    <xf numFmtId="0" fontId="6" fillId="0" borderId="0" xfId="370" applyFont="1" applyAlignment="1">
      <alignment horizontal="left" vertical="center"/>
      <protection/>
    </xf>
    <xf numFmtId="0" fontId="0" fillId="0" borderId="0" xfId="370" applyNumberFormat="1" applyFont="1" applyAlignment="1">
      <alignment horizontal="left" vertical="center"/>
      <protection/>
    </xf>
    <xf numFmtId="49" fontId="6" fillId="43" borderId="0" xfId="370" applyNumberFormat="1" applyFont="1" applyFill="1" applyAlignment="1" applyProtection="1">
      <alignment horizontal="left" vertical="center"/>
      <protection locked="0"/>
    </xf>
    <xf numFmtId="182" fontId="25" fillId="0" borderId="0" xfId="370" applyNumberFormat="1" applyFont="1" applyAlignment="1">
      <alignment horizontal="left" vertical="center"/>
      <protection/>
    </xf>
    <xf numFmtId="49" fontId="6" fillId="0" borderId="0" xfId="370" applyNumberFormat="1" applyFont="1" applyAlignment="1">
      <alignment horizontal="left" vertical="center"/>
      <protection/>
    </xf>
    <xf numFmtId="0" fontId="25" fillId="0" borderId="0" xfId="370" applyFont="1" applyAlignment="1">
      <alignment horizontal="left" vertical="center"/>
      <protection/>
    </xf>
    <xf numFmtId="183" fontId="25" fillId="0" borderId="0" xfId="370" applyNumberFormat="1" applyFont="1" applyAlignment="1">
      <alignment horizontal="left" vertical="center"/>
      <protection/>
    </xf>
    <xf numFmtId="0" fontId="6" fillId="43" borderId="0" xfId="370" applyFont="1" applyFill="1" applyAlignment="1" applyProtection="1">
      <alignment horizontal="left" vertical="center"/>
      <protection locked="0"/>
    </xf>
    <xf numFmtId="0" fontId="0" fillId="43" borderId="0" xfId="370" applyFill="1" applyAlignment="1" applyProtection="1">
      <alignment horizontal="left" vertical="center"/>
      <protection locked="0"/>
    </xf>
    <xf numFmtId="0" fontId="4" fillId="0" borderId="0" xfId="176" applyFont="1">
      <alignment/>
      <protection/>
    </xf>
    <xf numFmtId="0" fontId="4" fillId="0" borderId="0" xfId="176"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382"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370" applyFont="1" applyAlignment="1">
      <alignment horizontal="left" vertical="center" wrapText="1"/>
      <protection/>
    </xf>
    <xf numFmtId="0" fontId="0" fillId="0" borderId="0" xfId="370" applyAlignment="1">
      <alignment horizontal="left" vertical="center" wrapText="1"/>
      <protection/>
    </xf>
    <xf numFmtId="0" fontId="20" fillId="0" borderId="0" xfId="37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3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3" xfId="153"/>
    <cellStyle name="Normal 2 10 4" xfId="154"/>
    <cellStyle name="Normal 2 10 5" xfId="155"/>
    <cellStyle name="Normal 2 10 6" xfId="156"/>
    <cellStyle name="Normal 2 10 7" xfId="157"/>
    <cellStyle name="Normal 2 10 8" xfId="158"/>
    <cellStyle name="Normal 2 10 9" xfId="159"/>
    <cellStyle name="Normal 2 11" xfId="160"/>
    <cellStyle name="Normal 2 11 10" xfId="161"/>
    <cellStyle name="Normal 2 11 2" xfId="162"/>
    <cellStyle name="Normal 2 11 3" xfId="163"/>
    <cellStyle name="Normal 2 11 4" xfId="164"/>
    <cellStyle name="Normal 2 11 5" xfId="165"/>
    <cellStyle name="Normal 2 11 6" xfId="166"/>
    <cellStyle name="Normal 2 11 7" xfId="167"/>
    <cellStyle name="Normal 2 11 8" xfId="168"/>
    <cellStyle name="Normal 2 11 9" xfId="169"/>
    <cellStyle name="Normal 2 12" xfId="170"/>
    <cellStyle name="Normal 2 13" xfId="171"/>
    <cellStyle name="Normal 2 14" xfId="172"/>
    <cellStyle name="Normal 2 15" xfId="173"/>
    <cellStyle name="Normal 2 16" xfId="174"/>
    <cellStyle name="Normal 2 2" xfId="175"/>
    <cellStyle name="Normal 2 2 10" xfId="176"/>
    <cellStyle name="Normal 2 2 10 2" xfId="177"/>
    <cellStyle name="Normal 2 2 11" xfId="178"/>
    <cellStyle name="Normal 2 2 12" xfId="179"/>
    <cellStyle name="Normal 2 2 12 2" xfId="180"/>
    <cellStyle name="Normal 2 2 13" xfId="181"/>
    <cellStyle name="Normal 2 2 13 2" xfId="182"/>
    <cellStyle name="Normal 2 2 14" xfId="183"/>
    <cellStyle name="Normal 2 2 15" xfId="184"/>
    <cellStyle name="Normal 2 2 16" xfId="185"/>
    <cellStyle name="Normal 2 2 16 2" xfId="186"/>
    <cellStyle name="Normal 2 2 17" xfId="187"/>
    <cellStyle name="Normal 2 2 18" xfId="188"/>
    <cellStyle name="Normal 2 2 19" xfId="189"/>
    <cellStyle name="Normal 2 2 2" xfId="190"/>
    <cellStyle name="Normal 2 2 2 2" xfId="191"/>
    <cellStyle name="Normal 2 2 2 2 2" xfId="192"/>
    <cellStyle name="Normal 2 2 2 3" xfId="193"/>
    <cellStyle name="Normal 2 2 2 4" xfId="194"/>
    <cellStyle name="Normal 2 2 2 5" xfId="195"/>
    <cellStyle name="Normal 2 2 2 6" xfId="196"/>
    <cellStyle name="Normal 2 2 2 7" xfId="197"/>
    <cellStyle name="Normal 2 2 2 8" xfId="198"/>
    <cellStyle name="Normal 2 2 20" xfId="199"/>
    <cellStyle name="Normal 2 2 21" xfId="200"/>
    <cellStyle name="Normal 2 2 3" xfId="201"/>
    <cellStyle name="Normal 2 2 3 2" xfId="202"/>
    <cellStyle name="Normal 2 2 4" xfId="203"/>
    <cellStyle name="Normal 2 2 4 2" xfId="204"/>
    <cellStyle name="Normal 2 2 5" xfId="205"/>
    <cellStyle name="Normal 2 2 5 2" xfId="206"/>
    <cellStyle name="Normal 2 2 6" xfId="207"/>
    <cellStyle name="Normal 2 2 6 2" xfId="208"/>
    <cellStyle name="Normal 2 2 7" xfId="209"/>
    <cellStyle name="Normal 2 2 7 2" xfId="210"/>
    <cellStyle name="Normal 2 2 8" xfId="211"/>
    <cellStyle name="Normal 2 2 8 2" xfId="212"/>
    <cellStyle name="Normal 2 2 9" xfId="213"/>
    <cellStyle name="Normal 2 2 9 2" xfId="214"/>
    <cellStyle name="Normal 2 3" xfId="215"/>
    <cellStyle name="Normal 2 3 10" xfId="216"/>
    <cellStyle name="Normal 2 3 11" xfId="217"/>
    <cellStyle name="Normal 2 3 12" xfId="218"/>
    <cellStyle name="Normal 2 3 13" xfId="219"/>
    <cellStyle name="Normal 2 3 14" xfId="220"/>
    <cellStyle name="Normal 2 3 15" xfId="221"/>
    <cellStyle name="Normal 2 3 2" xfId="222"/>
    <cellStyle name="Normal 2 3 2 2" xfId="223"/>
    <cellStyle name="Normal 2 3 2 2 2" xfId="224"/>
    <cellStyle name="Normal 2 3 2 3" xfId="225"/>
    <cellStyle name="Normal 2 3 2 4" xfId="226"/>
    <cellStyle name="Normal 2 3 3" xfId="227"/>
    <cellStyle name="Normal 2 3 3 2" xfId="228"/>
    <cellStyle name="Normal 2 3 3 3" xfId="229"/>
    <cellStyle name="Normal 2 3 4" xfId="230"/>
    <cellStyle name="Normal 2 3 5" xfId="231"/>
    <cellStyle name="Normal 2 3 6" xfId="232"/>
    <cellStyle name="Normal 2 3 7" xfId="233"/>
    <cellStyle name="Normal 2 3 8" xfId="234"/>
    <cellStyle name="Normal 2 3 9" xfId="235"/>
    <cellStyle name="Normal 2 4" xfId="236"/>
    <cellStyle name="Normal 2 4 10" xfId="237"/>
    <cellStyle name="Normal 2 4 11" xfId="238"/>
    <cellStyle name="Normal 2 4 12" xfId="239"/>
    <cellStyle name="Normal 2 4 13" xfId="240"/>
    <cellStyle name="Normal 2 4 2" xfId="241"/>
    <cellStyle name="Normal 2 4 2 2" xfId="242"/>
    <cellStyle name="Normal 2 4 2 2 2" xfId="243"/>
    <cellStyle name="Normal 2 4 2 3" xfId="244"/>
    <cellStyle name="Normal 2 4 2 4" xfId="245"/>
    <cellStyle name="Normal 2 4 3" xfId="246"/>
    <cellStyle name="Normal 2 4 3 2" xfId="247"/>
    <cellStyle name="Normal 2 4 3 3" xfId="248"/>
    <cellStyle name="Normal 2 4 4" xfId="249"/>
    <cellStyle name="Normal 2 4 5" xfId="250"/>
    <cellStyle name="Normal 2 4 6" xfId="251"/>
    <cellStyle name="Normal 2 4 7" xfId="252"/>
    <cellStyle name="Normal 2 4 8" xfId="253"/>
    <cellStyle name="Normal 2 4 9" xfId="254"/>
    <cellStyle name="Normal 2 5" xfId="255"/>
    <cellStyle name="Normal 2 5 10" xfId="256"/>
    <cellStyle name="Normal 2 5 11" xfId="257"/>
    <cellStyle name="Normal 2 5 12" xfId="258"/>
    <cellStyle name="Normal 2 5 12 2" xfId="259"/>
    <cellStyle name="Normal 2 5 2" xfId="260"/>
    <cellStyle name="Normal 2 5 2 2" xfId="261"/>
    <cellStyle name="Normal 2 5 3" xfId="262"/>
    <cellStyle name="Normal 2 5 3 2" xfId="263"/>
    <cellStyle name="Normal 2 5 4" xfId="264"/>
    <cellStyle name="Normal 2 5 5" xfId="265"/>
    <cellStyle name="Normal 2 5 6" xfId="266"/>
    <cellStyle name="Normal 2 5 7" xfId="267"/>
    <cellStyle name="Normal 2 5 8" xfId="268"/>
    <cellStyle name="Normal 2 5 9" xfId="269"/>
    <cellStyle name="Normal 2 6" xfId="270"/>
    <cellStyle name="Normal 2 6 10" xfId="271"/>
    <cellStyle name="Normal 2 6 11" xfId="272"/>
    <cellStyle name="Normal 2 6 12" xfId="273"/>
    <cellStyle name="Normal 2 6 2" xfId="274"/>
    <cellStyle name="Normal 2 6 2 2" xfId="275"/>
    <cellStyle name="Normal 2 6 3" xfId="276"/>
    <cellStyle name="Normal 2 6 3 2" xfId="277"/>
    <cellStyle name="Normal 2 6 4" xfId="278"/>
    <cellStyle name="Normal 2 6 5" xfId="279"/>
    <cellStyle name="Normal 2 6 6" xfId="280"/>
    <cellStyle name="Normal 2 6 7" xfId="281"/>
    <cellStyle name="Normal 2 6 8" xfId="282"/>
    <cellStyle name="Normal 2 6 9" xfId="283"/>
    <cellStyle name="Normal 2 7" xfId="284"/>
    <cellStyle name="Normal 2 7 10" xfId="285"/>
    <cellStyle name="Normal 2 7 2" xfId="286"/>
    <cellStyle name="Normal 2 7 2 2" xfId="287"/>
    <cellStyle name="Normal 2 7 2 3" xfId="288"/>
    <cellStyle name="Normal 2 7 3" xfId="289"/>
    <cellStyle name="Normal 2 7 4" xfId="290"/>
    <cellStyle name="Normal 2 7 5" xfId="291"/>
    <cellStyle name="Normal 2 7 6" xfId="292"/>
    <cellStyle name="Normal 2 7 7" xfId="293"/>
    <cellStyle name="Normal 2 7 8" xfId="294"/>
    <cellStyle name="Normal 2 7 9" xfId="295"/>
    <cellStyle name="Normal 2 8" xfId="296"/>
    <cellStyle name="Normal 2 8 10" xfId="297"/>
    <cellStyle name="Normal 2 8 2" xfId="298"/>
    <cellStyle name="Normal 2 8 3" xfId="299"/>
    <cellStyle name="Normal 2 8 4" xfId="300"/>
    <cellStyle name="Normal 2 8 5" xfId="301"/>
    <cellStyle name="Normal 2 8 6" xfId="302"/>
    <cellStyle name="Normal 2 8 7" xfId="303"/>
    <cellStyle name="Normal 2 8 8" xfId="304"/>
    <cellStyle name="Normal 2 8 9" xfId="305"/>
    <cellStyle name="Normal 2 9" xfId="306"/>
    <cellStyle name="Normal 2 9 10" xfId="307"/>
    <cellStyle name="Normal 2 9 2" xfId="308"/>
    <cellStyle name="Normal 2 9 3" xfId="309"/>
    <cellStyle name="Normal 2 9 4" xfId="310"/>
    <cellStyle name="Normal 2 9 5" xfId="311"/>
    <cellStyle name="Normal 2 9 6" xfId="312"/>
    <cellStyle name="Normal 2 9 7" xfId="313"/>
    <cellStyle name="Normal 2 9 8"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3 2 2" xfId="333"/>
    <cellStyle name="Normal 3 2 2 2" xfId="334"/>
    <cellStyle name="Normal 3 2 3" xfId="335"/>
    <cellStyle name="Normal 3 2 4" xfId="336"/>
    <cellStyle name="Normal 3 3" xfId="337"/>
    <cellStyle name="Normal 3 3 2" xfId="338"/>
    <cellStyle name="Normal 3 3 2 2" xfId="339"/>
    <cellStyle name="Normal 3 3 3" xfId="340"/>
    <cellStyle name="Normal 3 4" xfId="341"/>
    <cellStyle name="Normal 3 5" xfId="342"/>
    <cellStyle name="Normal 3 6" xfId="343"/>
    <cellStyle name="Normal 3 7" xfId="344"/>
    <cellStyle name="Normal 3 8" xfId="345"/>
    <cellStyle name="Normal 3 9" xfId="346"/>
    <cellStyle name="Normal 4" xfId="347"/>
    <cellStyle name="Normal 4 2" xfId="348"/>
    <cellStyle name="Normal 4 2 2" xfId="349"/>
    <cellStyle name="Normal 4 2 2 2" xfId="350"/>
    <cellStyle name="Normal 4 2 3" xfId="351"/>
    <cellStyle name="Normal 4 2 4" xfId="352"/>
    <cellStyle name="Normal 4 3" xfId="353"/>
    <cellStyle name="Normal 4 3 2" xfId="354"/>
    <cellStyle name="Normal 4 3 3" xfId="355"/>
    <cellStyle name="Normal 4 4" xfId="356"/>
    <cellStyle name="Normal 4 5" xfId="357"/>
    <cellStyle name="Normal 4 6" xfId="358"/>
    <cellStyle name="Normal 5" xfId="359"/>
    <cellStyle name="Normal 5 2" xfId="360"/>
    <cellStyle name="Normal 5 3" xfId="361"/>
    <cellStyle name="Normal 5 3 2" xfId="362"/>
    <cellStyle name="Normal 5 4" xfId="363"/>
    <cellStyle name="Normal 6" xfId="364"/>
    <cellStyle name="Normal 6 2" xfId="365"/>
    <cellStyle name="Normal 6 3" xfId="366"/>
    <cellStyle name="Normal 6 4" xfId="367"/>
    <cellStyle name="Normal 6 5" xfId="368"/>
    <cellStyle name="Normal 7" xfId="369"/>
    <cellStyle name="Normal 7 2" xfId="370"/>
    <cellStyle name="Normal 7 2 2" xfId="371"/>
    <cellStyle name="Normal 7 2 2 2" xfId="372"/>
    <cellStyle name="Normal 7 2 3" xfId="373"/>
    <cellStyle name="Normal 7 2 4" xfId="374"/>
    <cellStyle name="Normal 7 3" xfId="375"/>
    <cellStyle name="Normal 7 4" xfId="376"/>
    <cellStyle name="Normal 7 4 2" xfId="377"/>
    <cellStyle name="Normal 7 5" xfId="378"/>
    <cellStyle name="Normal 7 5 2" xfId="379"/>
    <cellStyle name="Normal 7 5 3" xfId="380"/>
    <cellStyle name="Normal 7 6" xfId="381"/>
    <cellStyle name="Normal 8" xfId="382"/>
    <cellStyle name="Normal 8 2" xfId="383"/>
    <cellStyle name="Normal 9" xfId="384"/>
    <cellStyle name="Normal 9 2" xfId="385"/>
    <cellStyle name="Normal 9 2 2" xfId="386"/>
    <cellStyle name="Normal 9 3" xfId="387"/>
    <cellStyle name="Normal 9 4" xfId="388"/>
    <cellStyle name="Normal 9 5" xfId="389"/>
    <cellStyle name="Normal_debt" xfId="390"/>
    <cellStyle name="Normal_lpform" xfId="391"/>
    <cellStyle name="Note" xfId="392"/>
    <cellStyle name="Output" xfId="393"/>
    <cellStyle name="Percent" xfId="394"/>
    <cellStyle name="Title" xfId="395"/>
    <cellStyle name="Total" xfId="396"/>
    <cellStyle name="Warning Text" xfId="397"/>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3" sqref="A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753</v>
      </c>
    </row>
    <row r="40" ht="57.75" customHeight="1">
      <c r="A40" s="371" t="s">
        <v>193</v>
      </c>
    </row>
    <row r="41" ht="10.5" customHeight="1">
      <c r="A41" s="360"/>
    </row>
    <row r="42" ht="65.25" customHeight="1">
      <c r="A42" s="360" t="s">
        <v>754</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755</v>
      </c>
    </row>
    <row r="70" ht="63" customHeight="1">
      <c r="A70" s="604" t="s">
        <v>756</v>
      </c>
    </row>
    <row r="71" ht="57" customHeight="1">
      <c r="A71" s="604" t="s">
        <v>757</v>
      </c>
    </row>
    <row r="72" ht="60" customHeight="1">
      <c r="A72" s="360" t="s">
        <v>758</v>
      </c>
    </row>
    <row r="73" ht="117.75" customHeight="1">
      <c r="A73" s="360" t="s">
        <v>759</v>
      </c>
    </row>
    <row r="74" ht="59.25" customHeight="1">
      <c r="A74" s="360" t="s">
        <v>760</v>
      </c>
    </row>
    <row r="75" ht="59.25" customHeight="1">
      <c r="A75" s="604" t="s">
        <v>761</v>
      </c>
    </row>
    <row r="76" ht="84.75" customHeight="1">
      <c r="A76" s="360" t="s">
        <v>762</v>
      </c>
    </row>
    <row r="77" ht="102.75" customHeight="1">
      <c r="A77" s="360" t="s">
        <v>763</v>
      </c>
    </row>
    <row r="78" ht="102.75" customHeight="1">
      <c r="A78" s="372" t="s">
        <v>764</v>
      </c>
    </row>
    <row r="79" ht="54" customHeight="1">
      <c r="A79" s="363" t="s">
        <v>765</v>
      </c>
    </row>
    <row r="80" ht="115.5" customHeight="1">
      <c r="A80" s="360" t="s">
        <v>766</v>
      </c>
    </row>
    <row r="81" ht="78" customHeight="1">
      <c r="A81" s="372" t="s">
        <v>767</v>
      </c>
    </row>
    <row r="82" ht="124.5" customHeight="1">
      <c r="A82" s="372" t="s">
        <v>768</v>
      </c>
    </row>
    <row r="83" ht="138" customHeight="1">
      <c r="A83" s="360" t="s">
        <v>769</v>
      </c>
    </row>
    <row r="84" ht="147" customHeight="1">
      <c r="A84" s="360" t="s">
        <v>770</v>
      </c>
    </row>
    <row r="85" ht="101.25" customHeight="1">
      <c r="A85" s="360" t="s">
        <v>771</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772</v>
      </c>
    </row>
    <row r="95" ht="75" customHeight="1">
      <c r="A95" s="604" t="s">
        <v>773</v>
      </c>
    </row>
    <row r="96" ht="33.75" customHeight="1">
      <c r="A96" s="360" t="s">
        <v>774</v>
      </c>
    </row>
    <row r="97" ht="51.75" customHeight="1">
      <c r="A97" s="360" t="s">
        <v>775</v>
      </c>
    </row>
    <row r="98" ht="14.25" customHeight="1"/>
    <row r="99" ht="69.75" customHeight="1">
      <c r="A99" s="360" t="s">
        <v>624</v>
      </c>
    </row>
    <row r="101" ht="54" customHeight="1">
      <c r="A101" s="604" t="s">
        <v>776</v>
      </c>
    </row>
    <row r="102" ht="85.5" customHeight="1">
      <c r="A102" s="604" t="s">
        <v>777</v>
      </c>
    </row>
    <row r="103" ht="99" customHeight="1">
      <c r="A103" s="604" t="s">
        <v>778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5" sqref="A25"/>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Wilson Township</v>
      </c>
      <c r="B1" s="179"/>
      <c r="C1" s="179"/>
      <c r="D1" s="179"/>
      <c r="E1" s="179"/>
      <c r="F1" s="179"/>
      <c r="G1" s="179"/>
      <c r="H1" s="179"/>
      <c r="I1" s="14"/>
      <c r="J1" s="14"/>
      <c r="K1" s="15">
        <f>inputPrYr!D5</f>
        <v>2012</v>
      </c>
    </row>
    <row r="2" spans="1:11" ht="15.75">
      <c r="A2" s="178" t="str">
        <f>inputPrYr!$D$3</f>
        <v>Rice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817</v>
      </c>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t="s">
        <v>817</v>
      </c>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t="s">
        <v>817</v>
      </c>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F37" sqref="F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Wilson Township</v>
      </c>
      <c r="C1" s="14"/>
      <c r="D1" s="14"/>
      <c r="E1" s="15">
        <f>inputPrYr!D5</f>
        <v>2012</v>
      </c>
    </row>
    <row r="2" spans="2:5" ht="15.75">
      <c r="B2" s="17"/>
      <c r="C2" s="14"/>
      <c r="D2" s="14"/>
      <c r="E2" s="18"/>
    </row>
    <row r="3" spans="2:5" ht="15.75">
      <c r="B3" s="603" t="s">
        <v>752</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1922.99</v>
      </c>
      <c r="D6" s="418">
        <f>C51</f>
        <v>1558.250000000001</v>
      </c>
      <c r="E6" s="32">
        <f>D51</f>
        <v>1097.25</v>
      </c>
    </row>
    <row r="7" spans="2:5" ht="15.75">
      <c r="B7" s="27" t="s">
        <v>124</v>
      </c>
      <c r="C7" s="418"/>
      <c r="D7" s="418"/>
      <c r="E7" s="33"/>
    </row>
    <row r="8" spans="2:5" ht="15.75">
      <c r="B8" s="27" t="s">
        <v>16</v>
      </c>
      <c r="C8" s="29">
        <f>5533.81+272.28+131+16.18</f>
        <v>5953.27</v>
      </c>
      <c r="D8" s="418">
        <f>inputPrYr!E16</f>
        <v>6918</v>
      </c>
      <c r="E8" s="33" t="s">
        <v>302</v>
      </c>
    </row>
    <row r="9" spans="2:5" ht="15.75">
      <c r="B9" s="27" t="s">
        <v>17</v>
      </c>
      <c r="C9" s="29">
        <f>21.16+0.66+5.13+1.59</f>
        <v>28.54</v>
      </c>
      <c r="D9" s="29"/>
      <c r="E9" s="34"/>
    </row>
    <row r="10" spans="2:5" ht="15.75">
      <c r="B10" s="27" t="s">
        <v>18</v>
      </c>
      <c r="C10" s="29">
        <v>495.32</v>
      </c>
      <c r="D10" s="29">
        <v>427</v>
      </c>
      <c r="E10" s="32">
        <f>mvalloc!G11</f>
        <v>438.8899999999999</v>
      </c>
    </row>
    <row r="11" spans="2:5" ht="15.75">
      <c r="B11" s="27" t="s">
        <v>19</v>
      </c>
      <c r="C11" s="29">
        <v>6.96</v>
      </c>
      <c r="D11" s="29">
        <v>8</v>
      </c>
      <c r="E11" s="32">
        <f>mvalloc!I11</f>
        <v>5.950000000000003</v>
      </c>
    </row>
    <row r="12" spans="2:5" ht="15.75">
      <c r="B12" s="35" t="s">
        <v>72</v>
      </c>
      <c r="C12" s="29">
        <v>115.64</v>
      </c>
      <c r="D12" s="29">
        <v>86</v>
      </c>
      <c r="E12" s="32">
        <f>mvalloc!J11</f>
        <v>7.920000000000002</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t="s">
        <v>811</v>
      </c>
      <c r="C17" s="29">
        <f>261+154</f>
        <v>415</v>
      </c>
      <c r="D17" s="29"/>
      <c r="E17" s="34"/>
    </row>
    <row r="18" spans="2:5" ht="15.75">
      <c r="B18" s="37" t="s">
        <v>812</v>
      </c>
      <c r="C18" s="29">
        <v>322</v>
      </c>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7336.7300000000005</v>
      </c>
      <c r="D26" s="420">
        <f>SUM(D8:D24)</f>
        <v>7439</v>
      </c>
      <c r="E26" s="42">
        <f>SUM(E8:E24)</f>
        <v>452.7599999999999</v>
      </c>
    </row>
    <row r="27" spans="2:5" ht="15.75">
      <c r="B27" s="43" t="s">
        <v>24</v>
      </c>
      <c r="C27" s="420">
        <f>C26+C6</f>
        <v>9259.720000000001</v>
      </c>
      <c r="D27" s="420">
        <f>D26+D6</f>
        <v>8997.25</v>
      </c>
      <c r="E27" s="42">
        <f>E26+E6</f>
        <v>1550.0099999999998</v>
      </c>
    </row>
    <row r="28" spans="2:5" ht="15.75">
      <c r="B28" s="27" t="s">
        <v>25</v>
      </c>
      <c r="C28" s="418"/>
      <c r="D28" s="418"/>
      <c r="E28" s="32"/>
    </row>
    <row r="29" spans="2:5" ht="15.75">
      <c r="B29" s="37"/>
      <c r="C29" s="29"/>
      <c r="D29" s="29"/>
      <c r="E29" s="34"/>
    </row>
    <row r="30" spans="2:5" ht="15.75">
      <c r="B30" s="38" t="s">
        <v>105</v>
      </c>
      <c r="C30" s="29"/>
      <c r="D30" s="29">
        <v>900</v>
      </c>
      <c r="E30" s="34">
        <v>900</v>
      </c>
    </row>
    <row r="31" spans="2:5" ht="15.75">
      <c r="B31" s="38" t="s">
        <v>129</v>
      </c>
      <c r="C31" s="29">
        <v>623.37</v>
      </c>
      <c r="D31" s="29"/>
      <c r="E31" s="34"/>
    </row>
    <row r="32" spans="2:5" ht="15.75">
      <c r="B32" s="38" t="s">
        <v>106</v>
      </c>
      <c r="C32" s="29">
        <f>907.5+100</f>
        <v>1007.5</v>
      </c>
      <c r="D32" s="29"/>
      <c r="E32" s="34"/>
    </row>
    <row r="33" spans="2:5" ht="15.75">
      <c r="B33" s="38" t="s">
        <v>36</v>
      </c>
      <c r="C33" s="29">
        <v>28.8</v>
      </c>
      <c r="D33" s="29">
        <v>1000</v>
      </c>
      <c r="E33" s="34">
        <v>1000</v>
      </c>
    </row>
    <row r="34" spans="2:5" ht="15.75">
      <c r="B34" s="37" t="s">
        <v>107</v>
      </c>
      <c r="C34" s="29"/>
      <c r="D34" s="29"/>
      <c r="E34" s="34"/>
    </row>
    <row r="35" spans="2:5" ht="15.75">
      <c r="B35" s="37" t="s">
        <v>130</v>
      </c>
      <c r="C35" s="29"/>
      <c r="D35" s="29"/>
      <c r="E35" s="34"/>
    </row>
    <row r="36" spans="2:5" ht="15.75">
      <c r="B36" s="38" t="s">
        <v>132</v>
      </c>
      <c r="C36" s="29">
        <v>4180</v>
      </c>
      <c r="D36" s="29">
        <v>4500</v>
      </c>
      <c r="E36" s="34">
        <v>4500</v>
      </c>
    </row>
    <row r="37" spans="2:5" ht="15.75">
      <c r="B37" s="38" t="s">
        <v>813</v>
      </c>
      <c r="C37" s="29">
        <f>10+121.8+1730</f>
        <v>1861.8</v>
      </c>
      <c r="D37" s="29">
        <v>1500</v>
      </c>
      <c r="E37" s="34">
        <v>1500</v>
      </c>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646</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7701.47</v>
      </c>
      <c r="D50" s="412">
        <f>SUM(D29:D48)</f>
        <v>7900</v>
      </c>
      <c r="E50" s="47">
        <f>SUM(E29:E43,E45,E47:E48)</f>
        <v>7900</v>
      </c>
      <c r="G50" s="534"/>
      <c r="H50" s="535"/>
      <c r="I50" s="535"/>
      <c r="J50" s="536"/>
    </row>
    <row r="51" spans="2:10" ht="15.75">
      <c r="B51" s="27" t="s">
        <v>123</v>
      </c>
      <c r="C51" s="413">
        <f>C27-C50</f>
        <v>1558.250000000001</v>
      </c>
      <c r="D51" s="413">
        <f>SUM(D27-D50)</f>
        <v>1097.25</v>
      </c>
      <c r="E51" s="33" t="s">
        <v>302</v>
      </c>
      <c r="G51" s="537">
        <f>D51</f>
        <v>1097.25</v>
      </c>
      <c r="H51" s="538" t="str">
        <f>CONCATENATE("",E1-1," Ending Cash Balance (est.)")</f>
        <v>2011 Ending Cash Balance (est.)</v>
      </c>
      <c r="I51" s="539"/>
      <c r="J51" s="536"/>
    </row>
    <row r="52" spans="2:10" ht="15.75">
      <c r="B52" s="48" t="str">
        <f>CONCATENATE("",E1-2,"/",E1-1," Budget Authority Amount:")</f>
        <v>2010/2011 Budget Authority Amount:</v>
      </c>
      <c r="C52" s="143">
        <f>inputOth!B46</f>
        <v>7900</v>
      </c>
      <c r="D52" s="172">
        <f>inputPrYr!D16</f>
        <v>7900</v>
      </c>
      <c r="E52" s="33" t="s">
        <v>302</v>
      </c>
      <c r="F52" s="50"/>
      <c r="G52" s="537">
        <f>E26</f>
        <v>452.7599999999999</v>
      </c>
      <c r="H52" s="540" t="str">
        <f>CONCATENATE("",E1," Non-AV Receipts (est.)")</f>
        <v>2012 Non-AV Receipts (est.)</v>
      </c>
      <c r="I52" s="540"/>
      <c r="J52" s="536"/>
    </row>
    <row r="53" spans="2:10" ht="15.75">
      <c r="B53" s="48"/>
      <c r="C53" s="652" t="s">
        <v>647</v>
      </c>
      <c r="D53" s="653"/>
      <c r="E53" s="34"/>
      <c r="F53" s="533">
        <f>IF(E50/0.95-E50&lt;E53,"Exceeds 5%","")</f>
      </c>
      <c r="G53" s="541">
        <f>E57</f>
        <v>6349.99</v>
      </c>
      <c r="H53" s="540" t="str">
        <f>CONCATENATE("",E1," Ad Valorem Tax (est.)")</f>
        <v>2012 Ad Valorem Tax (est.)</v>
      </c>
      <c r="I53" s="540"/>
      <c r="J53" s="536"/>
    </row>
    <row r="54" spans="2:10" ht="15.75">
      <c r="B54" s="436" t="str">
        <f>CONCATENATE(C72,"     ",D72)</f>
        <v>     </v>
      </c>
      <c r="C54" s="654" t="s">
        <v>648</v>
      </c>
      <c r="D54" s="655"/>
      <c r="E54" s="32">
        <f>E50+E53</f>
        <v>7900</v>
      </c>
      <c r="G54" s="537">
        <f>SUM(G51:G53)</f>
        <v>7900</v>
      </c>
      <c r="H54" s="540" t="str">
        <f>CONCATENATE("Total ",E1," Resources Available")</f>
        <v>Total 2012 Resources Available</v>
      </c>
      <c r="I54" s="539"/>
      <c r="J54" s="536"/>
    </row>
    <row r="55" spans="2:10" ht="15.75">
      <c r="B55" s="436" t="str">
        <f>CONCATENATE(C73,"     ",D73)</f>
        <v>     </v>
      </c>
      <c r="C55" s="60"/>
      <c r="D55" s="52" t="s">
        <v>28</v>
      </c>
      <c r="E55" s="46">
        <f>IF(E54-E27&gt;0,E54-E27,0)</f>
        <v>6349.99</v>
      </c>
      <c r="G55" s="542"/>
      <c r="H55" s="540"/>
      <c r="I55" s="540"/>
      <c r="J55" s="536"/>
    </row>
    <row r="56" spans="2:10" ht="15.75">
      <c r="B56" s="52"/>
      <c r="C56" s="440" t="s">
        <v>649</v>
      </c>
      <c r="D56" s="432">
        <f>inputOth!$E$40</f>
        <v>0</v>
      </c>
      <c r="E56" s="32">
        <f>ROUND(IF(D56&gt;0,(E55*D56),0),0)</f>
        <v>0</v>
      </c>
      <c r="G56" s="541">
        <f>C50*0.05+C50</f>
        <v>8086.543500000001</v>
      </c>
      <c r="H56" s="540" t="str">
        <f>CONCATENATE("Less ",E1-2," Expenditures + 5%")</f>
        <v>Less 2010 Expenditures + 5%</v>
      </c>
      <c r="I56" s="539"/>
      <c r="J56" s="536"/>
    </row>
    <row r="57" spans="2:10" ht="15.75">
      <c r="B57" s="14"/>
      <c r="C57" s="650" t="str">
        <f>CONCATENATE("Amount of  ",$E$1-1," Ad Valorem Tax")</f>
        <v>Amount of  2011 Ad Valorem Tax</v>
      </c>
      <c r="D57" s="651"/>
      <c r="E57" s="46">
        <f>E55+E56</f>
        <v>6349.99</v>
      </c>
      <c r="G57" s="543">
        <f>G54-G56</f>
        <v>-186.54350000000068</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2.534</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745</v>
      </c>
      <c r="H63" s="540"/>
      <c r="I63" s="540"/>
      <c r="J63" s="554">
        <v>0</v>
      </c>
    </row>
    <row r="64" spans="7:10" ht="15.75">
      <c r="G64" s="551" t="s">
        <v>746</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Wilson Township</v>
      </c>
      <c r="C1" s="14"/>
      <c r="D1" s="14"/>
      <c r="E1" s="61">
        <f>inputPrYr!$D$5</f>
        <v>2012</v>
      </c>
    </row>
    <row r="2" spans="2:5" ht="15.75">
      <c r="B2" s="14"/>
      <c r="C2" s="14"/>
      <c r="D2" s="14"/>
      <c r="E2" s="52"/>
    </row>
    <row r="3" spans="2:5" ht="15.75">
      <c r="B3" s="17"/>
      <c r="C3" s="62"/>
      <c r="D3" s="62"/>
      <c r="E3" s="63"/>
    </row>
    <row r="4" spans="2:5" ht="15.75">
      <c r="B4" s="603" t="s">
        <v>752</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647</v>
      </c>
      <c r="D56" s="653"/>
      <c r="E56" s="34"/>
      <c r="F56" s="533">
        <f>IF(E53/0.95-E53&lt;E56,"Exceeds 5%","")</f>
      </c>
      <c r="G56" s="564">
        <f>E60</f>
        <v>0</v>
      </c>
      <c r="H56" s="563" t="str">
        <f>CONCATENATE("",E1," Ad Valorem Tax (est.)")</f>
        <v>2012 Ad Valorem Tax (est.)</v>
      </c>
      <c r="I56" s="536"/>
    </row>
    <row r="57" spans="2:9" ht="15.75">
      <c r="B57" s="436" t="str">
        <f>CONCATENATE(C72,"     ",D72)</f>
        <v>     </v>
      </c>
      <c r="C57" s="654" t="s">
        <v>648</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649</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B1" sqref="B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Wilson Township</v>
      </c>
      <c r="C1" s="14"/>
      <c r="D1" s="14"/>
      <c r="E1" s="15">
        <f>inputPrYr!D5</f>
        <v>2012</v>
      </c>
    </row>
    <row r="2" spans="2:5" ht="15.75">
      <c r="B2" s="17"/>
      <c r="C2" s="14"/>
      <c r="D2" s="62"/>
      <c r="E2" s="63"/>
    </row>
    <row r="3" spans="2:5" ht="15.75">
      <c r="B3" s="603" t="s">
        <v>752</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1422.26</v>
      </c>
      <c r="D6" s="418">
        <f>C44</f>
        <v>5584.770000000004</v>
      </c>
      <c r="E6" s="32">
        <f>D44</f>
        <v>4670.770000000004</v>
      </c>
    </row>
    <row r="7" spans="2:5" ht="15.75">
      <c r="B7" s="27" t="s">
        <v>124</v>
      </c>
      <c r="C7" s="418"/>
      <c r="D7" s="418"/>
      <c r="E7" s="33"/>
    </row>
    <row r="8" spans="2:5" ht="15.75">
      <c r="B8" s="27" t="s">
        <v>16</v>
      </c>
      <c r="C8" s="29">
        <f>51529+2535.56+1228.37+150.7</f>
        <v>55443.63</v>
      </c>
      <c r="D8" s="418">
        <f>inputPrYr!E18</f>
        <v>56382</v>
      </c>
      <c r="E8" s="33" t="s">
        <v>302</v>
      </c>
    </row>
    <row r="9" spans="2:5" ht="15.75">
      <c r="B9" s="27" t="s">
        <v>17</v>
      </c>
      <c r="C9" s="29">
        <f>142.32+6.12+47.73+10.53</f>
        <v>206.7</v>
      </c>
      <c r="D9" s="29"/>
      <c r="E9" s="34"/>
    </row>
    <row r="10" spans="2:5" ht="15.75">
      <c r="B10" s="27" t="s">
        <v>18</v>
      </c>
      <c r="C10" s="29">
        <v>3532</v>
      </c>
      <c r="D10" s="29">
        <v>3977</v>
      </c>
      <c r="E10" s="32">
        <f>mvalloc!G13</f>
        <v>3575</v>
      </c>
    </row>
    <row r="11" spans="2:5" ht="15.75">
      <c r="B11" s="27" t="s">
        <v>19</v>
      </c>
      <c r="C11" s="29">
        <v>51</v>
      </c>
      <c r="D11" s="29">
        <v>72</v>
      </c>
      <c r="E11" s="32">
        <f>mvalloc!I13</f>
        <v>46</v>
      </c>
    </row>
    <row r="12" spans="2:5" ht="15.75">
      <c r="B12" s="27" t="s">
        <v>103</v>
      </c>
      <c r="C12" s="29">
        <v>656</v>
      </c>
      <c r="D12" s="29">
        <v>797</v>
      </c>
      <c r="E12" s="32">
        <f>mvalloc!J13</f>
        <v>63</v>
      </c>
    </row>
    <row r="13" spans="2:5" ht="15.75">
      <c r="B13" s="27" t="s">
        <v>167</v>
      </c>
      <c r="C13" s="29"/>
      <c r="D13" s="29"/>
      <c r="E13" s="32">
        <f>mvalloc!K13</f>
        <v>0</v>
      </c>
    </row>
    <row r="14" spans="2:5" ht="15.75">
      <c r="B14" s="27" t="s">
        <v>104</v>
      </c>
      <c r="C14" s="29">
        <v>2401</v>
      </c>
      <c r="D14" s="29">
        <v>1958</v>
      </c>
      <c r="E14" s="32">
        <f>inputOth!E36</f>
        <v>2256.16</v>
      </c>
    </row>
    <row r="15" spans="2:5" ht="15.75">
      <c r="B15" s="38" t="s">
        <v>814</v>
      </c>
      <c r="C15" s="29">
        <v>1469</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63759.329999999994</v>
      </c>
      <c r="D23" s="420">
        <f>SUM(D8:D21)</f>
        <v>63186</v>
      </c>
      <c r="E23" s="42">
        <f>SUM(E8:E21)</f>
        <v>5940.16</v>
      </c>
    </row>
    <row r="24" spans="2:5" ht="15.75">
      <c r="B24" s="43" t="s">
        <v>24</v>
      </c>
      <c r="C24" s="420">
        <f>C23+C6</f>
        <v>65181.59</v>
      </c>
      <c r="D24" s="420">
        <f>D23+D6</f>
        <v>68770.77</v>
      </c>
      <c r="E24" s="42">
        <f>E23+E6</f>
        <v>10610.930000000004</v>
      </c>
    </row>
    <row r="25" spans="2:5" ht="15.75">
      <c r="B25" s="27" t="s">
        <v>25</v>
      </c>
      <c r="C25" s="418"/>
      <c r="D25" s="418"/>
      <c r="E25" s="32"/>
    </row>
    <row r="26" spans="2:5" ht="15.75">
      <c r="B26" s="38" t="s">
        <v>129</v>
      </c>
      <c r="C26" s="29">
        <f>2550.73+8222.07</f>
        <v>10772.8</v>
      </c>
      <c r="D26" s="29">
        <f>1800+18300</f>
        <v>20100</v>
      </c>
      <c r="E26" s="34">
        <v>20100</v>
      </c>
    </row>
    <row r="27" spans="2:5" ht="15.75">
      <c r="B27" s="37" t="s">
        <v>106</v>
      </c>
      <c r="C27" s="29">
        <v>2668.39</v>
      </c>
      <c r="D27" s="29">
        <v>4000</v>
      </c>
      <c r="E27" s="34">
        <v>4000</v>
      </c>
    </row>
    <row r="28" spans="2:5" ht="15.75">
      <c r="B28" s="38" t="s">
        <v>131</v>
      </c>
      <c r="C28" s="29">
        <v>6044.71</v>
      </c>
      <c r="D28" s="29"/>
      <c r="E28" s="34"/>
    </row>
    <row r="29" spans="2:5" ht="15.75">
      <c r="B29" s="38" t="s">
        <v>109</v>
      </c>
      <c r="C29" s="29">
        <f>6456.34+14731.3</f>
        <v>21187.64</v>
      </c>
      <c r="D29" s="29">
        <v>24000</v>
      </c>
      <c r="E29" s="34">
        <v>24000</v>
      </c>
    </row>
    <row r="30" spans="2:5" ht="15.75">
      <c r="B30" s="38" t="s">
        <v>107</v>
      </c>
      <c r="C30" s="29"/>
      <c r="D30" s="29">
        <v>5000</v>
      </c>
      <c r="E30" s="34">
        <v>5000</v>
      </c>
    </row>
    <row r="31" spans="2:5" ht="15.75">
      <c r="B31" s="38" t="s">
        <v>813</v>
      </c>
      <c r="C31" s="29">
        <v>215</v>
      </c>
      <c r="D31" s="29">
        <v>5500</v>
      </c>
      <c r="E31" s="34">
        <v>5500</v>
      </c>
    </row>
    <row r="32" spans="2:5" ht="15.75">
      <c r="B32" s="38" t="s">
        <v>815</v>
      </c>
      <c r="C32" s="29">
        <f>2390.2+918.08</f>
        <v>3308.2799999999997</v>
      </c>
      <c r="D32" s="29">
        <v>2000</v>
      </c>
      <c r="E32" s="34">
        <v>2000</v>
      </c>
    </row>
    <row r="33" spans="2:5" ht="15.75">
      <c r="B33" s="38" t="s">
        <v>36</v>
      </c>
      <c r="C33" s="29"/>
      <c r="D33" s="29">
        <v>3500</v>
      </c>
      <c r="E33" s="34">
        <v>3500</v>
      </c>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v>15400</v>
      </c>
      <c r="D38" s="29"/>
      <c r="E38" s="34"/>
    </row>
    <row r="39" spans="2:10" ht="15.75">
      <c r="B39" s="27" t="s">
        <v>650</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c r="E41" s="34"/>
      <c r="G41" s="537">
        <f>D44</f>
        <v>4670.770000000004</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5940.16</v>
      </c>
      <c r="H42" s="540" t="str">
        <f>CONCATENATE("",E1," Non-AV Receipts (est.)")</f>
        <v>2012 Non-AV Receipts (est.)</v>
      </c>
      <c r="I42" s="540"/>
      <c r="J42" s="536"/>
    </row>
    <row r="43" spans="2:10" ht="15.75">
      <c r="B43" s="43" t="s">
        <v>26</v>
      </c>
      <c r="C43" s="420">
        <f>SUM(C26:C38,C40:C41)</f>
        <v>59596.81999999999</v>
      </c>
      <c r="D43" s="420">
        <f>SUM(D26:D38,D40:D41)</f>
        <v>64100</v>
      </c>
      <c r="E43" s="42">
        <f>SUM(E26:E38,E40:E41)</f>
        <v>64100</v>
      </c>
      <c r="G43" s="541">
        <f>E50</f>
        <v>53489.06999999999</v>
      </c>
      <c r="H43" s="540" t="str">
        <f>CONCATENATE("",E1," Ad Valorem Tax (est.)")</f>
        <v>2012 Ad Valorem Tax (est.)</v>
      </c>
      <c r="I43" s="540"/>
      <c r="J43" s="536"/>
    </row>
    <row r="44" spans="2:10" ht="15.75">
      <c r="B44" s="27" t="s">
        <v>123</v>
      </c>
      <c r="C44" s="413">
        <f>C24-C43</f>
        <v>5584.770000000004</v>
      </c>
      <c r="D44" s="413">
        <f>D24-D43</f>
        <v>4670.770000000004</v>
      </c>
      <c r="E44" s="33" t="s">
        <v>302</v>
      </c>
      <c r="G44" s="537">
        <f>SUM(G41:G43)</f>
        <v>64100</v>
      </c>
      <c r="H44" s="540" t="str">
        <f>CONCATENATE("Total ",E1," Resources Available")</f>
        <v>Total 2012 Resources Available</v>
      </c>
      <c r="I44" s="539"/>
      <c r="J44" s="536"/>
    </row>
    <row r="45" spans="2:10" ht="15.75">
      <c r="B45" s="48" t="str">
        <f>CONCATENATE("",E1-2,"/",E1-1," Budget Authority Amount:")</f>
        <v>2010/2011 Budget Authority Amount:</v>
      </c>
      <c r="C45" s="143">
        <f>inputOth!B48</f>
        <v>61600</v>
      </c>
      <c r="D45" s="172">
        <f>inputPrYr!D18</f>
        <v>64100</v>
      </c>
      <c r="E45" s="33" t="s">
        <v>302</v>
      </c>
      <c r="F45" s="50"/>
      <c r="G45" s="542"/>
      <c r="H45" s="540"/>
      <c r="I45" s="540"/>
      <c r="J45" s="536"/>
    </row>
    <row r="46" spans="2:10" ht="15.75">
      <c r="B46" s="48"/>
      <c r="C46" s="652" t="s">
        <v>647</v>
      </c>
      <c r="D46" s="653"/>
      <c r="E46" s="34"/>
      <c r="F46" s="533">
        <f>IF(E43/0.95-E43&lt;E46,"Exceeds 5%","")</f>
      </c>
      <c r="G46" s="541">
        <f>C43*0.05+C43</f>
        <v>62576.66099999999</v>
      </c>
      <c r="H46" s="540" t="str">
        <f>CONCATENATE("Less ",E1-2," Expenditures + 5%")</f>
        <v>Less 2010 Expenditures + 5%</v>
      </c>
      <c r="I46" s="539"/>
      <c r="J46" s="536"/>
    </row>
    <row r="47" spans="2:10" ht="15.75">
      <c r="B47" s="436" t="str">
        <f>CONCATENATE(C74,"     ",D74)</f>
        <v>     </v>
      </c>
      <c r="C47" s="654" t="s">
        <v>648</v>
      </c>
      <c r="D47" s="655"/>
      <c r="E47" s="32">
        <f>E43+E46</f>
        <v>64100</v>
      </c>
      <c r="G47" s="543">
        <f>G44-G46</f>
        <v>1523.3390000000072</v>
      </c>
      <c r="H47" s="544" t="str">
        <f>CONCATENATE("Projected ",E1+1," Carryover (est.)")</f>
        <v>Projected 2013 Carryover (est.)</v>
      </c>
      <c r="I47" s="545"/>
      <c r="J47" s="546"/>
    </row>
    <row r="48" spans="2:5" ht="15.75">
      <c r="B48" s="436" t="str">
        <f>CONCATENATE(C75,"     ",D75)</f>
        <v>     </v>
      </c>
      <c r="C48" s="60"/>
      <c r="D48" s="52" t="s">
        <v>28</v>
      </c>
      <c r="E48" s="46">
        <f>IF(E47-E24&gt;0,E47-E24,0)</f>
        <v>53489.06999999999</v>
      </c>
    </row>
    <row r="49" spans="2:10" ht="15.75">
      <c r="B49" s="52"/>
      <c r="C49" s="440" t="s">
        <v>649</v>
      </c>
      <c r="D49" s="432">
        <f>inputOth!$E$40</f>
        <v>0</v>
      </c>
      <c r="E49" s="32">
        <f>ROUND(IF(D49&gt;0,(E48*D49),0),0)</f>
        <v>0</v>
      </c>
      <c r="G49" s="560">
        <f>IF(inputOth!E7=0,"",ROUND(E50/inputOth!E7*1000,3))</f>
        <v>21.343</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53489.06999999999</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745</v>
      </c>
      <c r="H53" s="540"/>
      <c r="I53" s="540"/>
      <c r="J53" s="554">
        <v>0</v>
      </c>
    </row>
    <row r="54" spans="2:10" ht="15.75">
      <c r="B54" s="82" t="s">
        <v>31</v>
      </c>
      <c r="C54" s="441" t="str">
        <f>CONCATENATE("",H1-2," Actual Year")</f>
        <v>-2 Actual Year</v>
      </c>
      <c r="D54" s="14"/>
      <c r="E54" s="14"/>
      <c r="G54" s="551" t="s">
        <v>746</v>
      </c>
      <c r="H54" s="535"/>
      <c r="I54" s="535"/>
      <c r="J54" s="555">
        <f>IF(J53=0,"",ROUND((J53+E50-G47)/inputOth!E7*1000,3)-G49)</f>
      </c>
    </row>
    <row r="55" spans="2:10" ht="15.75">
      <c r="B55" s="83" t="s">
        <v>14</v>
      </c>
      <c r="C55" s="600">
        <v>42143.86</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15400</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t="s">
        <v>816</v>
      </c>
      <c r="C60" s="600">
        <v>2635</v>
      </c>
      <c r="D60" s="14"/>
      <c r="E60" s="14"/>
    </row>
    <row r="61" spans="2:5" ht="15.75">
      <c r="B61" s="87" t="s">
        <v>22</v>
      </c>
      <c r="C61" s="600">
        <f>9.9+11+13.04+13.55+12.1+14.82+13.01+13.63+13.37+12.88+12.71+12.56</f>
        <v>152.57</v>
      </c>
      <c r="D61" s="14"/>
      <c r="E61" s="14"/>
    </row>
    <row r="62" spans="2:5" ht="15.75">
      <c r="B62" s="87" t="s">
        <v>21</v>
      </c>
      <c r="C62" s="600"/>
      <c r="D62" s="14"/>
      <c r="E62" s="14"/>
    </row>
    <row r="63" spans="2:5" ht="15.75">
      <c r="B63" s="88" t="s">
        <v>24</v>
      </c>
      <c r="C63" s="143">
        <f>SUM(C55:C62)</f>
        <v>60331.43</v>
      </c>
      <c r="D63" s="14"/>
      <c r="E63" s="14"/>
    </row>
    <row r="64" spans="2:5" ht="15.75">
      <c r="B64" s="88" t="s">
        <v>26</v>
      </c>
      <c r="C64" s="600">
        <v>0</v>
      </c>
      <c r="D64" s="14"/>
      <c r="E64" s="14"/>
    </row>
    <row r="65" spans="2:5" ht="15.75">
      <c r="B65" s="88" t="s">
        <v>27</v>
      </c>
      <c r="C65" s="438">
        <f>SUM(C63-C64)</f>
        <v>60331.43</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Wilson Township</v>
      </c>
      <c r="C1" s="22" t="s">
        <v>35</v>
      </c>
      <c r="D1" s="14"/>
      <c r="E1" s="15">
        <f>inputPrYr!D5</f>
        <v>2012</v>
      </c>
    </row>
    <row r="2" spans="2:5" ht="15.75">
      <c r="B2" s="17"/>
      <c r="C2" s="14"/>
      <c r="D2" s="14"/>
      <c r="E2" s="89"/>
    </row>
    <row r="3" spans="2:5" ht="15.75">
      <c r="B3" s="603" t="s">
        <v>752</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647</v>
      </c>
      <c r="D72" s="653"/>
      <c r="E72" s="34"/>
      <c r="F72" s="50">
        <f>IF(E69/0.95-E69&lt;E72,"Exceeds 5%","")</f>
      </c>
    </row>
    <row r="73" spans="2:5" ht="15.75">
      <c r="B73" s="436" t="str">
        <f>CONCATENATE(C90,"     ",D90)</f>
        <v>     </v>
      </c>
      <c r="C73" s="654" t="s">
        <v>648</v>
      </c>
      <c r="D73" s="655"/>
      <c r="E73" s="32">
        <f>E69+E72</f>
        <v>0</v>
      </c>
    </row>
    <row r="74" spans="2:5" ht="15.75">
      <c r="B74" s="436" t="str">
        <f>CONCATENATE(C91,"     ",D91)</f>
        <v>     </v>
      </c>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Wilson Township</v>
      </c>
      <c r="C1" s="14"/>
      <c r="D1" s="14"/>
      <c r="E1" s="15">
        <f>inputPrYr!D5</f>
        <v>2012</v>
      </c>
    </row>
    <row r="2" spans="2:5" ht="15.75">
      <c r="B2" s="17"/>
      <c r="C2" s="14"/>
      <c r="D2" s="62"/>
      <c r="E2" s="93"/>
    </row>
    <row r="3" spans="2:5" ht="15.75">
      <c r="B3" s="603" t="s">
        <v>752</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647</v>
      </c>
      <c r="D72" s="653"/>
      <c r="E72" s="602"/>
      <c r="F72" s="50">
        <f>IF(E69/0.95-E69&lt;E72,"Exceeds 5%","")</f>
      </c>
    </row>
    <row r="73" spans="2:6" ht="15.75">
      <c r="B73" s="436" t="str">
        <f>CONCATENATE(C90,"     ",D90)</f>
        <v>     </v>
      </c>
      <c r="C73" s="654" t="s">
        <v>648</v>
      </c>
      <c r="D73" s="655"/>
      <c r="E73" s="32">
        <f>E69+E72</f>
        <v>0</v>
      </c>
      <c r="F73" s="50"/>
    </row>
    <row r="74" spans="2:5" ht="15.75">
      <c r="B74" s="436" t="str">
        <f>CONCATENATE(C91,"     ",D91)</f>
        <v>     </v>
      </c>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Wilson Township</v>
      </c>
      <c r="C1" s="14"/>
      <c r="D1" s="14"/>
      <c r="E1" s="15">
        <f>inputPrYr!D5</f>
        <v>2012</v>
      </c>
    </row>
    <row r="2" spans="2:5" ht="15.75">
      <c r="B2" s="17"/>
      <c r="C2" s="14"/>
      <c r="D2" s="62"/>
      <c r="E2" s="63"/>
    </row>
    <row r="3" spans="2:5" ht="15.75">
      <c r="B3" s="603" t="s">
        <v>752</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647</v>
      </c>
      <c r="D72" s="653"/>
      <c r="E72" s="34"/>
      <c r="F72" s="50">
        <f>IF(E69/0.95-E69&lt;E72,"Exceeds 5%","")</f>
      </c>
    </row>
    <row r="73" spans="2:5" ht="15.75">
      <c r="B73" s="48"/>
      <c r="C73" s="654" t="s">
        <v>648</v>
      </c>
      <c r="D73" s="655"/>
      <c r="E73" s="32">
        <f>E69+E72</f>
        <v>0</v>
      </c>
    </row>
    <row r="74" spans="2:5" ht="15.75">
      <c r="B74" s="48"/>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Wilson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Wilson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744</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A1" sqref="A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810</v>
      </c>
      <c r="E2" s="19"/>
    </row>
    <row r="3" spans="1:5" ht="15.75">
      <c r="A3" s="79" t="s">
        <v>237</v>
      </c>
      <c r="B3" s="14"/>
      <c r="C3" s="14"/>
      <c r="D3" s="409" t="s">
        <v>809</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7900</v>
      </c>
      <c r="E16" s="200">
        <v>6918</v>
      </c>
    </row>
    <row r="17" spans="1:5" ht="15.75">
      <c r="A17" s="14"/>
      <c r="B17" s="83" t="s">
        <v>312</v>
      </c>
      <c r="C17" s="172" t="s">
        <v>157</v>
      </c>
      <c r="D17" s="200"/>
      <c r="E17" s="200"/>
    </row>
    <row r="18" spans="1:5" ht="15.75">
      <c r="A18" s="14"/>
      <c r="B18" s="83" t="s">
        <v>287</v>
      </c>
      <c r="C18" s="192" t="s">
        <v>327</v>
      </c>
      <c r="D18" s="200">
        <v>64100</v>
      </c>
      <c r="E18" s="200">
        <v>56382</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63300</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72000</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2.471</v>
      </c>
      <c r="E41" s="14"/>
    </row>
    <row r="42" spans="1:5" ht="15.75">
      <c r="A42" s="14"/>
      <c r="B42" s="96" t="str">
        <f t="shared" si="0"/>
        <v>Debt Service</v>
      </c>
      <c r="C42" s="14"/>
      <c r="D42" s="348"/>
      <c r="E42" s="14"/>
    </row>
    <row r="43" spans="1:5" ht="15.75">
      <c r="A43" s="14"/>
      <c r="B43" s="96" t="str">
        <f t="shared" si="0"/>
        <v>Road</v>
      </c>
      <c r="C43" s="14"/>
      <c r="D43" s="348">
        <v>23.009</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25.48</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61948</v>
      </c>
    </row>
    <row r="53" spans="1:5" ht="15.75">
      <c r="A53" s="353" t="str">
        <f>CONCATENATE("Assessed Valuation (",D5-2," budget column)")</f>
        <v>Assessed Valuation (2010 budget column)</v>
      </c>
      <c r="B53" s="354"/>
      <c r="C53" s="291"/>
      <c r="D53" s="28"/>
      <c r="E53" s="200">
        <v>2392212</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N29" sqref="N2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Wilson Township</v>
      </c>
      <c r="C4" s="679"/>
      <c r="D4" s="679"/>
      <c r="E4" s="679"/>
      <c r="F4" s="679"/>
      <c r="G4" s="679"/>
      <c r="H4" s="679"/>
      <c r="I4" s="679"/>
    </row>
    <row r="5" spans="2:9" ht="15.75">
      <c r="B5" s="679" t="str">
        <f>inputPrYr!D3</f>
        <v>Rice County</v>
      </c>
      <c r="C5" s="679"/>
      <c r="D5" s="679"/>
      <c r="E5" s="679"/>
      <c r="F5" s="679"/>
      <c r="G5" s="679"/>
      <c r="H5" s="679"/>
      <c r="I5" s="679"/>
    </row>
    <row r="6" spans="2:9" ht="15.75">
      <c r="B6" s="678" t="str">
        <f>CONCATENATE("will meet on ",inputBudSum!B5," at ",inputBudSum!B7," at ",inputBudSum!B9," for the purpose of hearing and")</f>
        <v>will meet on August 1, 2011 at 8:00 p.m. at 2185 Avenue S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the Rice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750</v>
      </c>
      <c r="H16" s="677"/>
      <c r="I16" s="26" t="s">
        <v>43</v>
      </c>
      <c r="J16" s="160"/>
    </row>
    <row r="17" spans="2:10" ht="15.75">
      <c r="B17" s="96" t="str">
        <f>inputPrYr!B16</f>
        <v>General</v>
      </c>
      <c r="C17" s="67">
        <f>IF(gen!$C$50&lt;&gt;0,gen!$C$50,"  ")</f>
        <v>7701.47</v>
      </c>
      <c r="D17" s="592">
        <f>IF(inputPrYr!D41&gt;0,inputPrYr!D41,"  ")</f>
        <v>2.471</v>
      </c>
      <c r="E17" s="32">
        <f>IF(gen!$D$50&lt;&gt;0,gen!$D$50,"  ")</f>
        <v>7900</v>
      </c>
      <c r="F17" s="253">
        <f>IF(inputOth!D17&gt;0,inputOth!D17,"  ")</f>
        <v>2.802</v>
      </c>
      <c r="G17" s="32">
        <f>IF(gen!$E$50&lt;&gt;0,gen!$E$50,"  ")</f>
        <v>7900</v>
      </c>
      <c r="H17" s="32">
        <f>IF(gen!$E$57&lt;&gt;0,gen!$E$57," ")</f>
        <v>6349.99</v>
      </c>
      <c r="I17" s="594">
        <f>IF(gen!E57&gt;0,ROUND(H17/$G$35*1000,3)," ")</f>
        <v>2.534</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59596.81999999999</v>
      </c>
      <c r="D19" s="592">
        <f>IF(inputPrYr!D43&gt;0,inputPrYr!D43,"  ")</f>
        <v>23.009</v>
      </c>
      <c r="E19" s="32">
        <f>IF(road!$D$43&lt;&gt;0,road!$D$43,"  ")</f>
        <v>64100</v>
      </c>
      <c r="F19" s="253">
        <f>IF(inputOth!D19&gt;0,inputOth!D19,"  ")</f>
        <v>22.837</v>
      </c>
      <c r="G19" s="32">
        <f>IF(road!$E$43&lt;&gt;0,road!$E$43,"  ")</f>
        <v>64100</v>
      </c>
      <c r="H19" s="32">
        <f>IF(road!$E$50&lt;&gt;0,road!$E$50,"  ")</f>
        <v>53489.06999999999</v>
      </c>
      <c r="I19" s="594">
        <f>IF(road!E50&gt;0,ROUND(H19/$G$35*1000,3)," ")</f>
        <v>21.343</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747</v>
      </c>
      <c r="L21" s="572"/>
      <c r="M21" s="572"/>
      <c r="N21" s="573">
        <f>ROUND(G35/1000,0)</f>
        <v>2506</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25.639</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4415.94000000001</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67298.29</v>
      </c>
      <c r="D30" s="529">
        <f t="shared" si="0"/>
        <v>25.48</v>
      </c>
      <c r="E30" s="595">
        <f t="shared" si="0"/>
        <v>72000</v>
      </c>
      <c r="F30" s="529">
        <f t="shared" si="0"/>
        <v>25.639</v>
      </c>
      <c r="G30" s="595">
        <f t="shared" si="0"/>
        <v>72000</v>
      </c>
      <c r="H30" s="595">
        <f t="shared" si="0"/>
        <v>59839.05999999999</v>
      </c>
      <c r="I30" s="598">
        <f t="shared" si="0"/>
        <v>23.877</v>
      </c>
      <c r="K30" s="669" t="str">
        <f>CONCATENATE("Impact On Keeping The Same Mill Rate As For ",I1-1,"")</f>
        <v>Impact On Keeping The Same Mill Rate As For 2011</v>
      </c>
      <c r="L30" s="670"/>
      <c r="M30" s="670"/>
      <c r="N30" s="671"/>
    </row>
    <row r="31" spans="2:14" ht="15.75">
      <c r="B31" s="83" t="s">
        <v>44</v>
      </c>
      <c r="C31" s="32">
        <f>transfer!C29</f>
        <v>15400</v>
      </c>
      <c r="D31" s="14"/>
      <c r="E31" s="32">
        <f>transfer!D29</f>
        <v>0</v>
      </c>
      <c r="F31" s="62"/>
      <c r="G31" s="32">
        <f>transfer!E29</f>
        <v>0</v>
      </c>
      <c r="H31" s="14"/>
      <c r="I31" s="14"/>
      <c r="K31" s="575"/>
      <c r="L31" s="569"/>
      <c r="M31" s="569"/>
      <c r="N31" s="576"/>
    </row>
    <row r="32" spans="2:14" ht="16.5" thickBot="1">
      <c r="B32" s="83" t="s">
        <v>45</v>
      </c>
      <c r="C32" s="596">
        <f>C30-C31</f>
        <v>51898.28999999999</v>
      </c>
      <c r="D32" s="14"/>
      <c r="E32" s="596">
        <f>E30-E31</f>
        <v>72000</v>
      </c>
      <c r="F32" s="14"/>
      <c r="G32" s="596">
        <f>G30-G31</f>
        <v>72000</v>
      </c>
      <c r="H32" s="14"/>
      <c r="I32" s="14"/>
      <c r="K32" s="575" t="str">
        <f>CONCATENATE("",I1," Ad Valorem Tax Revenue:")</f>
        <v>2012 Ad Valorem Tax Revenue:</v>
      </c>
      <c r="L32" s="569"/>
      <c r="M32" s="569"/>
      <c r="N32" s="570">
        <f>H30</f>
        <v>59839.05999999999</v>
      </c>
    </row>
    <row r="33" spans="2:14" ht="16.5" thickTop="1">
      <c r="B33" s="83" t="s">
        <v>46</v>
      </c>
      <c r="C33" s="597">
        <f>inputPrYr!E52</f>
        <v>61948</v>
      </c>
      <c r="D33" s="62"/>
      <c r="E33" s="597">
        <f>inputPrYr!E25</f>
        <v>63300</v>
      </c>
      <c r="F33" s="14"/>
      <c r="G33" s="588" t="s">
        <v>302</v>
      </c>
      <c r="H33" s="14"/>
      <c r="I33" s="14"/>
      <c r="K33" s="575" t="str">
        <f>CONCATENATE("",I1-1," Ad Valorem Tax Revenue:")</f>
        <v>2011 Ad Valorem Tax Revenue:</v>
      </c>
      <c r="L33" s="569"/>
      <c r="M33" s="569"/>
      <c r="N33" s="583">
        <f>ROUND(G35*N25/1000,0)</f>
        <v>64255</v>
      </c>
    </row>
    <row r="34" spans="2:14" ht="15.75">
      <c r="B34" s="279" t="s">
        <v>47</v>
      </c>
      <c r="C34" s="55"/>
      <c r="D34" s="62"/>
      <c r="E34" s="55"/>
      <c r="F34" s="62"/>
      <c r="G34" s="14"/>
      <c r="H34" s="14"/>
      <c r="I34" s="14"/>
      <c r="K34" s="580" t="s">
        <v>748</v>
      </c>
      <c r="L34" s="581"/>
      <c r="M34" s="581"/>
      <c r="N34" s="573">
        <f>N32-N33</f>
        <v>-4415.94000000001</v>
      </c>
    </row>
    <row r="35" spans="2:14" ht="15.75">
      <c r="B35" s="606" t="s">
        <v>48</v>
      </c>
      <c r="C35" s="31">
        <f>inputPrYr!E53</f>
        <v>2392212</v>
      </c>
      <c r="D35" s="14"/>
      <c r="E35" s="32">
        <f>inputOth!E28</f>
        <v>2437100</v>
      </c>
      <c r="F35" s="14"/>
      <c r="G35" s="32">
        <f>inputOth!E7</f>
        <v>2506138</v>
      </c>
      <c r="H35" s="14"/>
      <c r="I35" s="14"/>
      <c r="K35" s="574"/>
      <c r="L35" s="574"/>
      <c r="M35" s="574"/>
      <c r="N35" s="582"/>
    </row>
    <row r="36" spans="2:14" ht="15.75">
      <c r="B36" s="22" t="s">
        <v>49</v>
      </c>
      <c r="C36" s="14"/>
      <c r="D36" s="14"/>
      <c r="E36" s="14"/>
      <c r="F36" s="14"/>
      <c r="G36" s="14"/>
      <c r="H36" s="14"/>
      <c r="I36" s="14"/>
      <c r="K36" s="669" t="s">
        <v>749</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23.877</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801</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Wilson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2506138</v>
      </c>
      <c r="E18" s="14"/>
      <c r="F18" s="140"/>
    </row>
    <row r="19" spans="1:6" ht="15.75">
      <c r="A19" s="14"/>
      <c r="B19" s="14"/>
      <c r="C19" s="14"/>
      <c r="D19" s="14"/>
      <c r="E19" s="14"/>
      <c r="F19" s="140"/>
    </row>
    <row r="20" spans="1:6" ht="15.75">
      <c r="A20" s="14"/>
      <c r="B20" s="682" t="s">
        <v>379</v>
      </c>
      <c r="C20" s="682"/>
      <c r="D20" s="148">
        <f>IF(D18&gt;0,(D18*0.001),"")</f>
        <v>2506.138</v>
      </c>
      <c r="E20" s="14"/>
      <c r="F20" s="140"/>
    </row>
    <row r="21" spans="1:6" ht="15.75">
      <c r="A21" s="14"/>
      <c r="B21" s="48"/>
      <c r="C21" s="48"/>
      <c r="D21" s="149"/>
      <c r="E21" s="14"/>
      <c r="F21" s="140"/>
    </row>
    <row r="22" spans="1:6" ht="15.75">
      <c r="A22" s="680" t="s">
        <v>381</v>
      </c>
      <c r="B22" s="625"/>
      <c r="C22" s="625"/>
      <c r="D22" s="150">
        <f>inputOth!E13</f>
        <v>0</v>
      </c>
      <c r="E22" s="151"/>
      <c r="F22" s="151"/>
    </row>
    <row r="23" spans="1:6" ht="15.75">
      <c r="A23" s="151"/>
      <c r="B23" s="151"/>
      <c r="C23" s="151"/>
      <c r="D23" s="152"/>
      <c r="E23" s="151"/>
      <c r="F23" s="151"/>
    </row>
    <row r="24" spans="1:6" ht="15.75">
      <c r="A24" s="151"/>
      <c r="B24" s="680" t="s">
        <v>382</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133</v>
      </c>
      <c r="B1" s="686"/>
      <c r="C1" s="686"/>
      <c r="D1" s="686"/>
      <c r="E1" s="686"/>
      <c r="F1" s="686"/>
      <c r="G1" s="686"/>
    </row>
    <row r="2" ht="15.75">
      <c r="A2" s="1"/>
    </row>
    <row r="3" spans="1:7" ht="15.75">
      <c r="A3" s="687" t="s">
        <v>134</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Wilson Township </v>
      </c>
      <c r="I6">
        <f>CONCATENATE(I7)</f>
      </c>
    </row>
    <row r="7" spans="1:7" ht="15.75">
      <c r="A7" s="688" t="str">
        <f>CONCATENATE("   with respect to financing the ",inputPrYr!D5," annual budget for ",(inputPrYr!D2)," , ",(inputPrYr!D3)," , Kansas.")</f>
        <v>   with respect to financing the 2012 annual budget for Wilson Township , Rice County , Kansas.</v>
      </c>
      <c r="B7" s="684"/>
      <c r="C7" s="684"/>
      <c r="D7" s="684"/>
      <c r="E7" s="684"/>
      <c r="F7" s="684"/>
      <c r="G7" s="684"/>
    </row>
    <row r="8" spans="1:7" ht="15.75">
      <c r="A8" s="684"/>
      <c r="B8" s="684"/>
      <c r="C8" s="684"/>
      <c r="D8" s="684"/>
      <c r="E8" s="684"/>
      <c r="F8" s="684"/>
      <c r="G8" s="684"/>
    </row>
    <row r="9" ht="15.75">
      <c r="A9" s="1"/>
    </row>
    <row r="10" ht="15.75">
      <c r="A10" s="9" t="s">
        <v>135</v>
      </c>
    </row>
    <row r="11" ht="15.75">
      <c r="A11" s="7" t="str">
        <f>CONCATENATE("to finance the ",inputPrYr!D5," ",(inputPrYr!D2)," budget exceed the amount levied to finance the ",inputPrYr!D5-1,"")</f>
        <v>to finance the 2012 Wilson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Wilson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140</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136</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Wilson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137</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Wilson Township of Rice County, Kansas that is our desire to notify the public of increased property taxes to finance the 2012 Wilson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Wilson Township Board, Rice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Wilson Township Board</v>
      </c>
      <c r="E33" s="690"/>
      <c r="F33" s="690"/>
      <c r="G33" s="690"/>
    </row>
    <row r="35" spans="4:7" ht="15.75">
      <c r="D35" s="691" t="s">
        <v>138</v>
      </c>
      <c r="E35" s="691"/>
      <c r="F35" s="691"/>
      <c r="G35" s="691"/>
    </row>
    <row r="36" spans="1:7" ht="15.75">
      <c r="A36" s="5"/>
      <c r="D36" s="691" t="s">
        <v>142</v>
      </c>
      <c r="E36" s="691"/>
      <c r="F36" s="691"/>
      <c r="G36" s="691"/>
    </row>
    <row r="37" spans="4:7" ht="15.75">
      <c r="D37" s="691"/>
      <c r="E37" s="691"/>
      <c r="F37" s="691"/>
      <c r="G37" s="691"/>
    </row>
    <row r="38" spans="4:7" ht="15.75">
      <c r="D38" s="691" t="s">
        <v>138</v>
      </c>
      <c r="E38" s="691"/>
      <c r="F38" s="691"/>
      <c r="G38" s="691"/>
    </row>
    <row r="39" spans="1:7" ht="15.75">
      <c r="A39" s="4"/>
      <c r="D39" s="691" t="s">
        <v>143</v>
      </c>
      <c r="E39" s="691"/>
      <c r="F39" s="691"/>
      <c r="G39" s="691"/>
    </row>
    <row r="40" spans="4:7" ht="15.75">
      <c r="D40" s="691"/>
      <c r="E40" s="691"/>
      <c r="F40" s="691"/>
      <c r="G40" s="691"/>
    </row>
    <row r="41" spans="4:7" ht="15.75">
      <c r="D41" s="691" t="s">
        <v>141</v>
      </c>
      <c r="E41" s="691"/>
      <c r="F41" s="691"/>
      <c r="G41" s="691"/>
    </row>
    <row r="42" spans="1:7" ht="15.75">
      <c r="A42" s="4"/>
      <c r="D42" s="691" t="s">
        <v>144</v>
      </c>
      <c r="E42" s="691"/>
      <c r="F42" s="691"/>
      <c r="G42" s="691"/>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88">
      <selection activeCell="C99" sqref="C99"/>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651</v>
      </c>
      <c r="C6" s="694"/>
      <c r="D6" s="694"/>
      <c r="E6" s="694"/>
      <c r="F6" s="694"/>
      <c r="G6" s="694"/>
      <c r="H6" s="694"/>
      <c r="I6" s="694"/>
      <c r="J6" s="694"/>
      <c r="K6" s="694"/>
      <c r="L6" s="446"/>
    </row>
    <row r="7" spans="1:12" ht="40.5" customHeight="1">
      <c r="A7" s="443"/>
      <c r="B7" s="695" t="s">
        <v>652</v>
      </c>
      <c r="C7" s="696"/>
      <c r="D7" s="696"/>
      <c r="E7" s="696"/>
      <c r="F7" s="696"/>
      <c r="G7" s="696"/>
      <c r="H7" s="696"/>
      <c r="I7" s="696"/>
      <c r="J7" s="696"/>
      <c r="K7" s="696"/>
      <c r="L7" s="443"/>
    </row>
    <row r="8" spans="1:12" ht="14.25">
      <c r="A8" s="443"/>
      <c r="B8" s="697" t="s">
        <v>653</v>
      </c>
      <c r="C8" s="697"/>
      <c r="D8" s="697"/>
      <c r="E8" s="697"/>
      <c r="F8" s="697"/>
      <c r="G8" s="697"/>
      <c r="H8" s="697"/>
      <c r="I8" s="697"/>
      <c r="J8" s="697"/>
      <c r="K8" s="697"/>
      <c r="L8" s="443"/>
    </row>
    <row r="9" spans="1:12" ht="14.25">
      <c r="A9" s="443"/>
      <c r="L9" s="443"/>
    </row>
    <row r="10" spans="1:12" ht="14.25">
      <c r="A10" s="443"/>
      <c r="B10" s="697" t="s">
        <v>654</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655</v>
      </c>
      <c r="C12" s="698"/>
      <c r="D12" s="698"/>
      <c r="E12" s="698"/>
      <c r="F12" s="698"/>
      <c r="G12" s="698"/>
      <c r="H12" s="698"/>
      <c r="I12" s="698"/>
      <c r="J12" s="698"/>
      <c r="K12" s="698"/>
      <c r="L12" s="443"/>
    </row>
    <row r="13" spans="1:12" ht="14.25">
      <c r="A13" s="443"/>
      <c r="L13" s="443"/>
    </row>
    <row r="14" spans="1:12" ht="14.25">
      <c r="A14" s="443"/>
      <c r="B14" s="448" t="s">
        <v>656</v>
      </c>
      <c r="L14" s="443"/>
    </row>
    <row r="15" spans="1:12" ht="14.25">
      <c r="A15" s="443"/>
      <c r="L15" s="443"/>
    </row>
    <row r="16" spans="1:12" ht="14.25">
      <c r="A16" s="443"/>
      <c r="B16" s="445" t="s">
        <v>657</v>
      </c>
      <c r="L16" s="443"/>
    </row>
    <row r="17" spans="1:12" ht="14.25">
      <c r="A17" s="443"/>
      <c r="B17" s="445" t="s">
        <v>658</v>
      </c>
      <c r="L17" s="443"/>
    </row>
    <row r="18" spans="1:12" ht="14.25">
      <c r="A18" s="443"/>
      <c r="L18" s="443"/>
    </row>
    <row r="19" spans="1:12" ht="14.25">
      <c r="A19" s="443"/>
      <c r="B19" s="448" t="s">
        <v>659</v>
      </c>
      <c r="L19" s="443"/>
    </row>
    <row r="20" spans="1:12" ht="14.25">
      <c r="A20" s="443"/>
      <c r="B20" s="448"/>
      <c r="L20" s="443"/>
    </row>
    <row r="21" spans="1:12" ht="14.25">
      <c r="A21" s="443"/>
      <c r="B21" s="445" t="s">
        <v>660</v>
      </c>
      <c r="L21" s="443"/>
    </row>
    <row r="22" spans="1:12" ht="14.25">
      <c r="A22" s="443"/>
      <c r="L22" s="443"/>
    </row>
    <row r="23" spans="1:12" ht="14.25">
      <c r="A23" s="443"/>
      <c r="B23" s="445" t="s">
        <v>661</v>
      </c>
      <c r="E23" s="445" t="s">
        <v>662</v>
      </c>
      <c r="F23" s="699">
        <v>133685008</v>
      </c>
      <c r="G23" s="699"/>
      <c r="L23" s="443"/>
    </row>
    <row r="24" spans="1:12" ht="14.25">
      <c r="A24" s="443"/>
      <c r="L24" s="443"/>
    </row>
    <row r="25" spans="1:12" ht="14.25">
      <c r="A25" s="443"/>
      <c r="C25" s="700">
        <f>F23</f>
        <v>133685008</v>
      </c>
      <c r="D25" s="700"/>
      <c r="E25" s="445" t="s">
        <v>663</v>
      </c>
      <c r="F25" s="449">
        <v>1000</v>
      </c>
      <c r="G25" s="449" t="s">
        <v>662</v>
      </c>
      <c r="H25" s="450">
        <f>F23/F25</f>
        <v>133685.008</v>
      </c>
      <c r="L25" s="443"/>
    </row>
    <row r="26" spans="1:12" ht="15" thickBot="1">
      <c r="A26" s="443"/>
      <c r="L26" s="443"/>
    </row>
    <row r="27" spans="1:12" ht="14.25">
      <c r="A27" s="443"/>
      <c r="B27" s="451" t="s">
        <v>656</v>
      </c>
      <c r="C27" s="452"/>
      <c r="D27" s="452"/>
      <c r="E27" s="452"/>
      <c r="F27" s="452"/>
      <c r="G27" s="452"/>
      <c r="H27" s="452"/>
      <c r="I27" s="452"/>
      <c r="J27" s="452"/>
      <c r="K27" s="453"/>
      <c r="L27" s="443"/>
    </row>
    <row r="28" spans="1:12" ht="14.25">
      <c r="A28" s="443"/>
      <c r="B28" s="454">
        <f>F23</f>
        <v>133685008</v>
      </c>
      <c r="C28" s="455" t="s">
        <v>664</v>
      </c>
      <c r="D28" s="455"/>
      <c r="E28" s="455" t="s">
        <v>663</v>
      </c>
      <c r="F28" s="456">
        <v>1000</v>
      </c>
      <c r="G28" s="456" t="s">
        <v>662</v>
      </c>
      <c r="H28" s="457">
        <f>B28/F28</f>
        <v>133685.008</v>
      </c>
      <c r="I28" s="455" t="s">
        <v>665</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652</v>
      </c>
      <c r="C30" s="701"/>
      <c r="D30" s="701"/>
      <c r="E30" s="701"/>
      <c r="F30" s="701"/>
      <c r="G30" s="701"/>
      <c r="H30" s="701"/>
      <c r="I30" s="701"/>
      <c r="J30" s="701"/>
      <c r="K30" s="701"/>
      <c r="L30" s="443"/>
    </row>
    <row r="31" spans="1:12" ht="14.25">
      <c r="A31" s="443"/>
      <c r="B31" s="697" t="s">
        <v>666</v>
      </c>
      <c r="C31" s="697"/>
      <c r="D31" s="697"/>
      <c r="E31" s="697"/>
      <c r="F31" s="697"/>
      <c r="G31" s="697"/>
      <c r="H31" s="697"/>
      <c r="I31" s="697"/>
      <c r="J31" s="697"/>
      <c r="K31" s="697"/>
      <c r="L31" s="443"/>
    </row>
    <row r="32" spans="1:12" ht="14.25">
      <c r="A32" s="443"/>
      <c r="L32" s="443"/>
    </row>
    <row r="33" spans="1:12" ht="14.25">
      <c r="A33" s="443"/>
      <c r="B33" s="697" t="s">
        <v>667</v>
      </c>
      <c r="C33" s="697"/>
      <c r="D33" s="697"/>
      <c r="E33" s="697"/>
      <c r="F33" s="697"/>
      <c r="G33" s="697"/>
      <c r="H33" s="697"/>
      <c r="I33" s="697"/>
      <c r="J33" s="697"/>
      <c r="K33" s="697"/>
      <c r="L33" s="443"/>
    </row>
    <row r="34" spans="1:12" ht="14.25">
      <c r="A34" s="443"/>
      <c r="L34" s="443"/>
    </row>
    <row r="35" spans="1:12" ht="89.25" customHeight="1">
      <c r="A35" s="443"/>
      <c r="B35" s="698" t="s">
        <v>668</v>
      </c>
      <c r="C35" s="702"/>
      <c r="D35" s="702"/>
      <c r="E35" s="702"/>
      <c r="F35" s="702"/>
      <c r="G35" s="702"/>
      <c r="H35" s="702"/>
      <c r="I35" s="702"/>
      <c r="J35" s="702"/>
      <c r="K35" s="702"/>
      <c r="L35" s="443"/>
    </row>
    <row r="36" spans="1:12" ht="14.25">
      <c r="A36" s="443"/>
      <c r="L36" s="443"/>
    </row>
    <row r="37" spans="1:12" ht="14.25">
      <c r="A37" s="443"/>
      <c r="B37" s="448" t="s">
        <v>669</v>
      </c>
      <c r="L37" s="443"/>
    </row>
    <row r="38" spans="1:12" ht="14.25">
      <c r="A38" s="443"/>
      <c r="L38" s="443"/>
    </row>
    <row r="39" spans="1:12" ht="14.25">
      <c r="A39" s="443"/>
      <c r="B39" s="445" t="s">
        <v>670</v>
      </c>
      <c r="L39" s="443"/>
    </row>
    <row r="40" spans="1:12" ht="14.25">
      <c r="A40" s="443"/>
      <c r="L40" s="443"/>
    </row>
    <row r="41" spans="1:12" ht="14.25">
      <c r="A41" s="443"/>
      <c r="C41" s="703">
        <v>3120000</v>
      </c>
      <c r="D41" s="703"/>
      <c r="E41" s="445" t="s">
        <v>663</v>
      </c>
      <c r="F41" s="449">
        <v>1000</v>
      </c>
      <c r="G41" s="449" t="s">
        <v>662</v>
      </c>
      <c r="H41" s="462">
        <f>C41/F41</f>
        <v>3120</v>
      </c>
      <c r="L41" s="443"/>
    </row>
    <row r="42" spans="1:12" ht="14.25">
      <c r="A42" s="443"/>
      <c r="L42" s="443"/>
    </row>
    <row r="43" spans="1:12" ht="14.25">
      <c r="A43" s="443"/>
      <c r="B43" s="445" t="s">
        <v>671</v>
      </c>
      <c r="L43" s="443"/>
    </row>
    <row r="44" spans="1:12" ht="14.25">
      <c r="A44" s="443"/>
      <c r="L44" s="443"/>
    </row>
    <row r="45" spans="1:12" ht="14.25">
      <c r="A45" s="443"/>
      <c r="B45" s="445" t="s">
        <v>672</v>
      </c>
      <c r="L45" s="443"/>
    </row>
    <row r="46" spans="1:12" ht="15" thickBot="1">
      <c r="A46" s="443"/>
      <c r="L46" s="443"/>
    </row>
    <row r="47" spans="1:12" ht="14.25">
      <c r="A47" s="443"/>
      <c r="B47" s="463" t="s">
        <v>656</v>
      </c>
      <c r="C47" s="452"/>
      <c r="D47" s="452"/>
      <c r="E47" s="452"/>
      <c r="F47" s="452"/>
      <c r="G47" s="452"/>
      <c r="H47" s="452"/>
      <c r="I47" s="452"/>
      <c r="J47" s="452"/>
      <c r="K47" s="453"/>
      <c r="L47" s="443"/>
    </row>
    <row r="48" spans="1:12" ht="14.25">
      <c r="A48" s="443"/>
      <c r="B48" s="699">
        <v>133685008</v>
      </c>
      <c r="C48" s="699"/>
      <c r="D48" s="455" t="s">
        <v>673</v>
      </c>
      <c r="E48" s="455" t="s">
        <v>663</v>
      </c>
      <c r="F48" s="456">
        <v>1000</v>
      </c>
      <c r="G48" s="456" t="s">
        <v>662</v>
      </c>
      <c r="H48" s="457">
        <f>B48/F48</f>
        <v>133685.008</v>
      </c>
      <c r="I48" s="455" t="s">
        <v>674</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675</v>
      </c>
      <c r="D50" s="455"/>
      <c r="E50" s="455" t="s">
        <v>663</v>
      </c>
      <c r="F50" s="457">
        <f>H48</f>
        <v>133685.008</v>
      </c>
      <c r="G50" s="704" t="s">
        <v>676</v>
      </c>
      <c r="H50" s="705"/>
      <c r="I50" s="456" t="s">
        <v>662</v>
      </c>
      <c r="J50" s="466">
        <f>B50/F50</f>
        <v>52.8690023342034</v>
      </c>
      <c r="K50" s="458"/>
      <c r="L50" s="443"/>
    </row>
    <row r="51" spans="1:15" ht="15" thickBot="1">
      <c r="A51" s="443"/>
      <c r="B51" s="459"/>
      <c r="C51" s="460"/>
      <c r="D51" s="460"/>
      <c r="E51" s="460"/>
      <c r="F51" s="460"/>
      <c r="G51" s="460"/>
      <c r="H51" s="460"/>
      <c r="I51" s="706" t="s">
        <v>677</v>
      </c>
      <c r="J51" s="706"/>
      <c r="K51" s="707"/>
      <c r="L51" s="443"/>
      <c r="O51" s="467"/>
    </row>
    <row r="52" spans="1:12" ht="40.5" customHeight="1">
      <c r="A52" s="443"/>
      <c r="B52" s="701" t="s">
        <v>652</v>
      </c>
      <c r="C52" s="701"/>
      <c r="D52" s="701"/>
      <c r="E52" s="701"/>
      <c r="F52" s="701"/>
      <c r="G52" s="701"/>
      <c r="H52" s="701"/>
      <c r="I52" s="701"/>
      <c r="J52" s="701"/>
      <c r="K52" s="701"/>
      <c r="L52" s="443"/>
    </row>
    <row r="53" spans="1:12" ht="14.25">
      <c r="A53" s="443"/>
      <c r="B53" s="697" t="s">
        <v>678</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679</v>
      </c>
      <c r="C55" s="693"/>
      <c r="D55" s="693"/>
      <c r="E55" s="693"/>
      <c r="F55" s="693"/>
      <c r="G55" s="693"/>
      <c r="H55" s="693"/>
      <c r="I55" s="693"/>
      <c r="J55" s="693"/>
      <c r="K55" s="693"/>
      <c r="L55" s="443"/>
    </row>
    <row r="56" spans="1:12" ht="15" customHeight="1">
      <c r="A56" s="443"/>
      <c r="L56" s="443"/>
    </row>
    <row r="57" spans="1:24" ht="74.25" customHeight="1">
      <c r="A57" s="443"/>
      <c r="B57" s="698" t="s">
        <v>680</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669</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681</v>
      </c>
      <c r="L61" s="443"/>
      <c r="M61" s="469"/>
      <c r="N61" s="469"/>
      <c r="O61" s="469"/>
      <c r="P61" s="469"/>
      <c r="Q61" s="469"/>
      <c r="R61" s="469"/>
      <c r="S61" s="469"/>
      <c r="T61" s="469"/>
      <c r="U61" s="469"/>
      <c r="V61" s="469"/>
      <c r="W61" s="469"/>
      <c r="X61" s="469"/>
    </row>
    <row r="62" spans="1:24" ht="14.25">
      <c r="A62" s="443"/>
      <c r="B62" s="445" t="s">
        <v>682</v>
      </c>
      <c r="L62" s="443"/>
      <c r="M62" s="469"/>
      <c r="N62" s="469"/>
      <c r="O62" s="469"/>
      <c r="P62" s="469"/>
      <c r="Q62" s="469"/>
      <c r="R62" s="469"/>
      <c r="S62" s="469"/>
      <c r="T62" s="469"/>
      <c r="U62" s="469"/>
      <c r="V62" s="469"/>
      <c r="W62" s="469"/>
      <c r="X62" s="469"/>
    </row>
    <row r="63" spans="1:24" ht="14.25">
      <c r="A63" s="443"/>
      <c r="B63" s="445" t="s">
        <v>683</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684</v>
      </c>
      <c r="L65" s="443"/>
      <c r="M65" s="469"/>
      <c r="N65" s="469"/>
      <c r="O65" s="469"/>
      <c r="P65" s="469"/>
      <c r="Q65" s="469"/>
      <c r="R65" s="469"/>
      <c r="S65" s="469"/>
      <c r="T65" s="469"/>
      <c r="U65" s="469"/>
      <c r="V65" s="469"/>
      <c r="W65" s="469"/>
      <c r="X65" s="469"/>
    </row>
    <row r="66" spans="1:24" ht="14.25">
      <c r="A66" s="443"/>
      <c r="B66" s="445" t="s">
        <v>685</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686</v>
      </c>
      <c r="L68" s="443"/>
      <c r="M68" s="470"/>
      <c r="N68" s="471"/>
      <c r="O68" s="471"/>
      <c r="P68" s="471"/>
      <c r="Q68" s="471"/>
      <c r="R68" s="471"/>
      <c r="S68" s="471"/>
      <c r="T68" s="471"/>
      <c r="U68" s="471"/>
      <c r="V68" s="471"/>
      <c r="W68" s="471"/>
      <c r="X68" s="469"/>
    </row>
    <row r="69" spans="1:24" ht="14.25">
      <c r="A69" s="443"/>
      <c r="B69" s="445" t="s">
        <v>687</v>
      </c>
      <c r="L69" s="443"/>
      <c r="M69" s="469"/>
      <c r="N69" s="469"/>
      <c r="O69" s="469"/>
      <c r="P69" s="469"/>
      <c r="Q69" s="469"/>
      <c r="R69" s="469"/>
      <c r="S69" s="469"/>
      <c r="T69" s="469"/>
      <c r="U69" s="469"/>
      <c r="V69" s="469"/>
      <c r="W69" s="469"/>
      <c r="X69" s="469"/>
    </row>
    <row r="70" spans="1:24" ht="14.25">
      <c r="A70" s="443"/>
      <c r="B70" s="445" t="s">
        <v>688</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656</v>
      </c>
      <c r="C72" s="452"/>
      <c r="D72" s="452"/>
      <c r="E72" s="452"/>
      <c r="F72" s="452"/>
      <c r="G72" s="452"/>
      <c r="H72" s="452"/>
      <c r="I72" s="452"/>
      <c r="J72" s="452"/>
      <c r="K72" s="453"/>
      <c r="L72" s="472"/>
    </row>
    <row r="73" spans="1:12" ht="14.25">
      <c r="A73" s="443"/>
      <c r="B73" s="464"/>
      <c r="C73" s="455" t="s">
        <v>664</v>
      </c>
      <c r="D73" s="455"/>
      <c r="E73" s="455"/>
      <c r="F73" s="455"/>
      <c r="G73" s="455"/>
      <c r="H73" s="455"/>
      <c r="I73" s="455"/>
      <c r="J73" s="455"/>
      <c r="K73" s="458"/>
      <c r="L73" s="472"/>
    </row>
    <row r="74" spans="1:12" ht="14.25">
      <c r="A74" s="443"/>
      <c r="B74" s="464" t="s">
        <v>689</v>
      </c>
      <c r="C74" s="699">
        <v>133685008</v>
      </c>
      <c r="D74" s="699"/>
      <c r="E74" s="456" t="s">
        <v>663</v>
      </c>
      <c r="F74" s="456">
        <v>1000</v>
      </c>
      <c r="G74" s="456" t="s">
        <v>662</v>
      </c>
      <c r="H74" s="473">
        <f>C74/F74</f>
        <v>133685.008</v>
      </c>
      <c r="I74" s="455" t="s">
        <v>690</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691</v>
      </c>
      <c r="D76" s="455"/>
      <c r="E76" s="456"/>
      <c r="F76" s="455" t="s">
        <v>690</v>
      </c>
      <c r="G76" s="455"/>
      <c r="H76" s="455"/>
      <c r="I76" s="455"/>
      <c r="J76" s="455"/>
      <c r="K76" s="458"/>
      <c r="L76" s="472"/>
    </row>
    <row r="77" spans="1:12" ht="14.25">
      <c r="A77" s="443"/>
      <c r="B77" s="464" t="s">
        <v>692</v>
      </c>
      <c r="C77" s="699">
        <v>5000</v>
      </c>
      <c r="D77" s="699"/>
      <c r="E77" s="456" t="s">
        <v>663</v>
      </c>
      <c r="F77" s="473">
        <f>H74</f>
        <v>133685.008</v>
      </c>
      <c r="G77" s="456" t="s">
        <v>662</v>
      </c>
      <c r="H77" s="466">
        <f>C77/F77</f>
        <v>0.03740135169083432</v>
      </c>
      <c r="I77" s="455" t="s">
        <v>693</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694</v>
      </c>
      <c r="D79" s="475"/>
      <c r="E79" s="476"/>
      <c r="F79" s="475"/>
      <c r="G79" s="475"/>
      <c r="H79" s="475"/>
      <c r="I79" s="475"/>
      <c r="J79" s="475"/>
      <c r="K79" s="477"/>
      <c r="L79" s="472"/>
    </row>
    <row r="80" spans="1:12" ht="14.25">
      <c r="A80" s="443"/>
      <c r="B80" s="464" t="s">
        <v>695</v>
      </c>
      <c r="C80" s="699">
        <v>100000</v>
      </c>
      <c r="D80" s="699"/>
      <c r="E80" s="456" t="s">
        <v>302</v>
      </c>
      <c r="F80" s="456">
        <v>0.115</v>
      </c>
      <c r="G80" s="456" t="s">
        <v>662</v>
      </c>
      <c r="H80" s="473">
        <f>C80*F80</f>
        <v>11500</v>
      </c>
      <c r="I80" s="455" t="s">
        <v>696</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697</v>
      </c>
      <c r="D82" s="475"/>
      <c r="E82" s="476"/>
      <c r="F82" s="475" t="s">
        <v>693</v>
      </c>
      <c r="G82" s="475"/>
      <c r="H82" s="475"/>
      <c r="I82" s="475"/>
      <c r="J82" s="475" t="s">
        <v>698</v>
      </c>
      <c r="K82" s="477"/>
      <c r="L82" s="472"/>
    </row>
    <row r="83" spans="1:12" ht="14.25">
      <c r="A83" s="443"/>
      <c r="B83" s="464" t="s">
        <v>699</v>
      </c>
      <c r="C83" s="708">
        <f>H80</f>
        <v>11500</v>
      </c>
      <c r="D83" s="708"/>
      <c r="E83" s="456" t="s">
        <v>302</v>
      </c>
      <c r="F83" s="466">
        <f>H77</f>
        <v>0.03740135169083432</v>
      </c>
      <c r="G83" s="456" t="s">
        <v>663</v>
      </c>
      <c r="H83" s="456">
        <v>1000</v>
      </c>
      <c r="I83" s="456" t="s">
        <v>662</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652</v>
      </c>
      <c r="C85" s="701"/>
      <c r="D85" s="701"/>
      <c r="E85" s="701"/>
      <c r="F85" s="701"/>
      <c r="G85" s="701"/>
      <c r="H85" s="701"/>
      <c r="I85" s="701"/>
      <c r="J85" s="701"/>
      <c r="K85" s="701"/>
      <c r="L85" s="443"/>
    </row>
    <row r="86" spans="1:12" ht="14.25">
      <c r="A86" s="443"/>
      <c r="B86" s="693" t="s">
        <v>700</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701</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702</v>
      </c>
      <c r="C90" s="698"/>
      <c r="D90" s="698"/>
      <c r="E90" s="698"/>
      <c r="F90" s="698"/>
      <c r="G90" s="698"/>
      <c r="H90" s="698"/>
      <c r="I90" s="698"/>
      <c r="J90" s="698"/>
      <c r="K90" s="698"/>
      <c r="L90" s="443"/>
    </row>
    <row r="91" spans="1:12" ht="15" customHeight="1" thickBot="1">
      <c r="A91" s="443"/>
      <c r="L91" s="443"/>
    </row>
    <row r="92" spans="1:12" ht="15" customHeight="1">
      <c r="A92" s="443"/>
      <c r="B92" s="485" t="s">
        <v>656</v>
      </c>
      <c r="C92" s="486"/>
      <c r="D92" s="486"/>
      <c r="E92" s="486"/>
      <c r="F92" s="486"/>
      <c r="G92" s="486"/>
      <c r="H92" s="486"/>
      <c r="I92" s="486"/>
      <c r="J92" s="486"/>
      <c r="K92" s="487"/>
      <c r="L92" s="443"/>
    </row>
    <row r="93" spans="1:12" ht="15" customHeight="1">
      <c r="A93" s="443"/>
      <c r="B93" s="488"/>
      <c r="C93" s="489" t="s">
        <v>664</v>
      </c>
      <c r="D93" s="489"/>
      <c r="E93" s="489"/>
      <c r="F93" s="489"/>
      <c r="G93" s="489"/>
      <c r="H93" s="489"/>
      <c r="I93" s="489"/>
      <c r="J93" s="489"/>
      <c r="K93" s="490"/>
      <c r="L93" s="443"/>
    </row>
    <row r="94" spans="1:12" ht="15" customHeight="1">
      <c r="A94" s="443"/>
      <c r="B94" s="488" t="s">
        <v>689</v>
      </c>
      <c r="C94" s="699">
        <v>2506138</v>
      </c>
      <c r="D94" s="699"/>
      <c r="E94" s="456" t="s">
        <v>663</v>
      </c>
      <c r="F94" s="456">
        <v>1000</v>
      </c>
      <c r="G94" s="456" t="s">
        <v>662</v>
      </c>
      <c r="H94" s="473">
        <f>C94/F94</f>
        <v>2506.138</v>
      </c>
      <c r="I94" s="489" t="s">
        <v>690</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691</v>
      </c>
      <c r="D96" s="489"/>
      <c r="E96" s="456"/>
      <c r="F96" s="489" t="s">
        <v>690</v>
      </c>
      <c r="G96" s="489"/>
      <c r="H96" s="489"/>
      <c r="I96" s="489"/>
      <c r="J96" s="489"/>
      <c r="K96" s="490"/>
      <c r="L96" s="443"/>
    </row>
    <row r="97" spans="1:12" ht="15" customHeight="1">
      <c r="A97" s="443"/>
      <c r="B97" s="488" t="s">
        <v>692</v>
      </c>
      <c r="C97" s="699">
        <v>50000</v>
      </c>
      <c r="D97" s="699"/>
      <c r="E97" s="456" t="s">
        <v>663</v>
      </c>
      <c r="F97" s="473">
        <f>H94</f>
        <v>2506.138</v>
      </c>
      <c r="G97" s="456" t="s">
        <v>662</v>
      </c>
      <c r="H97" s="466">
        <f>C97/F97</f>
        <v>19.9510162648665</v>
      </c>
      <c r="I97" s="489" t="s">
        <v>693</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703</v>
      </c>
      <c r="D99" s="492"/>
      <c r="E99" s="476"/>
      <c r="F99" s="492"/>
      <c r="G99" s="492"/>
      <c r="H99" s="492"/>
      <c r="I99" s="492"/>
      <c r="J99" s="492"/>
      <c r="K99" s="493"/>
      <c r="L99" s="443"/>
    </row>
    <row r="100" spans="1:12" ht="15" customHeight="1">
      <c r="A100" s="443"/>
      <c r="B100" s="488" t="s">
        <v>695</v>
      </c>
      <c r="C100" s="699">
        <v>2500000</v>
      </c>
      <c r="D100" s="699"/>
      <c r="E100" s="456" t="s">
        <v>302</v>
      </c>
      <c r="F100" s="494">
        <v>0.3</v>
      </c>
      <c r="G100" s="456" t="s">
        <v>662</v>
      </c>
      <c r="H100" s="473">
        <f>C100*F100</f>
        <v>750000</v>
      </c>
      <c r="I100" s="489" t="s">
        <v>696</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697</v>
      </c>
      <c r="D102" s="492"/>
      <c r="E102" s="476"/>
      <c r="F102" s="492" t="s">
        <v>693</v>
      </c>
      <c r="G102" s="492"/>
      <c r="H102" s="492"/>
      <c r="I102" s="492"/>
      <c r="J102" s="492" t="s">
        <v>698</v>
      </c>
      <c r="K102" s="493"/>
      <c r="L102" s="443"/>
    </row>
    <row r="103" spans="1:12" ht="15" customHeight="1">
      <c r="A103" s="443"/>
      <c r="B103" s="488" t="s">
        <v>699</v>
      </c>
      <c r="C103" s="708">
        <f>H100</f>
        <v>750000</v>
      </c>
      <c r="D103" s="708"/>
      <c r="E103" s="456" t="s">
        <v>302</v>
      </c>
      <c r="F103" s="466">
        <f>H97</f>
        <v>19.9510162648665</v>
      </c>
      <c r="G103" s="456" t="s">
        <v>663</v>
      </c>
      <c r="H103" s="456">
        <v>1000</v>
      </c>
      <c r="I103" s="456" t="s">
        <v>662</v>
      </c>
      <c r="J103" s="478">
        <f>C103*F103/H103</f>
        <v>14963.262198649874</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652</v>
      </c>
      <c r="C105" s="709"/>
      <c r="D105" s="709"/>
      <c r="E105" s="709"/>
      <c r="F105" s="709"/>
      <c r="G105" s="709"/>
      <c r="H105" s="709"/>
      <c r="I105" s="709"/>
      <c r="J105" s="709"/>
      <c r="K105" s="709"/>
      <c r="L105" s="443"/>
    </row>
    <row r="106" spans="1:12" ht="15" customHeight="1">
      <c r="A106" s="443"/>
      <c r="B106" s="710" t="s">
        <v>704</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705</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706</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656</v>
      </c>
      <c r="C112" s="452"/>
      <c r="D112" s="452"/>
      <c r="E112" s="452"/>
      <c r="F112" s="452"/>
      <c r="G112" s="452"/>
      <c r="H112" s="452"/>
      <c r="I112" s="452"/>
      <c r="J112" s="452"/>
      <c r="K112" s="453"/>
      <c r="L112" s="443"/>
    </row>
    <row r="113" spans="1:12" ht="14.25">
      <c r="A113" s="443"/>
      <c r="B113" s="464"/>
      <c r="C113" s="455" t="s">
        <v>664</v>
      </c>
      <c r="D113" s="455"/>
      <c r="E113" s="455"/>
      <c r="F113" s="455"/>
      <c r="G113" s="455"/>
      <c r="H113" s="455"/>
      <c r="I113" s="455"/>
      <c r="J113" s="455"/>
      <c r="K113" s="458"/>
      <c r="L113" s="443"/>
    </row>
    <row r="114" spans="1:12" ht="14.25">
      <c r="A114" s="443"/>
      <c r="B114" s="464" t="s">
        <v>689</v>
      </c>
      <c r="C114" s="699">
        <v>133685008</v>
      </c>
      <c r="D114" s="699"/>
      <c r="E114" s="456" t="s">
        <v>663</v>
      </c>
      <c r="F114" s="456">
        <v>1000</v>
      </c>
      <c r="G114" s="456" t="s">
        <v>662</v>
      </c>
      <c r="H114" s="473">
        <f>C114/F114</f>
        <v>133685.008</v>
      </c>
      <c r="I114" s="455" t="s">
        <v>690</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691</v>
      </c>
      <c r="D116" s="455"/>
      <c r="E116" s="456"/>
      <c r="F116" s="455" t="s">
        <v>690</v>
      </c>
      <c r="G116" s="455"/>
      <c r="H116" s="455"/>
      <c r="I116" s="455"/>
      <c r="J116" s="455"/>
      <c r="K116" s="458"/>
      <c r="L116" s="443"/>
    </row>
    <row r="117" spans="1:12" ht="14.25">
      <c r="A117" s="443"/>
      <c r="B117" s="464" t="s">
        <v>692</v>
      </c>
      <c r="C117" s="699">
        <v>50000</v>
      </c>
      <c r="D117" s="699"/>
      <c r="E117" s="456" t="s">
        <v>663</v>
      </c>
      <c r="F117" s="473">
        <f>H114</f>
        <v>133685.008</v>
      </c>
      <c r="G117" s="456" t="s">
        <v>662</v>
      </c>
      <c r="H117" s="466">
        <f>C117/F117</f>
        <v>0.3740135169083432</v>
      </c>
      <c r="I117" s="455" t="s">
        <v>693</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703</v>
      </c>
      <c r="D119" s="475"/>
      <c r="E119" s="476"/>
      <c r="F119" s="475"/>
      <c r="G119" s="475"/>
      <c r="H119" s="475"/>
      <c r="I119" s="475"/>
      <c r="J119" s="475"/>
      <c r="K119" s="477"/>
      <c r="L119" s="443"/>
    </row>
    <row r="120" spans="1:12" ht="14.25">
      <c r="A120" s="443"/>
      <c r="B120" s="464" t="s">
        <v>695</v>
      </c>
      <c r="C120" s="699">
        <v>2500000</v>
      </c>
      <c r="D120" s="699"/>
      <c r="E120" s="456" t="s">
        <v>302</v>
      </c>
      <c r="F120" s="494">
        <v>0.25</v>
      </c>
      <c r="G120" s="456" t="s">
        <v>662</v>
      </c>
      <c r="H120" s="473">
        <f>C120*F120</f>
        <v>625000</v>
      </c>
      <c r="I120" s="455" t="s">
        <v>696</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697</v>
      </c>
      <c r="D122" s="475"/>
      <c r="E122" s="476"/>
      <c r="F122" s="475" t="s">
        <v>693</v>
      </c>
      <c r="G122" s="475"/>
      <c r="H122" s="475"/>
      <c r="I122" s="475"/>
      <c r="J122" s="475" t="s">
        <v>698</v>
      </c>
      <c r="K122" s="477"/>
      <c r="L122" s="443"/>
    </row>
    <row r="123" spans="1:12" ht="14.25">
      <c r="A123" s="443"/>
      <c r="B123" s="464" t="s">
        <v>699</v>
      </c>
      <c r="C123" s="708">
        <f>H120</f>
        <v>625000</v>
      </c>
      <c r="D123" s="708"/>
      <c r="E123" s="456" t="s">
        <v>302</v>
      </c>
      <c r="F123" s="466">
        <f>H117</f>
        <v>0.3740135169083432</v>
      </c>
      <c r="G123" s="456" t="s">
        <v>663</v>
      </c>
      <c r="H123" s="456">
        <v>1000</v>
      </c>
      <c r="I123" s="456" t="s">
        <v>662</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652</v>
      </c>
      <c r="C125" s="701"/>
      <c r="D125" s="701"/>
      <c r="E125" s="701"/>
      <c r="F125" s="701"/>
      <c r="G125" s="701"/>
      <c r="H125" s="701"/>
      <c r="I125" s="701"/>
      <c r="J125" s="701"/>
      <c r="K125" s="701"/>
      <c r="L125" s="498"/>
    </row>
    <row r="126" spans="1:12" ht="14.25">
      <c r="A126" s="443"/>
      <c r="B126" s="693" t="s">
        <v>707</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708</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709</v>
      </c>
      <c r="C130" s="698"/>
      <c r="D130" s="698"/>
      <c r="E130" s="698"/>
      <c r="F130" s="698"/>
      <c r="G130" s="698"/>
      <c r="H130" s="698"/>
      <c r="I130" s="698"/>
      <c r="J130" s="698"/>
      <c r="K130" s="698"/>
      <c r="L130" s="498"/>
    </row>
    <row r="131" spans="1:12" ht="15" thickBot="1">
      <c r="A131" s="443"/>
      <c r="L131" s="443"/>
    </row>
    <row r="132" spans="1:12" ht="14.25">
      <c r="A132" s="443"/>
      <c r="B132" s="451" t="s">
        <v>656</v>
      </c>
      <c r="C132" s="452"/>
      <c r="D132" s="452"/>
      <c r="E132" s="452"/>
      <c r="F132" s="452"/>
      <c r="G132" s="452"/>
      <c r="H132" s="452"/>
      <c r="I132" s="452"/>
      <c r="J132" s="452"/>
      <c r="K132" s="453"/>
      <c r="L132" s="443"/>
    </row>
    <row r="133" spans="1:12" ht="14.25">
      <c r="A133" s="443"/>
      <c r="B133" s="464"/>
      <c r="C133" s="713" t="s">
        <v>710</v>
      </c>
      <c r="D133" s="713"/>
      <c r="E133" s="455"/>
      <c r="F133" s="456" t="s">
        <v>711</v>
      </c>
      <c r="G133" s="455"/>
      <c r="H133" s="713" t="s">
        <v>696</v>
      </c>
      <c r="I133" s="713"/>
      <c r="J133" s="455"/>
      <c r="K133" s="458"/>
      <c r="L133" s="443"/>
    </row>
    <row r="134" spans="1:12" ht="14.25">
      <c r="A134" s="443"/>
      <c r="B134" s="464" t="s">
        <v>689</v>
      </c>
      <c r="C134" s="699">
        <v>100000</v>
      </c>
      <c r="D134" s="699"/>
      <c r="E134" s="456" t="s">
        <v>302</v>
      </c>
      <c r="F134" s="456">
        <v>0.115</v>
      </c>
      <c r="G134" s="456" t="s">
        <v>662</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696</v>
      </c>
      <c r="D136" s="715"/>
      <c r="E136" s="475"/>
      <c r="F136" s="476" t="s">
        <v>712</v>
      </c>
      <c r="G136" s="476"/>
      <c r="H136" s="475"/>
      <c r="I136" s="475"/>
      <c r="J136" s="475" t="s">
        <v>713</v>
      </c>
      <c r="K136" s="477"/>
      <c r="L136" s="443"/>
    </row>
    <row r="137" spans="1:12" ht="14.25">
      <c r="A137" s="443"/>
      <c r="B137" s="464" t="s">
        <v>692</v>
      </c>
      <c r="C137" s="714">
        <f>H134</f>
        <v>11500</v>
      </c>
      <c r="D137" s="714"/>
      <c r="E137" s="456" t="s">
        <v>302</v>
      </c>
      <c r="F137" s="499">
        <v>52.869</v>
      </c>
      <c r="G137" s="456" t="s">
        <v>663</v>
      </c>
      <c r="H137" s="456">
        <v>1000</v>
      </c>
      <c r="I137" s="456" t="s">
        <v>662</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652</v>
      </c>
      <c r="C139" s="505"/>
      <c r="D139" s="505"/>
      <c r="E139" s="506"/>
      <c r="F139" s="507"/>
      <c r="G139" s="506"/>
      <c r="H139" s="506"/>
      <c r="I139" s="506"/>
      <c r="J139" s="508"/>
      <c r="K139" s="509"/>
      <c r="L139" s="443"/>
    </row>
    <row r="140" spans="1:12" ht="14.25">
      <c r="A140" s="443"/>
      <c r="B140" s="510" t="s">
        <v>714</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715</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716</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656</v>
      </c>
      <c r="C146" s="517"/>
      <c r="D146" s="517"/>
      <c r="E146" s="518"/>
      <c r="F146" s="519"/>
      <c r="G146" s="518"/>
      <c r="H146" s="518"/>
      <c r="I146" s="518"/>
      <c r="J146" s="520"/>
      <c r="K146" s="453"/>
      <c r="L146" s="443"/>
    </row>
    <row r="147" spans="1:12" ht="14.25">
      <c r="A147" s="443"/>
      <c r="B147" s="464"/>
      <c r="C147" s="714" t="s">
        <v>717</v>
      </c>
      <c r="D147" s="714"/>
      <c r="E147" s="456"/>
      <c r="F147" s="516" t="s">
        <v>718</v>
      </c>
      <c r="G147" s="456"/>
      <c r="H147" s="456"/>
      <c r="I147" s="456"/>
      <c r="J147" s="719" t="s">
        <v>719</v>
      </c>
      <c r="K147" s="720"/>
      <c r="L147" s="443"/>
    </row>
    <row r="148" spans="1:12" ht="14.25">
      <c r="A148" s="443"/>
      <c r="B148" s="464"/>
      <c r="C148" s="721">
        <v>52.869</v>
      </c>
      <c r="D148" s="721"/>
      <c r="E148" s="456" t="s">
        <v>302</v>
      </c>
      <c r="F148" s="521">
        <v>133685008</v>
      </c>
      <c r="G148" s="522" t="s">
        <v>663</v>
      </c>
      <c r="H148" s="456">
        <v>1000</v>
      </c>
      <c r="I148" s="456" t="s">
        <v>662</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720</v>
      </c>
    </row>
    <row r="3" ht="31.5">
      <c r="A3" s="526" t="s">
        <v>721</v>
      </c>
    </row>
    <row r="4" ht="15.75">
      <c r="A4" s="527" t="s">
        <v>722</v>
      </c>
    </row>
    <row r="7" ht="31.5">
      <c r="A7" s="526" t="s">
        <v>723</v>
      </c>
    </row>
    <row r="8" ht="15.75">
      <c r="A8" s="527" t="s">
        <v>724</v>
      </c>
    </row>
    <row r="11" ht="15.75">
      <c r="A11" s="525" t="s">
        <v>725</v>
      </c>
    </row>
    <row r="12" ht="15.75">
      <c r="A12" s="527" t="s">
        <v>726</v>
      </c>
    </row>
    <row r="15" ht="15.75">
      <c r="A15" s="525" t="s">
        <v>727</v>
      </c>
    </row>
    <row r="16" ht="15.75">
      <c r="A16" s="527" t="s">
        <v>728</v>
      </c>
    </row>
    <row r="19" ht="15.75">
      <c r="A19" s="525" t="s">
        <v>729</v>
      </c>
    </row>
    <row r="20" ht="15.75">
      <c r="A20" s="527" t="s">
        <v>730</v>
      </c>
    </row>
    <row r="23" ht="15.75">
      <c r="A23" s="525" t="s">
        <v>731</v>
      </c>
    </row>
    <row r="24" ht="15.75">
      <c r="A24" s="527" t="s">
        <v>732</v>
      </c>
    </row>
    <row r="27" ht="15.75">
      <c r="A27" s="525" t="s">
        <v>733</v>
      </c>
    </row>
    <row r="28" ht="15.75">
      <c r="A28" s="527" t="s">
        <v>734</v>
      </c>
    </row>
    <row r="31" ht="15.75">
      <c r="A31" s="525" t="s">
        <v>735</v>
      </c>
    </row>
    <row r="32" ht="15.75">
      <c r="A32" s="527" t="s">
        <v>736</v>
      </c>
    </row>
    <row r="35" ht="15.75">
      <c r="A35" s="525" t="s">
        <v>737</v>
      </c>
    </row>
    <row r="36" ht="15.75">
      <c r="A36" s="527" t="s">
        <v>738</v>
      </c>
    </row>
    <row r="39" ht="15.75">
      <c r="A39" s="525" t="s">
        <v>739</v>
      </c>
    </row>
    <row r="40" ht="15.75">
      <c r="A40" s="527" t="s">
        <v>740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A1" sqref="A1"/>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Wilson Township</v>
      </c>
      <c r="B1" s="101"/>
      <c r="C1" s="101"/>
      <c r="D1" s="101"/>
      <c r="E1" s="101">
        <f>inputPrYr!D5</f>
        <v>2012</v>
      </c>
    </row>
    <row r="2" spans="1:5" ht="15.75">
      <c r="A2" s="99" t="str">
        <f>inputPrYr!D3</f>
        <v>Rice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2506138</v>
      </c>
    </row>
    <row r="8" spans="1:5" ht="15.75">
      <c r="A8" s="22" t="str">
        <f>CONCATENATE("New Improvements for ",E1-1,"")</f>
        <v>New Improvements for 2011</v>
      </c>
      <c r="B8" s="19"/>
      <c r="C8" s="19"/>
      <c r="D8" s="19"/>
      <c r="E8" s="309">
        <v>5842</v>
      </c>
    </row>
    <row r="9" spans="1:5" ht="15.75">
      <c r="A9" s="22" t="str">
        <f>CONCATENATE("Personal Property excluding oil, gas, and mobile homes - ",E1-1,"")</f>
        <v>Personal Property excluding oil, gas, and mobile homes - 2011</v>
      </c>
      <c r="B9" s="19"/>
      <c r="C9" s="19"/>
      <c r="D9" s="19"/>
      <c r="E9" s="309">
        <v>74968</v>
      </c>
    </row>
    <row r="10" spans="1:5" ht="15.75">
      <c r="A10" s="22" t="str">
        <f>CONCATENATE("Property that has changed in use for ",E1-1,"")</f>
        <v>Property that has changed in use for 2011</v>
      </c>
      <c r="B10" s="19"/>
      <c r="C10" s="19"/>
      <c r="D10" s="19"/>
      <c r="E10" s="309">
        <v>1465</v>
      </c>
    </row>
    <row r="11" spans="1:5" ht="15.75">
      <c r="A11" s="22" t="str">
        <f>CONCATENATE("Personal Property excluding oil, gas, and mobile homes- ",E1-2,"")</f>
        <v>Personal Property excluding oil, gas, and mobile homes- 2010</v>
      </c>
      <c r="B11" s="19"/>
      <c r="C11" s="19"/>
      <c r="D11" s="19"/>
      <c r="E11" s="309">
        <v>84605</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v>2.802</v>
      </c>
      <c r="E17" s="312"/>
    </row>
    <row r="18" spans="1:5" ht="15.75">
      <c r="A18" s="82" t="str">
        <f>inputPrYr!B17</f>
        <v>Debt Service</v>
      </c>
      <c r="B18" s="291"/>
      <c r="C18" s="19"/>
      <c r="D18" s="315"/>
      <c r="E18" s="312"/>
    </row>
    <row r="19" spans="1:5" ht="15.75">
      <c r="A19" s="82" t="str">
        <f>inputPrYr!B18</f>
        <v>Road</v>
      </c>
      <c r="B19" s="291"/>
      <c r="C19" s="19"/>
      <c r="D19" s="315">
        <v>22.837</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25.639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2437100</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4013.89</v>
      </c>
    </row>
    <row r="32" spans="1:5" ht="15.75">
      <c r="A32" s="322" t="s">
        <v>289</v>
      </c>
      <c r="B32" s="291"/>
      <c r="C32" s="291"/>
      <c r="D32" s="31"/>
      <c r="E32" s="34">
        <v>51.95</v>
      </c>
    </row>
    <row r="33" spans="1:5" ht="15.75">
      <c r="A33" s="322" t="s">
        <v>165</v>
      </c>
      <c r="B33" s="291"/>
      <c r="C33" s="291"/>
      <c r="D33" s="31"/>
      <c r="E33" s="34">
        <v>70.92</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2256.16</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7900</v>
      </c>
      <c r="C46" s="328" t="s">
        <v>222</v>
      </c>
      <c r="D46" s="329"/>
      <c r="E46" s="329"/>
    </row>
    <row r="47" spans="1:5" ht="15.75">
      <c r="A47" s="330" t="str">
        <f>inputPrYr!B17</f>
        <v>Debt Service</v>
      </c>
      <c r="B47" s="36"/>
      <c r="C47" s="328"/>
      <c r="D47" s="329"/>
      <c r="E47" s="329"/>
    </row>
    <row r="48" spans="1:5" ht="15.75">
      <c r="A48" s="330" t="str">
        <f>inputPrYr!B18</f>
        <v>Road</v>
      </c>
      <c r="B48" s="36">
        <v>61600</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47"/>
  <sheetViews>
    <sheetView zoomScalePageLayoutView="0" workbookViewId="0" topLeftCell="A1">
      <selection activeCell="A4" sqref="A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3" ht="15.75">
      <c r="A3" s="91" t="s">
        <v>808</v>
      </c>
    </row>
    <row r="5" ht="15.75">
      <c r="A5" s="401" t="s">
        <v>779</v>
      </c>
    </row>
    <row r="6" ht="15.75">
      <c r="A6" s="605" t="s">
        <v>780</v>
      </c>
    </row>
    <row r="7" ht="15.75">
      <c r="A7" s="605" t="s">
        <v>781</v>
      </c>
    </row>
    <row r="8" ht="31.5">
      <c r="A8" s="604" t="s">
        <v>782</v>
      </c>
    </row>
    <row r="9" ht="15.75">
      <c r="A9" s="605" t="s">
        <v>783</v>
      </c>
    </row>
    <row r="10" ht="15.75">
      <c r="A10" s="605" t="s">
        <v>784</v>
      </c>
    </row>
    <row r="11" ht="15.75">
      <c r="A11" s="605" t="s">
        <v>785</v>
      </c>
    </row>
    <row r="12" ht="15.75">
      <c r="A12" s="605" t="s">
        <v>786</v>
      </c>
    </row>
    <row r="13" ht="15.75">
      <c r="A13" s="605" t="s">
        <v>787</v>
      </c>
    </row>
    <row r="14" ht="15.75">
      <c r="A14" s="605" t="s">
        <v>788</v>
      </c>
    </row>
    <row r="15" ht="15.75">
      <c r="A15" s="605" t="s">
        <v>789</v>
      </c>
    </row>
    <row r="16" ht="15.75">
      <c r="A16" s="605" t="s">
        <v>790</v>
      </c>
    </row>
    <row r="17" ht="15.75">
      <c r="A17" s="605" t="s">
        <v>791</v>
      </c>
    </row>
    <row r="18" ht="15.75">
      <c r="A18" s="605" t="s">
        <v>802</v>
      </c>
    </row>
    <row r="19" ht="15.75">
      <c r="A19" s="605" t="s">
        <v>792</v>
      </c>
    </row>
    <row r="20" ht="15.75">
      <c r="A20" s="605" t="s">
        <v>793</v>
      </c>
    </row>
    <row r="21" ht="15.75">
      <c r="A21" s="605" t="s">
        <v>794</v>
      </c>
    </row>
    <row r="22" ht="15.75">
      <c r="A22" s="605" t="s">
        <v>795</v>
      </c>
    </row>
    <row r="23" ht="15.75">
      <c r="A23" s="605" t="s">
        <v>796</v>
      </c>
    </row>
    <row r="24" ht="15.75">
      <c r="A24" s="605" t="s">
        <v>797</v>
      </c>
    </row>
    <row r="25" ht="15.75">
      <c r="A25" s="605" t="s">
        <v>798</v>
      </c>
    </row>
    <row r="26" ht="15.75">
      <c r="A26" s="605" t="s">
        <v>799</v>
      </c>
    </row>
    <row r="27" ht="15.75">
      <c r="A27" s="605" t="s">
        <v>800</v>
      </c>
    </row>
    <row r="28" ht="15.75">
      <c r="A28" s="605" t="s">
        <v>805</v>
      </c>
    </row>
    <row r="30" ht="15.75">
      <c r="A30" s="401" t="s">
        <v>643</v>
      </c>
    </row>
    <row r="31" ht="39" customHeight="1">
      <c r="A31" s="360" t="s">
        <v>644</v>
      </c>
    </row>
    <row r="32" ht="23.25" customHeight="1"/>
    <row r="33" ht="15.75">
      <c r="A33" s="401" t="s">
        <v>639</v>
      </c>
    </row>
    <row r="34" ht="15.75">
      <c r="A34" s="91" t="s">
        <v>640</v>
      </c>
    </row>
    <row r="35" ht="15.75">
      <c r="A35" s="91" t="s">
        <v>641</v>
      </c>
    </row>
    <row r="36" ht="15.75">
      <c r="A36" s="91" t="s">
        <v>642</v>
      </c>
    </row>
    <row r="38" ht="15.75">
      <c r="A38" s="404" t="s">
        <v>628</v>
      </c>
    </row>
    <row r="39" ht="15.75">
      <c r="A39" s="91" t="s">
        <v>638</v>
      </c>
    </row>
    <row r="41" ht="15.75">
      <c r="A41" s="401" t="s">
        <v>602</v>
      </c>
    </row>
    <row r="42" ht="15.75">
      <c r="A42" s="402" t="s">
        <v>603</v>
      </c>
    </row>
    <row r="43" ht="15.75">
      <c r="A43" s="402" t="s">
        <v>604</v>
      </c>
    </row>
    <row r="44" ht="15.75">
      <c r="A44" s="402" t="s">
        <v>605</v>
      </c>
    </row>
    <row r="45" ht="15.75">
      <c r="A45" s="400" t="s">
        <v>606</v>
      </c>
    </row>
    <row r="47" ht="15.75">
      <c r="A47" s="373" t="s">
        <v>329</v>
      </c>
    </row>
    <row r="48" ht="15.75">
      <c r="A48" s="91" t="s">
        <v>331</v>
      </c>
    </row>
    <row r="49" ht="15.75">
      <c r="A49" s="91" t="s">
        <v>332</v>
      </c>
    </row>
    <row r="50" ht="15.75">
      <c r="A50" s="91" t="s">
        <v>333</v>
      </c>
    </row>
    <row r="51" ht="15.75">
      <c r="A51" s="91" t="s">
        <v>334</v>
      </c>
    </row>
    <row r="52" ht="15.75">
      <c r="A52" s="91" t="s">
        <v>335</v>
      </c>
    </row>
    <row r="53" ht="15.75">
      <c r="A53" s="91" t="s">
        <v>336</v>
      </c>
    </row>
    <row r="54" ht="15.75">
      <c r="A54" s="91" t="s">
        <v>351</v>
      </c>
    </row>
    <row r="55" ht="15.75">
      <c r="A55" s="91" t="s">
        <v>352</v>
      </c>
    </row>
    <row r="56" ht="15.75">
      <c r="A56" s="91" t="s">
        <v>353</v>
      </c>
    </row>
    <row r="57" ht="15.75">
      <c r="A57" s="91" t="s">
        <v>354</v>
      </c>
    </row>
    <row r="58" ht="15.75">
      <c r="A58" s="91" t="s">
        <v>370</v>
      </c>
    </row>
    <row r="59" ht="31.5">
      <c r="A59" s="360" t="s">
        <v>371</v>
      </c>
    </row>
    <row r="60" ht="15.75">
      <c r="A60" s="360" t="s">
        <v>380</v>
      </c>
    </row>
    <row r="61" ht="15.75">
      <c r="A61" s="375" t="s">
        <v>383</v>
      </c>
    </row>
    <row r="62" ht="15.75">
      <c r="A62" s="376" t="s">
        <v>384</v>
      </c>
    </row>
    <row r="64" ht="15.75">
      <c r="A64" s="373" t="s">
        <v>324</v>
      </c>
    </row>
    <row r="65" ht="15.75">
      <c r="A65" s="91" t="s">
        <v>325</v>
      </c>
    </row>
    <row r="66" ht="15.75">
      <c r="A66" s="91" t="s">
        <v>326</v>
      </c>
    </row>
    <row r="68" ht="15.75">
      <c r="A68" s="373" t="s">
        <v>322</v>
      </c>
    </row>
    <row r="69" ht="15.75">
      <c r="A69" s="91" t="s">
        <v>323</v>
      </c>
    </row>
    <row r="71" ht="15.75">
      <c r="A71" s="373" t="s">
        <v>320</v>
      </c>
    </row>
    <row r="72" ht="15.75">
      <c r="A72" s="91" t="s">
        <v>321</v>
      </c>
    </row>
    <row r="74" ht="15.75">
      <c r="A74" s="373" t="s">
        <v>317</v>
      </c>
    </row>
    <row r="75" ht="15.75">
      <c r="A75" s="91" t="s">
        <v>318</v>
      </c>
    </row>
    <row r="76" ht="15.75">
      <c r="A76" s="91" t="s">
        <v>319</v>
      </c>
    </row>
    <row r="78" ht="15.75">
      <c r="A78" s="91" t="s">
        <v>313</v>
      </c>
    </row>
    <row r="79" ht="15.75">
      <c r="A79" s="91" t="s">
        <v>314</v>
      </c>
    </row>
    <row r="80" ht="15.75">
      <c r="A80" s="91" t="s">
        <v>315</v>
      </c>
    </row>
    <row r="81" ht="15.75">
      <c r="A81" s="91" t="s">
        <v>316</v>
      </c>
    </row>
    <row r="83" ht="15.75">
      <c r="A83" s="91" t="s">
        <v>309</v>
      </c>
    </row>
    <row r="84" ht="15.75">
      <c r="A84" s="91" t="s">
        <v>310</v>
      </c>
    </row>
    <row r="85" ht="15.75">
      <c r="A85" s="91" t="s">
        <v>311</v>
      </c>
    </row>
    <row r="87" ht="15.75">
      <c r="A87" s="91" t="s">
        <v>307</v>
      </c>
    </row>
    <row r="88" ht="34.5" customHeight="1">
      <c r="A88" s="91" t="s">
        <v>308</v>
      </c>
    </row>
    <row r="90" ht="15.75">
      <c r="A90" s="91" t="s">
        <v>262</v>
      </c>
    </row>
    <row r="91" ht="15.75">
      <c r="A91" s="91" t="s">
        <v>263</v>
      </c>
    </row>
    <row r="92" ht="31.5">
      <c r="A92" s="360" t="s">
        <v>279</v>
      </c>
    </row>
    <row r="93" ht="15.75">
      <c r="A93" s="91" t="s">
        <v>264</v>
      </c>
    </row>
    <row r="94" ht="15.75">
      <c r="A94" s="91" t="s">
        <v>265</v>
      </c>
    </row>
    <row r="95" ht="15.75">
      <c r="A95" s="91" t="s">
        <v>266</v>
      </c>
    </row>
    <row r="96" ht="15.75">
      <c r="A96" s="91" t="s">
        <v>267</v>
      </c>
    </row>
    <row r="97" ht="31.5">
      <c r="A97" s="360" t="s">
        <v>247</v>
      </c>
    </row>
    <row r="98" ht="31.5">
      <c r="A98" s="360" t="s">
        <v>275</v>
      </c>
    </row>
    <row r="99" ht="31.5">
      <c r="A99" s="360" t="s">
        <v>268</v>
      </c>
    </row>
    <row r="100" ht="15.75">
      <c r="A100" s="360" t="s">
        <v>269</v>
      </c>
    </row>
    <row r="101" ht="31.5">
      <c r="A101" s="360" t="s">
        <v>270</v>
      </c>
    </row>
    <row r="102" ht="33.75" customHeight="1">
      <c r="A102" s="91" t="s">
        <v>271</v>
      </c>
    </row>
    <row r="103" ht="26.25" customHeight="1">
      <c r="A103" s="91" t="s">
        <v>272</v>
      </c>
    </row>
    <row r="104" ht="33.75" customHeight="1">
      <c r="A104" s="91" t="s">
        <v>273</v>
      </c>
    </row>
    <row r="105" ht="30.75" customHeight="1">
      <c r="A105" s="91" t="s">
        <v>278</v>
      </c>
    </row>
    <row r="106" ht="21" customHeight="1">
      <c r="A106" s="360" t="s">
        <v>276</v>
      </c>
    </row>
    <row r="107" ht="38.25" customHeight="1">
      <c r="A107" s="360" t="s">
        <v>241</v>
      </c>
    </row>
    <row r="108" ht="33.75" customHeight="1">
      <c r="A108" s="360" t="s">
        <v>248</v>
      </c>
    </row>
    <row r="109" ht="33.75" customHeight="1">
      <c r="A109" s="360" t="s">
        <v>242</v>
      </c>
    </row>
    <row r="110" ht="33.75" customHeight="1">
      <c r="A110" s="360" t="s">
        <v>243</v>
      </c>
    </row>
    <row r="111" ht="33.75" customHeight="1">
      <c r="A111" s="360" t="s">
        <v>244</v>
      </c>
    </row>
    <row r="112" ht="31.5">
      <c r="A112" s="360" t="s">
        <v>245</v>
      </c>
    </row>
    <row r="113" ht="31.5">
      <c r="A113" s="360" t="s">
        <v>249</v>
      </c>
    </row>
    <row r="114" ht="31.5">
      <c r="A114" s="360" t="s">
        <v>246</v>
      </c>
    </row>
    <row r="115" ht="31.5">
      <c r="A115" s="360" t="s">
        <v>250</v>
      </c>
    </row>
    <row r="116" ht="15.75">
      <c r="A116" s="360" t="s">
        <v>256</v>
      </c>
    </row>
    <row r="118" ht="15.75">
      <c r="A118" s="91" t="s">
        <v>196</v>
      </c>
    </row>
    <row r="119" ht="47.25">
      <c r="A119" s="360" t="s">
        <v>251</v>
      </c>
    </row>
    <row r="120" ht="15.75">
      <c r="A120" s="91" t="s">
        <v>197</v>
      </c>
    </row>
    <row r="121" ht="15.75">
      <c r="A121" s="91" t="s">
        <v>201</v>
      </c>
    </row>
    <row r="122" ht="15.75">
      <c r="A122" s="91" t="s">
        <v>202</v>
      </c>
    </row>
    <row r="123" ht="15.75">
      <c r="A123" s="91" t="s">
        <v>198</v>
      </c>
    </row>
    <row r="124" ht="15.75">
      <c r="A124" s="91" t="s">
        <v>199</v>
      </c>
    </row>
    <row r="125" ht="15.75">
      <c r="A125" s="91" t="s">
        <v>200</v>
      </c>
    </row>
    <row r="126" ht="15.75">
      <c r="A126" s="360" t="s">
        <v>203</v>
      </c>
    </row>
    <row r="127" ht="15.75">
      <c r="A127" s="91" t="s">
        <v>204</v>
      </c>
    </row>
    <row r="128" ht="15.75">
      <c r="A128" s="91" t="s">
        <v>205</v>
      </c>
    </row>
    <row r="129" ht="15.75">
      <c r="A129" s="91" t="s">
        <v>252</v>
      </c>
    </row>
    <row r="130" ht="15.75">
      <c r="A130" s="91" t="s">
        <v>206</v>
      </c>
    </row>
    <row r="131" ht="15.75">
      <c r="A131" s="91" t="s">
        <v>253</v>
      </c>
    </row>
    <row r="132" ht="15.75">
      <c r="A132" s="91" t="s">
        <v>207</v>
      </c>
    </row>
    <row r="133" ht="15.75">
      <c r="A133" s="91" t="s">
        <v>254</v>
      </c>
    </row>
    <row r="134" ht="15.75">
      <c r="A134" s="91" t="s">
        <v>208</v>
      </c>
    </row>
    <row r="135" ht="15.75">
      <c r="A135" s="91" t="s">
        <v>212</v>
      </c>
    </row>
    <row r="136" ht="15.75">
      <c r="A136" s="91" t="s">
        <v>255</v>
      </c>
    </row>
    <row r="137" ht="15.75">
      <c r="A137" s="91" t="s">
        <v>230</v>
      </c>
    </row>
    <row r="138" ht="15.75">
      <c r="A138" s="91" t="s">
        <v>231</v>
      </c>
    </row>
    <row r="139" ht="15.75">
      <c r="A139" s="91" t="s">
        <v>232</v>
      </c>
    </row>
    <row r="140" ht="15.75">
      <c r="A140" s="91" t="s">
        <v>216</v>
      </c>
    </row>
    <row r="141" ht="15.75">
      <c r="A141" s="91" t="s">
        <v>217</v>
      </c>
    </row>
    <row r="142" ht="15.75">
      <c r="A142" s="91" t="s">
        <v>218</v>
      </c>
    </row>
    <row r="143" ht="15.75">
      <c r="A143" s="91" t="s">
        <v>227</v>
      </c>
    </row>
    <row r="144" ht="15.75">
      <c r="A144" s="91" t="s">
        <v>228</v>
      </c>
    </row>
    <row r="145" ht="15.75">
      <c r="A145" s="91" t="s">
        <v>229</v>
      </c>
    </row>
    <row r="146" ht="15.75">
      <c r="A146" s="91" t="s">
        <v>240</v>
      </c>
    </row>
    <row r="147" ht="15.75">
      <c r="A147"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818</v>
      </c>
      <c r="C5" s="387"/>
      <c r="D5" s="384" t="s">
        <v>804</v>
      </c>
      <c r="E5" s="383"/>
      <c r="F5" s="383"/>
    </row>
    <row r="6" spans="1:6" ht="15.75">
      <c r="A6" s="384"/>
      <c r="B6" s="388"/>
      <c r="C6" s="389"/>
      <c r="D6" s="384" t="s">
        <v>803</v>
      </c>
      <c r="E6" s="383"/>
      <c r="F6" s="383"/>
    </row>
    <row r="7" spans="1:6" ht="15.75">
      <c r="A7" s="384" t="s">
        <v>387</v>
      </c>
      <c r="B7" s="386" t="s">
        <v>819</v>
      </c>
      <c r="C7" s="390"/>
      <c r="D7" s="384"/>
      <c r="E7" s="383"/>
      <c r="F7" s="383"/>
    </row>
    <row r="8" spans="1:6" ht="15.75">
      <c r="A8" s="384"/>
      <c r="B8" s="384"/>
      <c r="C8" s="384"/>
      <c r="D8" s="384"/>
      <c r="E8" s="383"/>
      <c r="F8" s="383"/>
    </row>
    <row r="9" spans="1:6" ht="15.75">
      <c r="A9" s="384" t="s">
        <v>388</v>
      </c>
      <c r="B9" s="391" t="s">
        <v>820</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821</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A1" sqref="A1"/>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Rice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Wilson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751</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7900</v>
      </c>
      <c r="F20" s="172">
        <f>IF(gen!$E$57&lt;&gt;0,gen!$E$57,0)</f>
        <v>6349.99</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f>IF(road!$E$43&lt;&gt;0,road!$E$43,"  ")</f>
        <v>64100</v>
      </c>
      <c r="F22" s="172">
        <f>IF(road!$E$50&lt;&gt;0,road!$E$50,"  ")</f>
        <v>53489.06999999999</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t="str">
        <f>IF(road!C67&gt;0,road!C67,"  ")</f>
        <v>  </v>
      </c>
      <c r="E32" s="192"/>
      <c r="F32" s="192"/>
      <c r="G32" s="168"/>
    </row>
    <row r="33" spans="2:7" s="14" customFormat="1" ht="16.5" thickBot="1">
      <c r="B33" s="290" t="s">
        <v>301</v>
      </c>
      <c r="C33" s="291"/>
      <c r="D33" s="170" t="s">
        <v>302</v>
      </c>
      <c r="E33" s="292">
        <f>SUM(E20:E28)</f>
        <v>72000</v>
      </c>
      <c r="F33" s="292">
        <f>SUM(F20:F28)</f>
        <v>59839.05999999999</v>
      </c>
      <c r="G33" s="293">
        <f>IF(SUM(G20:G28)&gt;0,SUM(G20:G28),"")</f>
      </c>
    </row>
    <row r="34" spans="2:4" s="14" customFormat="1" ht="16.5" thickTop="1">
      <c r="B34" s="27" t="s">
        <v>175</v>
      </c>
      <c r="C34" s="283"/>
      <c r="D34" s="288">
        <f>summ!D47</f>
        <v>0</v>
      </c>
    </row>
    <row r="35" spans="2:6" s="14" customFormat="1" ht="15.75">
      <c r="B35" s="27" t="s">
        <v>226</v>
      </c>
      <c r="C35" s="28"/>
      <c r="D35" s="288">
        <f>IF(nhood!C37&gt;0,nhood!C37,"")</f>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Wilson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63300</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63300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5842</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74968</v>
      </c>
      <c r="F14" s="270"/>
      <c r="G14" s="55"/>
      <c r="H14" s="55"/>
      <c r="I14" s="53"/>
      <c r="J14" s="55"/>
    </row>
    <row r="15" spans="1:10" ht="15.75">
      <c r="A15" s="269"/>
      <c r="B15" s="14" t="s">
        <v>91</v>
      </c>
      <c r="C15" s="14" t="str">
        <f>CONCATENATE("Personal Property ",J1-2,"")</f>
        <v>Personal Property 2010</v>
      </c>
      <c r="D15" s="269" t="s">
        <v>86</v>
      </c>
      <c r="E15" s="273">
        <f>inputOth!E11</f>
        <v>84605</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1465</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7307</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2506138</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2498831</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0.0029241673406484874</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185</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63485</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63485</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Wilson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f>IF(inputPrYr!E16&gt;0,inputPrYr!E16,"  ")</f>
        <v>6918</v>
      </c>
      <c r="E11" s="253">
        <f>IF(inputOth!D17&gt;0,inputOth!D17,"  ")</f>
        <v>2.802</v>
      </c>
      <c r="F11" s="254"/>
      <c r="G11" s="96">
        <f>IF(inputPrYr!E16=0,0,G22-SUM(G12:G19))</f>
        <v>438.8899999999999</v>
      </c>
      <c r="H11" s="255"/>
      <c r="I11" s="96">
        <f>IF(inputPrYr!E16=0,0,I24-SUM(I12:I19))</f>
        <v>5.950000000000003</v>
      </c>
      <c r="J11" s="96">
        <f>IF(inputPrYr!E16=0,0,J26-SUM(J12:J19))</f>
        <v>7.920000000000002</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56382</v>
      </c>
      <c r="E13" s="253">
        <f>IF(inputOth!D19&gt;0,inputOth!D19,"  ")</f>
        <v>22.837</v>
      </c>
      <c r="F13" s="254"/>
      <c r="G13" s="96">
        <f>IF(inputPrYr!E18=0,0,ROUND(D13*$G$30,0))</f>
        <v>3575</v>
      </c>
      <c r="H13" s="255"/>
      <c r="I13" s="96">
        <f>IF(inputPrYr!$E$18=0,0,ROUND($D$13*$I$32,0))</f>
        <v>46</v>
      </c>
      <c r="J13" s="96">
        <f>IF(inputPrYr!E18=0,0,ROUND($D13*$J$34,0))</f>
        <v>63</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63300</v>
      </c>
      <c r="E20" s="259">
        <f>SUM(E11:E19)</f>
        <v>25.639</v>
      </c>
      <c r="F20" s="260"/>
      <c r="G20" s="258">
        <f>SUM(G11:G19)</f>
        <v>4013.89</v>
      </c>
      <c r="H20" s="258"/>
      <c r="I20" s="258">
        <f>SUM(I11:I19)</f>
        <v>51.95</v>
      </c>
      <c r="J20" s="258">
        <f>SUM(J11:J19)</f>
        <v>70.92</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4013.89</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51.95</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70.92</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0.06341058451816746</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0.0008206951026856241</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0.0011203791469194314</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Wilson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15400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15400</v>
      </c>
      <c r="D27" s="245">
        <f>SUM(D10:D26)</f>
        <v>0</v>
      </c>
      <c r="E27" s="245">
        <f>SUM(E10:E26)</f>
        <v>0</v>
      </c>
      <c r="F27" s="140"/>
    </row>
    <row r="28" spans="1:6" ht="15.75">
      <c r="A28" s="140"/>
      <c r="B28" s="244" t="s">
        <v>633</v>
      </c>
      <c r="C28" s="140"/>
      <c r="D28" s="241"/>
      <c r="E28" s="241"/>
      <c r="F28" s="140"/>
    </row>
    <row r="29" spans="1:6" ht="15.75">
      <c r="A29" s="140"/>
      <c r="B29" s="192" t="s">
        <v>184</v>
      </c>
      <c r="C29" s="246">
        <f>C27</f>
        <v>15400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741</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742</v>
      </c>
    </row>
    <row r="13" ht="15.75">
      <c r="A13" s="177"/>
    </row>
    <row r="14" ht="15.75">
      <c r="A14" s="177"/>
    </row>
    <row r="15" ht="63">
      <c r="A15" s="532" t="s">
        <v>743</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2011-07-15T12:44:49Z</cp:lastPrinted>
  <dcterms:created xsi:type="dcterms:W3CDTF">1998-08-26T16:30:41Z</dcterms:created>
  <dcterms:modified xsi:type="dcterms:W3CDTF">2011-07-15T12:46:58Z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