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gen" sheetId="11" r:id="rId11"/>
    <sheet name="DebtService" sheetId="12" state="hidden" r:id="rId12"/>
    <sheet name="road" sheetId="13" r:id="rId13"/>
    <sheet name="levypage9" sheetId="14"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<sst xmlns="http://schemas.openxmlformats.org/spreadsheetml/2006/main" count="1377" uniqueCount="825">
  <si>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</si>
  <si>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</si>
  <si>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</si>
  <si>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</si>
  <si>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</si>
  <si>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</si>
  <si>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</si>
  <si>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</si>
  <si>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</si>
  <si>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</si>
  <si>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</si>
  <si>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</si>
  <si>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</si>
  <si>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</si>
  <si>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</si>
  <si>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</si>
  <si>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</si>
  <si>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</si>
  <si>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</si>
  <si>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</si>
  <si>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</si>
  <si>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</si>
  <si>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</si>
  <si>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</si>
  <si>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</si>
  <si>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</si>
  <si>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</si>
  <si>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</si>
  <si>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</si>
  <si>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</si>
  <si>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</si>
  <si>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</si>
  <si>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</si>
  <si>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</si>
  <si>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</si>
  <si>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</si>
  <si>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</si>
  <si>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</si>
  <si>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</si>
  <si>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</si>
  <si>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</si>
  <si>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</si>
  <si>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</si>
  <si>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</si>
  <si>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</si>
  <si>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</si>
  <si>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</si>
  <si>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</si>
  <si>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</si>
  <si>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</si>
  <si>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</si>
  <si>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</si>
  <si>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</si>
  <si>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</si>
  <si>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</si>
  <si>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</si>
  <si>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</si>
  <si>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</si>
  <si>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</si>
  <si>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</si>
  <si>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</si>
  <si>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</si>
  <si>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</si>
  <si>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</si>
  <si>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</si>
  <si>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</si>
  <si>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</si>
  <si>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</si>
  <si>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</si>
  <si>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</si>
  <si>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</si>
  <si>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</si>
  <si>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</si>
  <si>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</si>
  <si>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</si>
  <si>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</si>
  <si>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</si>
  <si>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</si>
  <si>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</si>
  <si>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</si>
  <si>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</si>
  <si>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</si>
  <si>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</si>
  <si>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</si>
  <si>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</si>
  <si>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</si>
  <si>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</si>
  <si>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</si>
  <si>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</si>
  <si>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</si>
  <si>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</si>
  <si>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</si>
  <si>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</si>
  <si>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</si>
  <si>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</si>
  <si>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</si>
  <si>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</si>
  <si>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</si>
  <si>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</si>
  <si>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</si>
  <si>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</si>
  <si>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</si>
  <si>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</si>
  <si>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</si>
  <si>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</si>
  <si>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</si>
  <si>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</si>
  <si>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</si>
  <si>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</si>
  <si>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</si>
  <si>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</si>
  <si>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</si>
  <si>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</si>
  <si>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</si>
  <si>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</si>
  <si>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</si>
  <si>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</si>
  <si>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</si>
  <si>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</si>
  <si>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</si>
  <si>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</si>
  <si>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</si>
  <si>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</si>
  <si>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</si>
  <si>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</si>
  <si>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</si>
  <si>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</si>
  <si>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</si>
  <si>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</si>
  <si>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</si>
  <si>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</si>
  <si>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</si>
  <si>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</si>
  <si>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</si>
  <si>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</si>
  <si>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</si>
  <si>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</si>
  <si>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</si>
  <si>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</si>
  <si>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</si>
  <si>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</si>
  <si>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</si>
  <si>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</si>
  <si>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</si>
  <si>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</si>
  <si>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</si>
  <si>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</si>
  <si>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</si>
  <si>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</si>
  <si>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</si>
  <si>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</si>
  <si>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</si>
  <si>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</si>
  <si>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</si>
  <si>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</si>
  <si>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</si>
  <si>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</si>
  <si>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</si>
  <si>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</si>
  <si>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</si>
  <si>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</si>
  <si>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</si>
  <si>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</si>
  <si>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</si>
  <si>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</si>
  <si>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</si>
  <si>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</si>
  <si>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</si>
  <si>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</si>
  <si>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</si>
  <si>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</si>
  <si>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</si>
  <si>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</si>
  <si>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</si>
  <si>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</si>
  <si>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</si>
  <si>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</si>
  <si>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</si>
  <si>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</si>
  <si>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</si>
  <si>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</si>
  <si>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</si>
  <si>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</si>
  <si>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</si>
  <si>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</si>
  <si>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</si>
  <si>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</si>
  <si>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</si>
  <si>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</si>
  <si>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</si>
  <si>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</si>
  <si>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</si>
  <si>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</si>
  <si>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</si>
  <si>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</si>
  <si>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</si>
  <si>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</si>
  <si>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</si>
  <si>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</si>
  <si>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</si>
  <si>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</si>
  <si>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</si>
  <si>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</si>
  <si>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</si>
  <si>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</si>
  <si>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</si>
  <si>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</si>
  <si>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</si>
  <si>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</si>
  <si>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</si>
  <si>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</si>
  <si>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</si>
  <si>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</si>
  <si>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</si>
  <si>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</si>
  <si>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</si>
  <si>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</si>
  <si>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</si>
  <si>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</si>
  <si>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</si>
  <si>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</si>
  <si>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</si>
  <si>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</si>
  <si>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</si>
  <si>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</si>
  <si>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</si>
  <si>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</si>
  <si>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</si>
  <si>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</si>
  <si>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</si>
  <si>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</si>
  <si>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</si>
  <si>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</si>
  <si>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</si>
  <si>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</si>
  <si>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</si>
  <si>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</si>
  <si>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</si>
  <si>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</si>
  <si>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</si>
  <si>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</si>
  <si>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</si>
  <si>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</si>
  <si>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</si>
  <si>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</si>
  <si>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</si>
  <si>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</si>
  <si>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</si>
  <si>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</si>
  <si>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</si>
  <si>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</si>
  <si>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</si>
  <si>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</si>
  <si>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</si>
  <si>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</si>
  <si>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</si>
  <si>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</si>
  <si>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</si>
  <si>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</si>
  <si>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</si>
  <si>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</si>
  <si>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</si>
  <si>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</si>
  <si>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</si>
  <si>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</si>
  <si>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</si>
  <si>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</si>
  <si>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</si>
  <si>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</si>
  <si>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</si>
  <si>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</si>
  <si>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</si>
  <si>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</si>
  <si>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</si>
  <si>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</si>
  <si>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</si>
  <si>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</si>
  <si>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</si>
  <si>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</si>
  <si>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</si>
  <si>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</si>
  <si>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</si>
  <si>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</si>
  <si>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</si>
  <si>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</si>
  <si>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</si>
  <si>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</si>
  <si>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</si>
  <si>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</si>
  <si>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</si>
  <si>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</si>
  <si>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</si>
  <si>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</si>
  <si>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</si>
  <si>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</si>
  <si>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</si>
  <si>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</si>
  <si>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</si>
  <si>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</si>
  <si>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</si>
  <si>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</si>
  <si>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</si>
  <si>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</si>
  <si>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</si>
  <si>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</si>
  <si>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</si>
  <si>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</si>
  <si>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</si>
  <si>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</si>
  <si>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</si>
  <si>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</si>
  <si>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</si>
  <si>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</si>
  <si>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</si>
  <si>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</si>
  <si>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</si>
  <si>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</si>
  <si>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</si>
  <si>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</si>
  <si>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</si>
  <si>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</si>
  <si>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</si>
  <si>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</si>
  <si>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</si>
  <si>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</si>
  <si>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</si>
  <si>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</si>
  <si>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</si>
  <si>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</si>
  <si>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</si>
  <si>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</si>
  <si>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</si>
  <si>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</si>
  <si>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</si>
  <si>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</si>
  <si>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</si>
  <si>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</si>
  <si>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</si>
  <si>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</si>
  <si>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</si>
  <si>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</si>
  <si>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</si>
  <si>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</si>
  <si>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</si>
  <si>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</si>
  <si>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</si>
  <si>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</si>
  <si>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</si>
  <si>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</si>
  <si>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</si>
  <si>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</si>
  <si>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</si>
  <si>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</si>
  <si>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</si>
  <si>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</si>
  <si>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</si>
  <si>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</si>
  <si>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</si>
  <si>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</si>
  <si>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</si>
  <si>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</si>
  <si>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</si>
  <si>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</si>
  <si>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</si>
  <si>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</si>
  <si>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</si>
  <si>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</si>
  <si>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</si>
  <si>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</si>
  <si>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</si>
  <si>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</si>
  <si>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</si>
  <si>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</si>
  <si>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</si>
  <si>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</si>
  <si>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</si>
  <si>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</si>
  <si>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</si>
  <si>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</si>
  <si>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</si>
  <si>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</si>
  <si>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</si>
  <si>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</si>
  <si>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</si>
  <si>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</si>
  <si>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</si>
  <si>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</si>
  <si>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</si>
  <si>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</si>
  <si>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</si>
  <si>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</si>
  <si>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</si>
  <si>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</si>
  <si>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</si>
  <si>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</si>
  <si>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</si>
  <si>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</si>
  <si>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</si>
  <si>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</si>
  <si>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</si>
  <si>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</si>
  <si>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</si>
  <si>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</si>
  <si>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</si>
  <si>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</si>
  <si>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</si>
  <si>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</si>
  <si>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</si>
  <si>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</si>
  <si>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</si>
  <si>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</si>
  <si>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</si>
  <si>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</si>
  <si>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</si>
  <si>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</si>
  <si>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</si>
  <si>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</si>
  <si>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</si>
  <si>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</si>
  <si>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</si>
  <si>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</si>
  <si>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</si>
  <si>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</si>
  <si>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</si>
  <si>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</si>
  <si>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</si>
  <si>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</si>
  <si>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</si>
  <si>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</si>
  <si>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</si>
  <si>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</si>
  <si>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</si>
  <si>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</si>
  <si>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</si>
  <si>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</si>
  <si>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</si>
  <si>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</si>
  <si>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</si>
  <si>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</si>
  <si>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</si>
  <si>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</si>
  <si>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</si>
  <si>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</si>
  <si>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</si>
  <si>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</si>
  <si>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</si>
  <si>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</si>
  <si>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</si>
  <si>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</si>
  <si>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</si>
  <si>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</si>
  <si>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</si>
  <si>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</si>
  <si>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</si>
  <si>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</si>
  <si>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</si>
  <si>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</si>
  <si>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</si>
  <si>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</si>
  <si>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</si>
  <si>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</si>
  <si>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</si>
  <si>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</si>
  <si>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</si>
  <si>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</si>
  <si>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</si>
  <si>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</si>
  <si>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</si>
  <si>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</si>
  <si>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</si>
  <si>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</si>
  <si>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</si>
  <si>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</si>
  <si>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</si>
  <si>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</si>
  <si>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</si>
  <si>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</si>
  <si>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</si>
  <si>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</si>
  <si>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</si>
  <si>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</si>
  <si>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</si>
  <si>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</si>
  <si>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</si>
  <si>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</si>
  <si>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</si>
  <si>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</si>
  <si>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</si>
  <si>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</si>
  <si>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</si>
  <si>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</si>
  <si>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</si>
  <si>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</si>
  <si>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</si>
  <si>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</si>
  <si>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</si>
  <si>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</si>
  <si>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</si>
  <si>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</si>
  <si>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</si>
  <si>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</si>
  <si>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</si>
  <si>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</si>
  <si>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</si>
  <si>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</si>
  <si>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</si>
  <si>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</si>
  <si>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</si>
  <si>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</si>
  <si>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</si>
  <si>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</si>
  <si>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</si>
  <si>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</si>
  <si>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</si>
  <si>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</si>
  <si>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</si>
  <si>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</si>
  <si>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</si>
  <si>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</si>
  <si>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</si>
  <si>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</si>
  <si>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</si>
  <si>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</si>
  <si>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</si>
  <si>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</si>
  <si>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</si>
  <si>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</si>
  <si>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</si>
  <si>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</si>
  <si>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</si>
  <si>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</si>
  <si>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</si>
  <si>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</si>
  <si>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</si>
  <si>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</si>
  <si>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</si>
  <si>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</si>
  <si>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</si>
  <si>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</si>
  <si>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</si>
  <si>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</si>
  <si>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</si>
  <si>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</si>
  <si>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</si>
  <si>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</si>
  <si>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</si>
  <si>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</si>
  <si>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</si>
  <si>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</si>
  <si>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</si>
  <si>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</si>
  <si>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</si>
  <si>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</si>
  <si>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</si>
  <si>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</si>
  <si>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</si>
  <si>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</si>
  <si>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</si>
  <si>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</si>
  <si>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</si>
  <si>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</si>
  <si>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</si>
  <si>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</si>
  <si>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</si>
  <si>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</si>
  <si>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</si>
  <si>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</si>
  <si>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</si>
  <si>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</si>
  <si>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</si>
  <si>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</si>
  <si>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</si>
  <si>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</si>
  <si>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</si>
  <si>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</si>
  <si>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</si>
  <si>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</si>
  <si>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</si>
  <si>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</si>
  <si>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</si>
  <si>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</si>
  <si>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</si>
  <si>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</si>
  <si>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</si>
  <si>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</si>
  <si>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</si>
  <si>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</si>
  <si>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</si>
  <si>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</si>
  <si>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</si>
  <si>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</si>
  <si>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</si>
  <si>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</si>
  <si>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</si>
  <si>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</si>
  <si>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</si>
  <si>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</si>
  <si>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</si>
  <si>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</si>
  <si>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</si>
  <si>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</si>
  <si>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</si>
  <si>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</si>
  <si>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</si>
  <si>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</si>
  <si>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</si>
  <si>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</si>
  <si>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</si>
  <si>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</si>
  <si>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</si>
  <si>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</si>
  <si>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</si>
  <si>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</si>
  <si>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</si>
  <si>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</si>
  <si>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</si>
  <si>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</si>
  <si>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</si>
  <si>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</si>
  <si>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</si>
  <si>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</si>
  <si>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</si>
  <si>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</si>
  <si>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</si>
  <si>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</si>
  <si>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</si>
  <si>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</si>
  <si>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</si>
  <si>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</si>
  <si>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</si>
  <si>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</si>
  <si>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</si>
  <si>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</si>
  <si>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</si>
  <si>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</si>
  <si>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</si>
  <si>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</si>
  <si>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</si>
  <si>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</si>
  <si>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</si>
  <si>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</si>
  <si>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</si>
  <si>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</si>
  <si>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</si>
  <si>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</si>
  <si>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</si>
  <si>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</si>
  <si>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</si>
  <si>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</si>
  <si>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</si>
  <si>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</si>
  <si>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</si>
  <si>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</si>
  <si>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</si>
  <si>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</si>
  <si>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</si>
  <si>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</si>
  <si>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</si>
  <si>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</si>
  <si>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</si>
  <si>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</si>
  <si>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</si>
  <si>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</si>
  <si>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</si>
  <si>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</si>
  <si>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</si>
  <si>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</si>
  <si>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</si>
  <si>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</si>
  <si>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</si>
  <si>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</si>
  <si>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</si>
  <si>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</si>
  <si>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</si>
  <si>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</si>
  <si>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</si>
  <si>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</si>
  <si>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</si>
  <si>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</si>
  <si>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</si>
  <si>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</si>
  <si>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</si>
  <si>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</si>
  <si>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</si>
  <si>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</si>
  <si>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</si>
  <si>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</si>
  <si>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</si>
  <si>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</si>
  <si>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</si>
  <si>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</si>
  <si>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</si>
  <si>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</si>
  <si>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</si>
  <si>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</si>
  <si>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</si>
  <si>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</si>
  <si>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</si>
  <si>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</si>
  <si>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</si>
  <si>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</si>
  <si>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</si>
  <si>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</si>
  <si>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</si>
  <si>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</si>
  <si>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</si>
  <si>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</si>
  <si>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</si>
  <si>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</si>
  <si>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</si>
  <si>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</si>
  <si>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</si>
  <si>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</si>
  <si>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</si>
  <si>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</si>
  <si>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</si>
  <si>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</si>
  <si>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</si>
  <si>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</si>
  <si>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</si>
  <si>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</si>
  <si>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</si>
  <si>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</si>
  <si>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</si>
  <si>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</si>
  <si>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</si>
  <si>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</si>
  <si>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</si>
  <si>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</si>
  <si>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</si>
  <si>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</si>
  <si>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</si>
  <si>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</si>
  <si>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</si>
  <si>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</si>
  <si>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</si>
  <si>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</si>
  <si>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</si>
  <si>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</si>
  <si>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</si>
  <si>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</si>
  <si>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</si>
  <si>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</si>
  <si>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</si>
  <si>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</si>
  <si>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</si>
  <si>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</si>
  <si>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</si>
  <si>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</si>
  <si>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</si>
  <si>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</si>
  <si>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</si>
  <si>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</si>
  <si>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</si>
  <si>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</si>
  <si>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</si>
  <si>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</si>
  <si>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</si>
  <si>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</si>
  <si>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</si>
  <si>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</si>
  <si>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</si>
  <si>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</si>
  <si>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</si>
  <si>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</si>
  <si>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</si>
  <si>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</si>
  <si>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</si>
  <si>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</si>
  <si>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</si>
  <si>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</si>
  <si>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</si>
  <si>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</si>
  <si>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</si>
  <si>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</si>
  <si>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</si>
  <si>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</si>
  <si>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</si>
  <si>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</si>
  <si>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</si>
  <si>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</si>
  <si>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</si>
  <si>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</si>
  <si>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</si>
  <si>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</si>
  <si>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</si>
  <si>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</si>
  <si>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</si>
  <si>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</si>
  <si>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</si>
  <si>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</si>
  <si>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</si>
  <si>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</si>
  <si>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</si>
  <si>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</si>
  <si>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</si>
  <si>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</si>
  <si>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</si>
  <si>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</si>
  <si>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</si>
  <si>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</si>
  <si>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</si>
  <si>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</si>
  <si>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</si>
  <si>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</si>
  <si>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</si>
  <si>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</si>
  <si>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</si>
  <si>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</si>
  <si>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Rice County</t>
  </si>
  <si>
    <t>Sterling Township</t>
  </si>
  <si>
    <t>Cemetery</t>
  </si>
  <si>
    <t>Allied Ins</t>
  </si>
  <si>
    <t>Contractural Services</t>
  </si>
  <si>
    <t>James Bates</t>
  </si>
  <si>
    <t>US Treas</t>
  </si>
  <si>
    <t>Ark Valley</t>
  </si>
  <si>
    <t>Repairs</t>
  </si>
  <si>
    <t>Contracts</t>
  </si>
  <si>
    <t>August 15, 2011</t>
  </si>
  <si>
    <t>12:00 noon</t>
  </si>
  <si>
    <t>Paddy's</t>
  </si>
  <si>
    <t>the Rice County Clerk's Office</t>
  </si>
  <si>
    <t>None</t>
  </si>
  <si>
    <t>Komatzu GD655 Grader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</si>
</sst>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3" sqref="A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753</v>
      </c>
    </row>
    <row r="40" ht="57.75" customHeight="1">
      <c r="A40" s="371" t="s">
        <v>193</v>
      </c>
    </row>
    <row r="41" ht="10.5" customHeight="1">
      <c r="A41" s="360"/>
    </row>
    <row r="42" ht="65.25" customHeight="1">
      <c r="A42" s="360" t="s">
        <v>754</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755</v>
      </c>
    </row>
    <row r="70" ht="63" customHeight="1">
      <c r="A70" s="604" t="s">
        <v>756</v>
      </c>
    </row>
    <row r="71" ht="57" customHeight="1">
      <c r="A71" s="604" t="s">
        <v>757</v>
      </c>
    </row>
    <row r="72" ht="60" customHeight="1">
      <c r="A72" s="360" t="s">
        <v>758</v>
      </c>
    </row>
    <row r="73" ht="117.75" customHeight="1">
      <c r="A73" s="360" t="s">
        <v>759</v>
      </c>
    </row>
    <row r="74" ht="59.25" customHeight="1">
      <c r="A74" s="360" t="s">
        <v>760</v>
      </c>
    </row>
    <row r="75" ht="59.25" customHeight="1">
      <c r="A75" s="604" t="s">
        <v>761</v>
      </c>
    </row>
    <row r="76" ht="84.75" customHeight="1">
      <c r="A76" s="360" t="s">
        <v>762</v>
      </c>
    </row>
    <row r="77" ht="102.75" customHeight="1">
      <c r="A77" s="360" t="s">
        <v>763</v>
      </c>
    </row>
    <row r="78" ht="102.75" customHeight="1">
      <c r="A78" s="372" t="s">
        <v>764</v>
      </c>
    </row>
    <row r="79" ht="54" customHeight="1">
      <c r="A79" s="363" t="s">
        <v>765</v>
      </c>
    </row>
    <row r="80" ht="115.5" customHeight="1">
      <c r="A80" s="360" t="s">
        <v>766</v>
      </c>
    </row>
    <row r="81" ht="78" customHeight="1">
      <c r="A81" s="372" t="s">
        <v>767</v>
      </c>
    </row>
    <row r="82" ht="124.5" customHeight="1">
      <c r="A82" s="372" t="s">
        <v>768</v>
      </c>
    </row>
    <row r="83" ht="138" customHeight="1">
      <c r="A83" s="360" t="s">
        <v>769</v>
      </c>
    </row>
    <row r="84" ht="147" customHeight="1">
      <c r="A84" s="360" t="s">
        <v>770</v>
      </c>
    </row>
    <row r="85" ht="101.25" customHeight="1">
      <c r="A85" s="360" t="s">
        <v>771</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772</v>
      </c>
    </row>
    <row r="95" ht="75" customHeight="1">
      <c r="A95" s="604" t="s">
        <v>773</v>
      </c>
    </row>
    <row r="96" ht="33.75" customHeight="1">
      <c r="A96" s="360" t="s">
        <v>774</v>
      </c>
    </row>
    <row r="97" ht="51.75" customHeight="1">
      <c r="A97" s="360" t="s">
        <v>775</v>
      </c>
    </row>
    <row r="98" ht="14.25" customHeight="1"/>
    <row r="99" ht="69.75" customHeight="1">
      <c r="A99" s="360" t="s">
        <v>624</v>
      </c>
    </row>
    <row r="101" ht="54" customHeight="1">
      <c r="A101" s="604" t="s">
        <v>776</v>
      </c>
    </row>
    <row r="102" ht="85.5" customHeight="1">
      <c r="A102" s="604" t="s">
        <v>777</v>
      </c>
    </row>
    <row r="103" ht="99" customHeight="1">
      <c r="A103" s="604" t="s">
        <v>778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 sqref="A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Sterling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823</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823</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824</v>
      </c>
      <c r="B24" s="198">
        <v>39387</v>
      </c>
      <c r="C24" s="221">
        <v>60</v>
      </c>
      <c r="D24" s="199">
        <v>4.75</v>
      </c>
      <c r="E24" s="34">
        <v>54572</v>
      </c>
      <c r="F24" s="34">
        <v>20126</v>
      </c>
      <c r="G24" s="34">
        <v>10914</v>
      </c>
      <c r="H24" s="34">
        <v>10914</v>
      </c>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20126</v>
      </c>
      <c r="G36" s="209">
        <f>SUM(G24:G35)</f>
        <v>10914</v>
      </c>
      <c r="H36" s="209">
        <f>SUM(H24:H35)</f>
        <v>10914</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Sterling Township</v>
      </c>
      <c r="C1" s="14"/>
      <c r="D1" s="14"/>
      <c r="E1" s="15">
        <f>inputPrYr!D5</f>
        <v>2012</v>
      </c>
    </row>
    <row r="2" spans="2:5" ht="15.75">
      <c r="B2" s="17"/>
      <c r="C2" s="14"/>
      <c r="D2" s="14"/>
      <c r="E2" s="18"/>
    </row>
    <row r="3" spans="2:5" ht="15.75">
      <c r="B3" s="603" t="s">
        <v>752</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3338.35</v>
      </c>
      <c r="D6" s="418">
        <f>C51</f>
        <v>4042.9400000000005</v>
      </c>
      <c r="E6" s="32">
        <f>D51</f>
        <v>3711.9400000000005</v>
      </c>
    </row>
    <row r="7" spans="2:5" ht="15.75">
      <c r="B7" s="27" t="s">
        <v>124</v>
      </c>
      <c r="C7" s="418"/>
      <c r="D7" s="418"/>
      <c r="E7" s="33"/>
    </row>
    <row r="8" spans="2:5" ht="15.75">
      <c r="B8" s="27" t="s">
        <v>16</v>
      </c>
      <c r="C8" s="29">
        <f>5467.04+319.9+199.79+860.22</f>
        <v>6846.95</v>
      </c>
      <c r="D8" s="418">
        <f>inputPrYr!E16</f>
        <v>8951</v>
      </c>
      <c r="E8" s="33" t="s">
        <v>302</v>
      </c>
    </row>
    <row r="9" spans="2:5" ht="15.75">
      <c r="B9" s="27" t="s">
        <v>17</v>
      </c>
      <c r="C9" s="29">
        <f>36.01+0.09+0.3</f>
        <v>36.4</v>
      </c>
      <c r="D9" s="29"/>
      <c r="E9" s="34"/>
    </row>
    <row r="10" spans="2:5" ht="15.75">
      <c r="B10" s="27" t="s">
        <v>18</v>
      </c>
      <c r="C10" s="29">
        <v>173.67</v>
      </c>
      <c r="D10" s="29">
        <v>621</v>
      </c>
      <c r="E10" s="32">
        <f>mvalloc!G11</f>
        <v>619.4700000000003</v>
      </c>
    </row>
    <row r="11" spans="2:5" ht="15.75">
      <c r="B11" s="27" t="s">
        <v>19</v>
      </c>
      <c r="C11" s="29">
        <v>8.52</v>
      </c>
      <c r="D11" s="29">
        <v>25</v>
      </c>
      <c r="E11" s="32">
        <f>mvalloc!I11</f>
        <v>35.379999999999995</v>
      </c>
    </row>
    <row r="12" spans="2:5" ht="15.75">
      <c r="B12" s="35" t="s">
        <v>72</v>
      </c>
      <c r="C12" s="29">
        <v>86.65</v>
      </c>
      <c r="D12" s="29">
        <v>72</v>
      </c>
      <c r="E12" s="32">
        <f>mvalloc!J11</f>
        <v>9.25</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2762.52</v>
      </c>
      <c r="D16" s="29"/>
      <c r="E16" s="32">
        <f>inputOth!E12</f>
        <v>0</v>
      </c>
    </row>
    <row r="17" spans="2:5" ht="15.75">
      <c r="B17" s="37" t="s">
        <v>812</v>
      </c>
      <c r="C17" s="29">
        <f>418+157.87</f>
        <v>575.87</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f>18.84+26.3+28.75+21.91+16.53+21.95+20.17+19.61+10.32+8.46+8.3+5.79</f>
        <v>206.93</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10697.51</v>
      </c>
      <c r="D26" s="420">
        <f>SUM(D8:D24)</f>
        <v>9669</v>
      </c>
      <c r="E26" s="42">
        <f>SUM(E8:E24)</f>
        <v>664.1000000000003</v>
      </c>
    </row>
    <row r="27" spans="2:5" ht="15.75">
      <c r="B27" s="43" t="s">
        <v>24</v>
      </c>
      <c r="C27" s="420">
        <f>C26+C6</f>
        <v>14035.86</v>
      </c>
      <c r="D27" s="420">
        <f>D26+D6</f>
        <v>13711.94</v>
      </c>
      <c r="E27" s="42">
        <f>E26+E6</f>
        <v>4376.040000000001</v>
      </c>
    </row>
    <row r="28" spans="2:5" ht="15.75">
      <c r="B28" s="27" t="s">
        <v>25</v>
      </c>
      <c r="C28" s="418"/>
      <c r="D28" s="418"/>
      <c r="E28" s="32"/>
    </row>
    <row r="29" spans="2:5" ht="15.75">
      <c r="B29" s="37"/>
      <c r="C29" s="29"/>
      <c r="D29" s="29"/>
      <c r="E29" s="34"/>
    </row>
    <row r="30" spans="2:5" ht="15.75">
      <c r="B30" s="38" t="s">
        <v>105</v>
      </c>
      <c r="C30" s="29">
        <v>900</v>
      </c>
      <c r="D30" s="29">
        <v>900</v>
      </c>
      <c r="E30" s="34">
        <v>900</v>
      </c>
    </row>
    <row r="31" spans="2:5" ht="15.75">
      <c r="B31" s="38" t="s">
        <v>129</v>
      </c>
      <c r="C31" s="29"/>
      <c r="D31" s="29"/>
      <c r="E31" s="34"/>
    </row>
    <row r="32" spans="2:5" ht="15.75">
      <c r="B32" s="38" t="s">
        <v>106</v>
      </c>
      <c r="C32" s="29"/>
      <c r="D32" s="29"/>
      <c r="E32" s="34"/>
    </row>
    <row r="33" spans="2:5" ht="15.75">
      <c r="B33" s="38" t="s">
        <v>36</v>
      </c>
      <c r="C33" s="29">
        <v>81.89</v>
      </c>
      <c r="D33" s="29">
        <v>3000</v>
      </c>
      <c r="E33" s="34">
        <v>3000</v>
      </c>
    </row>
    <row r="34" spans="2:5" ht="15.75">
      <c r="B34" s="37" t="s">
        <v>107</v>
      </c>
      <c r="C34" s="29"/>
      <c r="D34" s="29">
        <v>600</v>
      </c>
      <c r="E34" s="34">
        <v>600</v>
      </c>
    </row>
    <row r="35" spans="2:5" ht="15.75">
      <c r="B35" s="37" t="s">
        <v>130</v>
      </c>
      <c r="C35" s="29"/>
      <c r="D35" s="29"/>
      <c r="E35" s="34"/>
    </row>
    <row r="36" spans="2:5" ht="15.75">
      <c r="B36" s="38" t="s">
        <v>132</v>
      </c>
      <c r="C36" s="29">
        <v>8369.53</v>
      </c>
      <c r="D36" s="29">
        <v>5000</v>
      </c>
      <c r="E36" s="34">
        <v>5000</v>
      </c>
    </row>
    <row r="37" spans="2:5" ht="15.75">
      <c r="B37" s="38" t="s">
        <v>813</v>
      </c>
      <c r="C37" s="29">
        <f>198.19+398.31+45</f>
        <v>641.5</v>
      </c>
      <c r="D37" s="29">
        <v>500</v>
      </c>
      <c r="E37" s="34">
        <v>500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9992.92</v>
      </c>
      <c r="D50" s="412">
        <f>SUM(D29:D48)</f>
        <v>10000</v>
      </c>
      <c r="E50" s="47">
        <f>SUM(E29:E43,E45,E47:E48)</f>
        <v>10000</v>
      </c>
      <c r="G50" s="534"/>
      <c r="H50" s="535"/>
      <c r="I50" s="535"/>
      <c r="J50" s="536"/>
    </row>
    <row r="51" spans="2:10" ht="15.75">
      <c r="B51" s="27" t="s">
        <v>123</v>
      </c>
      <c r="C51" s="413">
        <f>C27-C50</f>
        <v>4042.9400000000005</v>
      </c>
      <c r="D51" s="413">
        <f>SUM(D27-D50)</f>
        <v>3711.9400000000005</v>
      </c>
      <c r="E51" s="33" t="s">
        <v>302</v>
      </c>
      <c r="G51" s="537">
        <f>D51</f>
        <v>3711.9400000000005</v>
      </c>
      <c r="H51" s="538" t="str">
        <f>CONCATENATE("",E1-1," Ending Cash Balance (est.)")</f>
        <v>2011 Ending Cash Balance (est.)</v>
      </c>
      <c r="I51" s="539"/>
      <c r="J51" s="536"/>
    </row>
    <row r="52" spans="2:10" ht="15.75">
      <c r="B52" s="48" t="str">
        <f>CONCATENATE("",E1-2,"/",E1-1," Budget Authority Amount:")</f>
        <v>2010/2011 Budget Authority Amount:</v>
      </c>
      <c r="C52" s="143">
        <f>inputOth!B46</f>
        <v>10000</v>
      </c>
      <c r="D52" s="172">
        <f>inputPrYr!D16</f>
        <v>10000</v>
      </c>
      <c r="E52" s="33" t="s">
        <v>302</v>
      </c>
      <c r="F52" s="50"/>
      <c r="G52" s="537">
        <f>E26</f>
        <v>664.1000000000003</v>
      </c>
      <c r="H52" s="540" t="str">
        <f>CONCATENATE("",E1," Non-AV Receipts (est.)")</f>
        <v>2012 Non-AV Receipts (est.)</v>
      </c>
      <c r="I52" s="540"/>
      <c r="J52" s="536"/>
    </row>
    <row r="53" spans="2:10" ht="15.75">
      <c r="B53" s="48"/>
      <c r="C53" s="652" t="s">
        <v>647</v>
      </c>
      <c r="D53" s="653"/>
      <c r="E53" s="34"/>
      <c r="F53" s="533">
        <f>IF(E50/0.95-E50&lt;E53,"Exceeds 5%","")</f>
      </c>
      <c r="G53" s="541">
        <f>E57</f>
        <v>5623.959999999999</v>
      </c>
      <c r="H53" s="540" t="str">
        <f>CONCATENATE("",E1," Ad Valorem Tax (est.)")</f>
        <v>2012 Ad Valorem Tax (est.)</v>
      </c>
      <c r="I53" s="540"/>
      <c r="J53" s="536"/>
    </row>
    <row r="54" spans="2:10" ht="15.75">
      <c r="B54" s="436" t="str">
        <f>CONCATENATE(C72,"     ",D72)</f>
        <v>     </v>
      </c>
      <c r="C54" s="654" t="s">
        <v>648</v>
      </c>
      <c r="D54" s="655"/>
      <c r="E54" s="32">
        <f>E50+E53</f>
        <v>10000</v>
      </c>
      <c r="G54" s="537">
        <f>SUM(G51:G53)</f>
        <v>10000</v>
      </c>
      <c r="H54" s="540" t="str">
        <f>CONCATENATE("Total ",E1," Resources Available")</f>
        <v>Total 2012 Resources Available</v>
      </c>
      <c r="I54" s="539"/>
      <c r="J54" s="536"/>
    </row>
    <row r="55" spans="2:10" ht="15.75">
      <c r="B55" s="436" t="str">
        <f>CONCATENATE(C73,"     ",D73)</f>
        <v>     </v>
      </c>
      <c r="C55" s="60"/>
      <c r="D55" s="52" t="s">
        <v>28</v>
      </c>
      <c r="E55" s="46">
        <f>IF(E54-E27&gt;0,E54-E27,0)</f>
        <v>5623.959999999999</v>
      </c>
      <c r="G55" s="542"/>
      <c r="H55" s="540"/>
      <c r="I55" s="540"/>
      <c r="J55" s="536"/>
    </row>
    <row r="56" spans="2:10" ht="15.75">
      <c r="B56" s="52"/>
      <c r="C56" s="440" t="s">
        <v>649</v>
      </c>
      <c r="D56" s="432">
        <f>inputOth!$E$40</f>
        <v>0</v>
      </c>
      <c r="E56" s="32">
        <f>ROUND(IF(D56&gt;0,(E55*D56),0),0)</f>
        <v>0</v>
      </c>
      <c r="G56" s="541">
        <f>C50*0.05+C50</f>
        <v>10492.566</v>
      </c>
      <c r="H56" s="540" t="str">
        <f>CONCATENATE("Less ",E1-2," Expenditures + 5%")</f>
        <v>Less 2010 Expenditures + 5%</v>
      </c>
      <c r="I56" s="539"/>
      <c r="J56" s="536"/>
    </row>
    <row r="57" spans="2:10" ht="15.75">
      <c r="B57" s="14"/>
      <c r="C57" s="650" t="str">
        <f>CONCATENATE("Amount of  ",$E$1-1," Ad Valorem Tax")</f>
        <v>Amount of  2011 Ad Valorem Tax</v>
      </c>
      <c r="D57" s="651"/>
      <c r="E57" s="46">
        <f>E55+E56</f>
        <v>5623.959999999999</v>
      </c>
      <c r="G57" s="543">
        <f>G54-G56</f>
        <v>-492.5660000000007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1.556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Sterling Township</v>
      </c>
      <c r="C1" s="14"/>
      <c r="D1" s="14"/>
      <c r="E1" s="61">
        <f>inputPrYr!$D$5</f>
        <v>2012</v>
      </c>
    </row>
    <row r="2" spans="2:5" ht="15.75">
      <c r="B2" s="14"/>
      <c r="C2" s="14"/>
      <c r="D2" s="14"/>
      <c r="E2" s="52"/>
    </row>
    <row r="3" spans="2:5" ht="15.75">
      <c r="B3" s="17"/>
      <c r="C3" s="62"/>
      <c r="D3" s="62"/>
      <c r="E3" s="63"/>
    </row>
    <row r="4" spans="2:5" ht="15.75">
      <c r="B4" s="603" t="s">
        <v>752</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Sterling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4502.84</v>
      </c>
      <c r="D6" s="418">
        <f>C44</f>
        <v>11279.229999999967</v>
      </c>
      <c r="E6" s="32">
        <f>D44</f>
        <v>12893.229999999967</v>
      </c>
    </row>
    <row r="7" spans="2:5" ht="15.75">
      <c r="B7" s="27" t="s">
        <v>124</v>
      </c>
      <c r="C7" s="418"/>
      <c r="D7" s="418"/>
      <c r="E7" s="33"/>
    </row>
    <row r="8" spans="2:5" ht="15.75">
      <c r="B8" s="27" t="s">
        <v>16</v>
      </c>
      <c r="C8" s="29">
        <f>59920.64+3506.43+2189.62+9428.22</f>
        <v>75044.91</v>
      </c>
      <c r="D8" s="418">
        <f>inputPrYr!E18</f>
        <v>82293</v>
      </c>
      <c r="E8" s="33" t="s">
        <v>302</v>
      </c>
    </row>
    <row r="9" spans="2:5" ht="15.75">
      <c r="B9" s="27" t="s">
        <v>17</v>
      </c>
      <c r="C9" s="29">
        <f>1244.05+0.94+2.39</f>
        <v>1247.38</v>
      </c>
      <c r="D9" s="29"/>
      <c r="E9" s="34"/>
    </row>
    <row r="10" spans="2:5" ht="15.75">
      <c r="B10" s="27" t="s">
        <v>18</v>
      </c>
      <c r="C10" s="29">
        <v>6415.04</v>
      </c>
      <c r="D10" s="29">
        <v>6807</v>
      </c>
      <c r="E10" s="32">
        <f>mvalloc!G13</f>
        <v>5696</v>
      </c>
    </row>
    <row r="11" spans="2:5" ht="15.75">
      <c r="B11" s="27" t="s">
        <v>19</v>
      </c>
      <c r="C11" s="29">
        <v>328.18</v>
      </c>
      <c r="D11" s="29">
        <v>265</v>
      </c>
      <c r="E11" s="32">
        <f>mvalloc!I13</f>
        <v>327</v>
      </c>
    </row>
    <row r="12" spans="2:5" ht="15.75">
      <c r="B12" s="27" t="s">
        <v>103</v>
      </c>
      <c r="C12" s="29">
        <v>683.75</v>
      </c>
      <c r="D12" s="29">
        <v>794</v>
      </c>
      <c r="E12" s="32">
        <f>mvalloc!J13</f>
        <v>84</v>
      </c>
    </row>
    <row r="13" spans="2:5" ht="15.75">
      <c r="B13" s="27" t="s">
        <v>167</v>
      </c>
      <c r="C13" s="29"/>
      <c r="D13" s="29"/>
      <c r="E13" s="32">
        <f>mvalloc!K13</f>
        <v>0</v>
      </c>
    </row>
    <row r="14" spans="2:5" ht="15.75">
      <c r="B14" s="27" t="s">
        <v>104</v>
      </c>
      <c r="C14" s="29">
        <v>3486.65</v>
      </c>
      <c r="D14" s="29">
        <v>2844</v>
      </c>
      <c r="E14" s="32">
        <f>inputOth!E36</f>
        <v>3276.83</v>
      </c>
    </row>
    <row r="15" spans="2:5" ht="15.75">
      <c r="B15" s="38" t="s">
        <v>814</v>
      </c>
      <c r="C15" s="29">
        <f>100+100+100+137.5</f>
        <v>437.5</v>
      </c>
      <c r="D15" s="29"/>
      <c r="E15" s="34"/>
    </row>
    <row r="16" spans="2:5" ht="15.75">
      <c r="B16" s="38" t="s">
        <v>815</v>
      </c>
      <c r="C16" s="29">
        <f>110.15+2</f>
        <v>112.15</v>
      </c>
      <c r="D16" s="29"/>
      <c r="E16" s="34"/>
    </row>
    <row r="17" spans="2:5" ht="15.75">
      <c r="B17" s="38" t="s">
        <v>816</v>
      </c>
      <c r="C17" s="29">
        <v>275</v>
      </c>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88030.55999999998</v>
      </c>
      <c r="D23" s="420">
        <f>SUM(D8:D21)</f>
        <v>93003</v>
      </c>
      <c r="E23" s="42">
        <f>SUM(E8:E21)</f>
        <v>9383.83</v>
      </c>
    </row>
    <row r="24" spans="2:5" ht="15.75">
      <c r="B24" s="43" t="s">
        <v>24</v>
      </c>
      <c r="C24" s="420">
        <f>C23+C6</f>
        <v>92533.39999999998</v>
      </c>
      <c r="D24" s="420">
        <f>D23+D6</f>
        <v>104282.22999999997</v>
      </c>
      <c r="E24" s="42">
        <f>E23+E6</f>
        <v>22277.05999999997</v>
      </c>
    </row>
    <row r="25" spans="2:5" ht="15.75">
      <c r="B25" s="27" t="s">
        <v>25</v>
      </c>
      <c r="C25" s="418"/>
      <c r="D25" s="418"/>
      <c r="E25" s="32"/>
    </row>
    <row r="26" spans="2:5" ht="15.75">
      <c r="B26" s="38" t="s">
        <v>129</v>
      </c>
      <c r="C26" s="29">
        <f>1593.48+28829.35</f>
        <v>30422.829999999998</v>
      </c>
      <c r="D26" s="29">
        <f>1800+27000</f>
        <v>28800</v>
      </c>
      <c r="E26" s="34">
        <v>28800</v>
      </c>
    </row>
    <row r="27" spans="2:5" ht="15.75">
      <c r="B27" s="37" t="s">
        <v>106</v>
      </c>
      <c r="C27" s="29">
        <v>12796.81</v>
      </c>
      <c r="D27" s="29">
        <v>11500</v>
      </c>
      <c r="E27" s="34">
        <v>12000</v>
      </c>
    </row>
    <row r="28" spans="2:5" ht="15.75">
      <c r="B28" s="38" t="s">
        <v>131</v>
      </c>
      <c r="C28" s="29">
        <v>10391.33</v>
      </c>
      <c r="D28" s="29">
        <v>14900</v>
      </c>
      <c r="E28" s="34">
        <v>20000</v>
      </c>
    </row>
    <row r="29" spans="2:5" ht="15.75">
      <c r="B29" s="38" t="s">
        <v>109</v>
      </c>
      <c r="C29" s="29">
        <f>13033.93+8003.08</f>
        <v>21037.010000000002</v>
      </c>
      <c r="D29" s="29">
        <v>17000</v>
      </c>
      <c r="E29" s="34">
        <v>20000</v>
      </c>
    </row>
    <row r="30" spans="2:5" ht="15.75">
      <c r="B30" s="38" t="s">
        <v>107</v>
      </c>
      <c r="C30" s="29"/>
      <c r="D30" s="29">
        <v>14000</v>
      </c>
      <c r="E30" s="34">
        <v>26000</v>
      </c>
    </row>
    <row r="31" spans="2:5" ht="15.75">
      <c r="B31" s="38" t="s">
        <v>813</v>
      </c>
      <c r="C31" s="29">
        <f>2290.24-647.47</f>
        <v>1642.7699999999998</v>
      </c>
      <c r="D31" s="29">
        <v>500</v>
      </c>
      <c r="E31" s="34">
        <v>500</v>
      </c>
    </row>
    <row r="32" spans="2:5" ht="15.75">
      <c r="B32" s="38" t="s">
        <v>132</v>
      </c>
      <c r="C32" s="29">
        <v>647.47</v>
      </c>
      <c r="D32" s="29"/>
      <c r="E32" s="34"/>
    </row>
    <row r="33" spans="2:5" ht="15.75">
      <c r="B33" s="38" t="s">
        <v>817</v>
      </c>
      <c r="C33" s="29">
        <v>4315.95</v>
      </c>
      <c r="D33" s="29">
        <v>4689</v>
      </c>
      <c r="E33" s="34">
        <v>5000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12893.229999999967</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9383.83</v>
      </c>
      <c r="H42" s="540" t="str">
        <f>CONCATENATE("",E1," Non-AV Receipts (est.)")</f>
        <v>2012 Non-AV Receipts (est.)</v>
      </c>
      <c r="I42" s="540"/>
      <c r="J42" s="536"/>
    </row>
    <row r="43" spans="2:10" ht="15.75">
      <c r="B43" s="43" t="s">
        <v>26</v>
      </c>
      <c r="C43" s="420">
        <f>SUM(C26:C38,C40:C41)</f>
        <v>81254.17000000001</v>
      </c>
      <c r="D43" s="420">
        <f>SUM(D26:D38,D40:D41)</f>
        <v>91389</v>
      </c>
      <c r="E43" s="42">
        <f>SUM(E26:E38,E40:E41)</f>
        <v>112300</v>
      </c>
      <c r="G43" s="541">
        <f>E50</f>
        <v>90022.94000000003</v>
      </c>
      <c r="H43" s="540" t="str">
        <f>CONCATENATE("",E1," Ad Valorem Tax (est.)")</f>
        <v>2012 Ad Valorem Tax (est.)</v>
      </c>
      <c r="I43" s="540"/>
      <c r="J43" s="536"/>
    </row>
    <row r="44" spans="2:10" ht="15.75">
      <c r="B44" s="27" t="s">
        <v>123</v>
      </c>
      <c r="C44" s="413">
        <f>C24-C43</f>
        <v>11279.229999999967</v>
      </c>
      <c r="D44" s="413">
        <f>D24-D43</f>
        <v>12893.229999999967</v>
      </c>
      <c r="E44" s="33" t="s">
        <v>302</v>
      </c>
      <c r="G44" s="537">
        <f>SUM(G41:G43)</f>
        <v>112300</v>
      </c>
      <c r="H44" s="540" t="str">
        <f>CONCATENATE("Total ",E1," Resources Available")</f>
        <v>Total 2012 Resources Available</v>
      </c>
      <c r="I44" s="539"/>
      <c r="J44" s="536"/>
    </row>
    <row r="45" spans="2:10" ht="15.75">
      <c r="B45" s="48" t="str">
        <f>CONCATENATE("",E1-2,"/",E1-1," Budget Authority Amount:")</f>
        <v>2010/2011 Budget Authority Amount:</v>
      </c>
      <c r="C45" s="143">
        <f>inputOth!B48</f>
        <v>91700</v>
      </c>
      <c r="D45" s="172">
        <f>inputPrYr!D18</f>
        <v>91389</v>
      </c>
      <c r="E45" s="33" t="s">
        <v>302</v>
      </c>
      <c r="F45" s="50"/>
      <c r="G45" s="542"/>
      <c r="H45" s="540"/>
      <c r="I45" s="540"/>
      <c r="J45" s="536"/>
    </row>
    <row r="46" spans="2:10" ht="15.75">
      <c r="B46" s="48"/>
      <c r="C46" s="652" t="s">
        <v>647</v>
      </c>
      <c r="D46" s="653"/>
      <c r="E46" s="34"/>
      <c r="F46" s="533">
        <f>IF(E43/0.95-E43&lt;E46,"Exceeds 5%","")</f>
      </c>
      <c r="G46" s="541">
        <f>C43*0.05+C43</f>
        <v>85316.87850000002</v>
      </c>
      <c r="H46" s="540" t="str">
        <f>CONCATENATE("Less ",E1-2," Expenditures + 5%")</f>
        <v>Less 2010 Expenditures + 5%</v>
      </c>
      <c r="I46" s="539"/>
      <c r="J46" s="536"/>
    </row>
    <row r="47" spans="2:10" ht="15.75">
      <c r="B47" s="436" t="str">
        <f>CONCATENATE(C74,"     ",D74)</f>
        <v>     </v>
      </c>
      <c r="C47" s="654" t="s">
        <v>648</v>
      </c>
      <c r="D47" s="655"/>
      <c r="E47" s="32">
        <f>E43+E46</f>
        <v>112300</v>
      </c>
      <c r="G47" s="543">
        <f>G44-G46</f>
        <v>26983.12149999998</v>
      </c>
      <c r="H47" s="544" t="str">
        <f>CONCATENATE("Projected ",E1+1," Carryover (est.)")</f>
        <v>Projected 2013 Carryover (est.)</v>
      </c>
      <c r="I47" s="545"/>
      <c r="J47" s="546"/>
    </row>
    <row r="48" spans="2:5" ht="15.75">
      <c r="B48" s="436" t="str">
        <f>CONCATENATE(C75,"     ",D75)</f>
        <v>     </v>
      </c>
      <c r="C48" s="60"/>
      <c r="D48" s="52" t="s">
        <v>28</v>
      </c>
      <c r="E48" s="46">
        <f>IF(E47-E24&gt;0,E47-E24,0)</f>
        <v>90022.94000000003</v>
      </c>
    </row>
    <row r="49" spans="2:10" ht="15.75">
      <c r="B49" s="52"/>
      <c r="C49" s="440" t="s">
        <v>649</v>
      </c>
      <c r="D49" s="432">
        <f>inputOth!$E$40</f>
        <v>0</v>
      </c>
      <c r="E49" s="32">
        <f>ROUND(IF(D49&gt;0,(E48*D49),0),0)</f>
        <v>0</v>
      </c>
      <c r="G49" s="560">
        <f>IF(inputOth!E7=0,"",ROUND(E50/inputOth!E7*1000,3))</f>
        <v>24.913</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90022.94000000003</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33031.15</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33031.15</v>
      </c>
      <c r="D63" s="14"/>
      <c r="E63" s="14"/>
    </row>
    <row r="64" spans="2:5" ht="15.75">
      <c r="B64" s="88" t="s">
        <v>26</v>
      </c>
      <c r="C64" s="600">
        <v>12511.77</v>
      </c>
      <c r="D64" s="14"/>
      <c r="E64" s="14"/>
    </row>
    <row r="65" spans="2:5" ht="15.75">
      <c r="B65" s="88" t="s">
        <v>27</v>
      </c>
      <c r="C65" s="438">
        <f>SUM(C63-C64)</f>
        <v>20519.38</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Sterling Township</v>
      </c>
      <c r="C1" s="22" t="s">
        <v>35</v>
      </c>
      <c r="D1" s="14"/>
      <c r="E1" s="15">
        <f>inputPrYr!D5</f>
        <v>2012</v>
      </c>
    </row>
    <row r="2" spans="2:5" ht="15.75">
      <c r="B2" s="17"/>
      <c r="C2" s="14"/>
      <c r="D2" s="14"/>
      <c r="E2" s="89"/>
    </row>
    <row r="3" spans="2:5" ht="15.75">
      <c r="B3" s="603" t="s">
        <v>752</v>
      </c>
      <c r="C3" s="77"/>
      <c r="D3" s="77"/>
      <c r="E3" s="14"/>
    </row>
    <row r="4" spans="2:5" ht="15.75">
      <c r="B4" s="22" t="s">
        <v>10</v>
      </c>
      <c r="C4" s="416" t="s">
        <v>11</v>
      </c>
      <c r="D4" s="419" t="s">
        <v>12</v>
      </c>
      <c r="E4" s="23" t="s">
        <v>13</v>
      </c>
    </row>
    <row r="5" spans="2:5" ht="15.75">
      <c r="B5" s="437" t="str">
        <f>inputPrYr!B19</f>
        <v>Cemetery</v>
      </c>
      <c r="C5" s="417" t="str">
        <f>gen!C5</f>
        <v>Actual 2010</v>
      </c>
      <c r="D5" s="417" t="str">
        <f>gen!D5</f>
        <v>Estimate 2011</v>
      </c>
      <c r="E5" s="26" t="str">
        <f>gen!E5</f>
        <v>Year 2012</v>
      </c>
    </row>
    <row r="6" spans="2:5" ht="15.75">
      <c r="B6" s="27" t="s">
        <v>122</v>
      </c>
      <c r="C6" s="29">
        <v>398.51</v>
      </c>
      <c r="D6" s="418">
        <f>C33</f>
        <v>-6.619999999999891</v>
      </c>
      <c r="E6" s="32">
        <f>D33</f>
        <v>38.38000000000011</v>
      </c>
    </row>
    <row r="7" spans="2:5" ht="15.75">
      <c r="B7" s="27" t="s">
        <v>124</v>
      </c>
      <c r="C7" s="418"/>
      <c r="D7" s="418"/>
      <c r="E7" s="33"/>
    </row>
    <row r="8" spans="2:5" ht="15.75">
      <c r="B8" s="27" t="s">
        <v>16</v>
      </c>
      <c r="C8" s="29">
        <f>2554.41+149.5+93.34+401.94</f>
        <v>3199.19</v>
      </c>
      <c r="D8" s="418">
        <f>inputPrYr!E19</f>
        <v>3710</v>
      </c>
      <c r="E8" s="33" t="s">
        <v>302</v>
      </c>
    </row>
    <row r="9" spans="2:5" ht="15.75">
      <c r="B9" s="27" t="s">
        <v>17</v>
      </c>
      <c r="C9" s="29">
        <f>56.61+0.04+0.11</f>
        <v>56.76</v>
      </c>
      <c r="D9" s="29"/>
      <c r="E9" s="34"/>
    </row>
    <row r="10" spans="2:5" ht="15.75">
      <c r="B10" s="27" t="s">
        <v>18</v>
      </c>
      <c r="C10" s="29">
        <v>291.85</v>
      </c>
      <c r="D10" s="29">
        <v>290</v>
      </c>
      <c r="E10" s="32">
        <f>mvalloc!G14</f>
        <v>257</v>
      </c>
    </row>
    <row r="11" spans="2:5" ht="15.75">
      <c r="B11" s="27" t="s">
        <v>19</v>
      </c>
      <c r="C11" s="29">
        <v>14.93</v>
      </c>
      <c r="D11" s="29">
        <v>11</v>
      </c>
      <c r="E11" s="32">
        <f>mvalloc!I14</f>
        <v>15</v>
      </c>
    </row>
    <row r="12" spans="2:5" ht="15.75">
      <c r="B12" s="35" t="s">
        <v>72</v>
      </c>
      <c r="C12" s="29">
        <v>32.14</v>
      </c>
      <c r="D12" s="29">
        <v>34</v>
      </c>
      <c r="E12" s="32">
        <f>mvalloc!J14</f>
        <v>4</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3594.87</v>
      </c>
      <c r="D20" s="420">
        <f>SUM(D8:D18)</f>
        <v>4045</v>
      </c>
      <c r="E20" s="42">
        <f>SUM(E8:E18)</f>
        <v>276</v>
      </c>
    </row>
    <row r="21" spans="2:5" ht="15.75">
      <c r="B21" s="43" t="s">
        <v>24</v>
      </c>
      <c r="C21" s="420">
        <f>C20+C6</f>
        <v>3993.38</v>
      </c>
      <c r="D21" s="420">
        <f>D20+D6</f>
        <v>4038.38</v>
      </c>
      <c r="E21" s="42">
        <f>E20+E6</f>
        <v>314.3800000000001</v>
      </c>
    </row>
    <row r="22" spans="2:5" ht="15.75">
      <c r="B22" s="27" t="s">
        <v>25</v>
      </c>
      <c r="C22" s="418"/>
      <c r="D22" s="418"/>
      <c r="E22" s="32"/>
    </row>
    <row r="23" spans="2:5" ht="15.75">
      <c r="B23" s="38" t="s">
        <v>818</v>
      </c>
      <c r="C23" s="29">
        <v>4000</v>
      </c>
      <c r="D23" s="29">
        <v>4000</v>
      </c>
      <c r="E23" s="34">
        <v>4000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4000</v>
      </c>
      <c r="D32" s="420">
        <f>SUM(D23:D30)</f>
        <v>4000</v>
      </c>
      <c r="E32" s="42">
        <f>SUM(E23:E30)</f>
        <v>4000</v>
      </c>
    </row>
    <row r="33" spans="2:5" ht="15.75">
      <c r="B33" s="27" t="s">
        <v>123</v>
      </c>
      <c r="C33" s="413">
        <f>C21-C32</f>
        <v>-6.619999999999891</v>
      </c>
      <c r="D33" s="413">
        <f>D21-D32</f>
        <v>38.38000000000011</v>
      </c>
      <c r="E33" s="33" t="s">
        <v>302</v>
      </c>
    </row>
    <row r="34" spans="2:6" ht="15.75">
      <c r="B34" s="48" t="str">
        <f>CONCATENATE("",E1-2,"/",E1-1," Budget Authority Amount:")</f>
        <v>2010/2011 Budget Authority Amount:</v>
      </c>
      <c r="C34" s="143">
        <f>inputOth!B49</f>
        <v>4000</v>
      </c>
      <c r="D34" s="172">
        <f>inputPrYr!D19</f>
        <v>4000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4000</v>
      </c>
    </row>
    <row r="37" spans="2:5" ht="15.75">
      <c r="B37" s="436" t="str">
        <f>CONCATENATE(C89,"     ",D89)</f>
        <v>See Tab B     </v>
      </c>
      <c r="C37" s="60"/>
      <c r="D37" s="52" t="s">
        <v>28</v>
      </c>
      <c r="E37" s="46">
        <f>IF(E36-E21&gt;0,E36-E21,0)</f>
        <v>3685.62</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3685.62</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t="str">
        <f>IF(C33&lt;0,"See Tab B","")</f>
        <v>See Tab B</v>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Sterling Township</v>
      </c>
      <c r="C1" s="14"/>
      <c r="D1" s="14"/>
      <c r="E1" s="15">
        <f>inputPrYr!D5</f>
        <v>2012</v>
      </c>
    </row>
    <row r="2" spans="2:5" ht="15.75">
      <c r="B2" s="17"/>
      <c r="C2" s="14"/>
      <c r="D2" s="62"/>
      <c r="E2" s="93"/>
    </row>
    <row r="3" spans="2:5" ht="15.75">
      <c r="B3" s="603" t="s">
        <v>752</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Sterling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Sterling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Sterling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809</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10000</v>
      </c>
      <c r="E16" s="200">
        <v>8951</v>
      </c>
    </row>
    <row r="17" spans="1:5" ht="15.75">
      <c r="A17" s="14"/>
      <c r="B17" s="83" t="s">
        <v>312</v>
      </c>
      <c r="C17" s="172" t="s">
        <v>157</v>
      </c>
      <c r="D17" s="200"/>
      <c r="E17" s="200"/>
    </row>
    <row r="18" spans="1:5" ht="15.75">
      <c r="A18" s="14"/>
      <c r="B18" s="83" t="s">
        <v>287</v>
      </c>
      <c r="C18" s="192" t="s">
        <v>327</v>
      </c>
      <c r="D18" s="200">
        <v>91389</v>
      </c>
      <c r="E18" s="200">
        <v>82293</v>
      </c>
    </row>
    <row r="19" spans="1:5" ht="15.75">
      <c r="A19" s="14"/>
      <c r="B19" s="410" t="s">
        <v>811</v>
      </c>
      <c r="C19" s="411"/>
      <c r="D19" s="200">
        <v>4000</v>
      </c>
      <c r="E19" s="200">
        <v>3710</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94954</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105389</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1.862</v>
      </c>
      <c r="E41" s="14"/>
    </row>
    <row r="42" spans="1:5" ht="15.75">
      <c r="A42" s="14"/>
      <c r="B42" s="96" t="str">
        <f t="shared" si="0"/>
        <v>Debt Service</v>
      </c>
      <c r="C42" s="14"/>
      <c r="D42" s="348"/>
      <c r="E42" s="14"/>
    </row>
    <row r="43" spans="1:5" ht="15.75">
      <c r="A43" s="14"/>
      <c r="B43" s="96" t="str">
        <f t="shared" si="0"/>
        <v>Road</v>
      </c>
      <c r="C43" s="14"/>
      <c r="D43" s="348">
        <v>20.408</v>
      </c>
      <c r="E43" s="14"/>
    </row>
    <row r="44" spans="1:5" ht="15.75">
      <c r="A44" s="14"/>
      <c r="B44" s="83" t="str">
        <f t="shared" si="0"/>
        <v>Cemetery</v>
      </c>
      <c r="C44" s="14"/>
      <c r="D44" s="348">
        <v>0.87</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23.140000000000004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87908</v>
      </c>
    </row>
    <row r="53" spans="1:5" ht="15.75">
      <c r="A53" s="353" t="str">
        <f>CONCATENATE("Assessed Valuation (",D5-2," budget column)")</f>
        <v>Assessed Valuation (2010 budget column)</v>
      </c>
      <c r="B53" s="354"/>
      <c r="C53" s="291"/>
      <c r="D53" s="28"/>
      <c r="E53" s="200">
        <v>3597801</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v>43658</v>
      </c>
      <c r="E59" s="36">
        <v>31040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Sterling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August 15, 2011 at 12:00 noon at Paddy's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9992.92</v>
      </c>
      <c r="D17" s="592">
        <f>IF(inputPrYr!D41&gt;0,inputPrYr!D41,"  ")</f>
        <v>1.862</v>
      </c>
      <c r="E17" s="32">
        <f>IF(gen!$D$50&lt;&gt;0,gen!$D$50,"  ")</f>
        <v>10000</v>
      </c>
      <c r="F17" s="253">
        <f>IF(inputOth!D17&gt;0,inputOth!D17,"  ")</f>
        <v>23.991</v>
      </c>
      <c r="G17" s="32">
        <f>IF(gen!$E$50&lt;&gt;0,gen!$E$50,"  ")</f>
        <v>10000</v>
      </c>
      <c r="H17" s="32">
        <f>IF(gen!$E$57&lt;&gt;0,gen!$E$57," ")</f>
        <v>5623.959999999999</v>
      </c>
      <c r="I17" s="594">
        <f>IF(gen!E57&gt;0,ROUND(H17/$G$35*1000,3)," ")</f>
        <v>1.556</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81254.17000000001</v>
      </c>
      <c r="D19" s="592">
        <f>IF(inputPrYr!D43&gt;0,inputPrYr!D43,"  ")</f>
        <v>20.408</v>
      </c>
      <c r="E19" s="32">
        <f>IF(road!$D$43&lt;&gt;0,road!$D$43,"  ")</f>
        <v>91389</v>
      </c>
      <c r="F19" s="253">
        <f>IF(inputOth!D19&gt;0,inputOth!D19,"  ")</f>
        <v>2.61</v>
      </c>
      <c r="G19" s="32">
        <f>IF(road!$E$43&lt;&gt;0,road!$E$43,"  ")</f>
        <v>112300</v>
      </c>
      <c r="H19" s="32">
        <f>IF(road!$E$50&lt;&gt;0,road!$E$50,"  ")</f>
        <v>90022.94000000003</v>
      </c>
      <c r="I19" s="594">
        <f>IF(road!E50&gt;0,ROUND(H19/$G$35*1000,3)," ")</f>
        <v>24.913</v>
      </c>
      <c r="K19" s="669" t="str">
        <f>CONCATENATE("Estimated Value Of One Mill For ",I1,"")</f>
        <v>Estimated Value Of One Mill For 2012</v>
      </c>
      <c r="L19" s="674"/>
      <c r="M19" s="674"/>
      <c r="N19" s="675"/>
    </row>
    <row r="20" spans="2:14" ht="15.75">
      <c r="B20" s="96" t="str">
        <f>IF(inputPrYr!$B19&gt;"  ",inputPrYr!$B19,"  ")</f>
        <v>Cemetery</v>
      </c>
      <c r="C20" s="32">
        <f>IF(levypage9!$C$32&lt;&gt;0,levypage9!$C$32,"  ")</f>
        <v>4000</v>
      </c>
      <c r="D20" s="592">
        <f>IF(inputPrYr!D44&gt;0,inputPrYr!D44,"  ")</f>
        <v>0.87</v>
      </c>
      <c r="E20" s="32">
        <f>IF(levypage9!$D$32&lt;&gt;0,levypage9!$D$32,"  ")</f>
        <v>4000</v>
      </c>
      <c r="F20" s="253">
        <f>IF(inputOth!D20&gt;0,inputOth!D20,"  ")</f>
        <v>1.082</v>
      </c>
      <c r="G20" s="32">
        <f>IF(levypage9!$E$32&lt;&gt;0,levypage9!$E$32,"  ")</f>
        <v>4000</v>
      </c>
      <c r="H20" s="32">
        <f>IF(levypage9!$E$39&lt;&gt;0,levypage9!$E$39,"  ")</f>
        <v>3685.62</v>
      </c>
      <c r="I20" s="594">
        <f>IF(levypage9!E39&gt;0,ROUND(H20/$G$35*1000,3)," ")</f>
        <v>1.02</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747</v>
      </c>
      <c r="L21" s="572"/>
      <c r="M21" s="572"/>
      <c r="N21" s="573">
        <f>ROUND(G35/1000,0)</f>
        <v>3613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27.683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699.4799999999814</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f>IF(road!C64&lt;&gt;0,road!C64,"  ")</f>
        <v>12511.77</v>
      </c>
      <c r="D29" s="531"/>
      <c r="E29" s="593"/>
      <c r="F29" s="531"/>
      <c r="G29" s="593"/>
      <c r="H29" s="593"/>
      <c r="I29" s="531"/>
      <c r="K29" s="582"/>
      <c r="L29" s="582"/>
      <c r="M29" s="582"/>
      <c r="N29" s="582"/>
    </row>
    <row r="30" spans="2:14" ht="15.75">
      <c r="B30" s="83" t="s">
        <v>301</v>
      </c>
      <c r="C30" s="595">
        <f aca="true" t="shared" si="0" ref="C30:I30">SUM(C17:C29)</f>
        <v>107758.86000000002</v>
      </c>
      <c r="D30" s="529">
        <f t="shared" si="0"/>
        <v>23.140000000000004</v>
      </c>
      <c r="E30" s="595">
        <f t="shared" si="0"/>
        <v>105389</v>
      </c>
      <c r="F30" s="529">
        <f t="shared" si="0"/>
        <v>27.683</v>
      </c>
      <c r="G30" s="595">
        <f t="shared" si="0"/>
        <v>126300</v>
      </c>
      <c r="H30" s="595">
        <f t="shared" si="0"/>
        <v>99332.52000000002</v>
      </c>
      <c r="I30" s="598">
        <f t="shared" si="0"/>
        <v>27.489</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107758.86000000002</v>
      </c>
      <c r="D32" s="14"/>
      <c r="E32" s="596">
        <f>E30-E31</f>
        <v>105389</v>
      </c>
      <c r="F32" s="14"/>
      <c r="G32" s="596">
        <f>G30-G31</f>
        <v>126300</v>
      </c>
      <c r="H32" s="14"/>
      <c r="I32" s="14"/>
      <c r="K32" s="575" t="str">
        <f>CONCATENATE("",I1," Ad Valorem Tax Revenue:")</f>
        <v>2012 Ad Valorem Tax Revenue:</v>
      </c>
      <c r="L32" s="569"/>
      <c r="M32" s="569"/>
      <c r="N32" s="570">
        <f>H30</f>
        <v>99332.52000000002</v>
      </c>
    </row>
    <row r="33" spans="2:14" ht="16.5" thickTop="1">
      <c r="B33" s="83" t="s">
        <v>46</v>
      </c>
      <c r="C33" s="597">
        <f>inputPrYr!E52</f>
        <v>87908</v>
      </c>
      <c r="D33" s="62"/>
      <c r="E33" s="597">
        <f>inputPrYr!E25</f>
        <v>94954</v>
      </c>
      <c r="F33" s="14"/>
      <c r="G33" s="588" t="s">
        <v>302</v>
      </c>
      <c r="H33" s="14"/>
      <c r="I33" s="14"/>
      <c r="K33" s="575" t="str">
        <f>CONCATENATE("",I1-1," Ad Valorem Tax Revenue:")</f>
        <v>2011 Ad Valorem Tax Revenue:</v>
      </c>
      <c r="L33" s="569"/>
      <c r="M33" s="569"/>
      <c r="N33" s="583">
        <f>ROUND(G35*N25/1000,0)</f>
        <v>100032</v>
      </c>
    </row>
    <row r="34" spans="2:14" ht="15.75">
      <c r="B34" s="279" t="s">
        <v>47</v>
      </c>
      <c r="C34" s="55"/>
      <c r="D34" s="62"/>
      <c r="E34" s="55"/>
      <c r="F34" s="62"/>
      <c r="G34" s="14"/>
      <c r="H34" s="14"/>
      <c r="I34" s="14"/>
      <c r="K34" s="580" t="s">
        <v>748</v>
      </c>
      <c r="L34" s="581"/>
      <c r="M34" s="581"/>
      <c r="N34" s="573">
        <f>N32-N33</f>
        <v>-699.4799999999814</v>
      </c>
    </row>
    <row r="35" spans="2:14" ht="15.75">
      <c r="B35" s="606" t="s">
        <v>48</v>
      </c>
      <c r="C35" s="31">
        <f>inputPrYr!E53</f>
        <v>3597801</v>
      </c>
      <c r="D35" s="14"/>
      <c r="E35" s="32">
        <f>inputOth!E28</f>
        <v>3340670</v>
      </c>
      <c r="F35" s="14"/>
      <c r="G35" s="32">
        <f>inputOth!E7</f>
        <v>3613496</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27.489</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801</v>
      </c>
      <c r="C40" s="172">
        <f>inputPrYr!D59</f>
        <v>43658</v>
      </c>
      <c r="D40" s="59"/>
      <c r="E40" s="172">
        <f>inputPrYr!E59</f>
        <v>31040</v>
      </c>
      <c r="F40" s="59"/>
      <c r="G40" s="172">
        <f>'debt-lease'!F36</f>
        <v>20126</v>
      </c>
      <c r="H40" s="14"/>
      <c r="I40" s="14"/>
      <c r="K40" s="575" t="str">
        <f>CONCATENATE("",I1," Ad Valorem Tax:")</f>
        <v>2012 Ad Valorem Tax:</v>
      </c>
      <c r="L40" s="569"/>
      <c r="M40" s="569"/>
      <c r="N40" s="583">
        <f>ROUND(G35*N39/1000,0)</f>
        <v>0</v>
      </c>
    </row>
    <row r="41" spans="2:14" ht="16.5" thickBot="1">
      <c r="B41" s="22" t="s">
        <v>52</v>
      </c>
      <c r="C41" s="173">
        <f>SUM(C38:C40)</f>
        <v>43658</v>
      </c>
      <c r="D41" s="59"/>
      <c r="E41" s="173">
        <f>SUM(E38:E40)</f>
        <v>31040</v>
      </c>
      <c r="F41" s="59"/>
      <c r="G41" s="173">
        <f>SUM(G38:G40)</f>
        <v>20126</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Sterling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3613496</v>
      </c>
      <c r="E18" s="14"/>
      <c r="F18" s="140"/>
    </row>
    <row r="19" spans="1:6" ht="15.75">
      <c r="A19" s="14"/>
      <c r="B19" s="14"/>
      <c r="C19" s="14"/>
      <c r="D19" s="14"/>
      <c r="E19" s="14"/>
      <c r="F19" s="140"/>
    </row>
    <row r="20" spans="1:6" ht="15.75">
      <c r="A20" s="14"/>
      <c r="B20" s="682" t="s">
        <v>379</v>
      </c>
      <c r="C20" s="682"/>
      <c r="D20" s="148">
        <f>IF(D18&gt;0,(D18*0.001),"")</f>
        <v>3613.496</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Sterling Township </v>
      </c>
      <c r="I6">
        <f>CONCATENATE(I7)</f>
      </c>
    </row>
    <row r="7" spans="1:7" ht="15.75">
      <c r="A7" s="692" t="str">
        <f>CONCATENATE("   with respect to financing the ",inputPrYr!D5," annual budget for ",(inputPrYr!D2)," , ",(inputPrYr!D3)," , Kansas.")</f>
        <v>   with respect to financing the 2012 annual budget for Sterling Township , Rice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Sterling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Sterling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Sterling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Sterling Township of Rice County, Kansas that is our desire to notify the public of increased property taxes to finance the 2012 Sterling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2nd day of August, ",inputPrYr!D5-1," by the ",(inputPrYr!D2)," Board, ",(inputPrYr!D3),", Kansas.")</f>
        <v>Adopted this 2nd day of August, 2011 by the Sterling Township Board, Rice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Sterling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651</v>
      </c>
      <c r="C6" s="710"/>
      <c r="D6" s="710"/>
      <c r="E6" s="710"/>
      <c r="F6" s="710"/>
      <c r="G6" s="710"/>
      <c r="H6" s="710"/>
      <c r="I6" s="710"/>
      <c r="J6" s="710"/>
      <c r="K6" s="710"/>
      <c r="L6" s="446"/>
    </row>
    <row r="7" spans="1:12" ht="40.5" customHeight="1">
      <c r="A7" s="443"/>
      <c r="B7" s="721" t="s">
        <v>652</v>
      </c>
      <c r="C7" s="722"/>
      <c r="D7" s="722"/>
      <c r="E7" s="722"/>
      <c r="F7" s="722"/>
      <c r="G7" s="722"/>
      <c r="H7" s="722"/>
      <c r="I7" s="722"/>
      <c r="J7" s="722"/>
      <c r="K7" s="722"/>
      <c r="L7" s="443"/>
    </row>
    <row r="8" spans="1:12" ht="14.25">
      <c r="A8" s="443"/>
      <c r="B8" s="718" t="s">
        <v>653</v>
      </c>
      <c r="C8" s="718"/>
      <c r="D8" s="718"/>
      <c r="E8" s="718"/>
      <c r="F8" s="718"/>
      <c r="G8" s="718"/>
      <c r="H8" s="718"/>
      <c r="I8" s="718"/>
      <c r="J8" s="718"/>
      <c r="K8" s="718"/>
      <c r="L8" s="443"/>
    </row>
    <row r="9" spans="1:12" ht="14.25">
      <c r="A9" s="443"/>
      <c r="L9" s="443"/>
    </row>
    <row r="10" spans="1:12" ht="14.25">
      <c r="A10" s="443"/>
      <c r="B10" s="718" t="s">
        <v>654</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655</v>
      </c>
      <c r="C12" s="703"/>
      <c r="D12" s="703"/>
      <c r="E12" s="703"/>
      <c r="F12" s="703"/>
      <c r="G12" s="703"/>
      <c r="H12" s="703"/>
      <c r="I12" s="703"/>
      <c r="J12" s="703"/>
      <c r="K12" s="703"/>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705">
        <v>133685008</v>
      </c>
      <c r="G23" s="705"/>
      <c r="L23" s="443"/>
    </row>
    <row r="24" spans="1:12" ht="14.25">
      <c r="A24" s="443"/>
      <c r="L24" s="443"/>
    </row>
    <row r="25" spans="1:12" ht="14.25">
      <c r="A25" s="443"/>
      <c r="C25" s="719">
        <f>F23</f>
        <v>133685008</v>
      </c>
      <c r="D25" s="719"/>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652</v>
      </c>
      <c r="C30" s="707"/>
      <c r="D30" s="707"/>
      <c r="E30" s="707"/>
      <c r="F30" s="707"/>
      <c r="G30" s="707"/>
      <c r="H30" s="707"/>
      <c r="I30" s="707"/>
      <c r="J30" s="707"/>
      <c r="K30" s="707"/>
      <c r="L30" s="443"/>
    </row>
    <row r="31" spans="1:12" ht="14.25">
      <c r="A31" s="443"/>
      <c r="B31" s="718" t="s">
        <v>666</v>
      </c>
      <c r="C31" s="718"/>
      <c r="D31" s="718"/>
      <c r="E31" s="718"/>
      <c r="F31" s="718"/>
      <c r="G31" s="718"/>
      <c r="H31" s="718"/>
      <c r="I31" s="718"/>
      <c r="J31" s="718"/>
      <c r="K31" s="718"/>
      <c r="L31" s="443"/>
    </row>
    <row r="32" spans="1:12" ht="14.25">
      <c r="A32" s="443"/>
      <c r="L32" s="443"/>
    </row>
    <row r="33" spans="1:12" ht="14.25">
      <c r="A33" s="443"/>
      <c r="B33" s="718" t="s">
        <v>667</v>
      </c>
      <c r="C33" s="718"/>
      <c r="D33" s="718"/>
      <c r="E33" s="718"/>
      <c r="F33" s="718"/>
      <c r="G33" s="718"/>
      <c r="H33" s="718"/>
      <c r="I33" s="718"/>
      <c r="J33" s="718"/>
      <c r="K33" s="718"/>
      <c r="L33" s="443"/>
    </row>
    <row r="34" spans="1:12" ht="14.25">
      <c r="A34" s="443"/>
      <c r="L34" s="443"/>
    </row>
    <row r="35" spans="1:12" ht="89.25" customHeight="1">
      <c r="A35" s="443"/>
      <c r="B35" s="703" t="s">
        <v>668</v>
      </c>
      <c r="C35" s="713"/>
      <c r="D35" s="713"/>
      <c r="E35" s="713"/>
      <c r="F35" s="713"/>
      <c r="G35" s="713"/>
      <c r="H35" s="713"/>
      <c r="I35" s="713"/>
      <c r="J35" s="713"/>
      <c r="K35" s="713"/>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20">
        <v>3120000</v>
      </c>
      <c r="D41" s="720"/>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705">
        <v>133685008</v>
      </c>
      <c r="C48" s="705"/>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14" t="s">
        <v>676</v>
      </c>
      <c r="H50" s="715"/>
      <c r="I50" s="456" t="s">
        <v>662</v>
      </c>
      <c r="J50" s="466">
        <f>B50/F50</f>
        <v>52.8690023342034</v>
      </c>
      <c r="K50" s="458"/>
      <c r="L50" s="443"/>
    </row>
    <row r="51" spans="1:15" ht="15" thickBot="1">
      <c r="A51" s="443"/>
      <c r="B51" s="459"/>
      <c r="C51" s="460"/>
      <c r="D51" s="460"/>
      <c r="E51" s="460"/>
      <c r="F51" s="460"/>
      <c r="G51" s="460"/>
      <c r="H51" s="460"/>
      <c r="I51" s="716" t="s">
        <v>677</v>
      </c>
      <c r="J51" s="716"/>
      <c r="K51" s="717"/>
      <c r="L51" s="443"/>
      <c r="O51" s="467"/>
    </row>
    <row r="52" spans="1:12" ht="40.5" customHeight="1">
      <c r="A52" s="443"/>
      <c r="B52" s="707" t="s">
        <v>652</v>
      </c>
      <c r="C52" s="707"/>
      <c r="D52" s="707"/>
      <c r="E52" s="707"/>
      <c r="F52" s="707"/>
      <c r="G52" s="707"/>
      <c r="H52" s="707"/>
      <c r="I52" s="707"/>
      <c r="J52" s="707"/>
      <c r="K52" s="707"/>
      <c r="L52" s="443"/>
    </row>
    <row r="53" spans="1:12" ht="14.25">
      <c r="A53" s="443"/>
      <c r="B53" s="718" t="s">
        <v>678</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679</v>
      </c>
      <c r="C55" s="702"/>
      <c r="D55" s="702"/>
      <c r="E55" s="702"/>
      <c r="F55" s="702"/>
      <c r="G55" s="702"/>
      <c r="H55" s="702"/>
      <c r="I55" s="702"/>
      <c r="J55" s="702"/>
      <c r="K55" s="702"/>
      <c r="L55" s="443"/>
    </row>
    <row r="56" spans="1:12" ht="15" customHeight="1">
      <c r="A56" s="443"/>
      <c r="L56" s="443"/>
    </row>
    <row r="57" spans="1:24" ht="74.25" customHeight="1">
      <c r="A57" s="443"/>
      <c r="B57" s="703" t="s">
        <v>680</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705">
        <v>133685008</v>
      </c>
      <c r="D74" s="705"/>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705">
        <v>5000</v>
      </c>
      <c r="D77" s="705"/>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705">
        <v>100000</v>
      </c>
      <c r="D80" s="705"/>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6">
        <f>H80</f>
        <v>11500</v>
      </c>
      <c r="D83" s="706"/>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652</v>
      </c>
      <c r="C85" s="707"/>
      <c r="D85" s="707"/>
      <c r="E85" s="707"/>
      <c r="F85" s="707"/>
      <c r="G85" s="707"/>
      <c r="H85" s="707"/>
      <c r="I85" s="707"/>
      <c r="J85" s="707"/>
      <c r="K85" s="707"/>
      <c r="L85" s="443"/>
    </row>
    <row r="86" spans="1:12" ht="14.25">
      <c r="A86" s="443"/>
      <c r="B86" s="702" t="s">
        <v>700</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701</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702</v>
      </c>
      <c r="C90" s="703"/>
      <c r="D90" s="703"/>
      <c r="E90" s="703"/>
      <c r="F90" s="703"/>
      <c r="G90" s="703"/>
      <c r="H90" s="703"/>
      <c r="I90" s="703"/>
      <c r="J90" s="703"/>
      <c r="K90" s="703"/>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705">
        <v>133685008</v>
      </c>
      <c r="D94" s="705"/>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705">
        <v>50000</v>
      </c>
      <c r="D97" s="705"/>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705">
        <v>2500000</v>
      </c>
      <c r="D100" s="705"/>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6">
        <f>H100</f>
        <v>750000</v>
      </c>
      <c r="D103" s="706"/>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652</v>
      </c>
      <c r="C105" s="708"/>
      <c r="D105" s="708"/>
      <c r="E105" s="708"/>
      <c r="F105" s="708"/>
      <c r="G105" s="708"/>
      <c r="H105" s="708"/>
      <c r="I105" s="708"/>
      <c r="J105" s="708"/>
      <c r="K105" s="708"/>
      <c r="L105" s="443"/>
    </row>
    <row r="106" spans="1:12" ht="15" customHeight="1">
      <c r="A106" s="443"/>
      <c r="B106" s="709" t="s">
        <v>704</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705">
        <v>133685008</v>
      </c>
      <c r="D114" s="705"/>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705">
        <v>50000</v>
      </c>
      <c r="D117" s="705"/>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705">
        <v>2500000</v>
      </c>
      <c r="D120" s="705"/>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6">
        <f>H120</f>
        <v>625000</v>
      </c>
      <c r="D123" s="706"/>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652</v>
      </c>
      <c r="C125" s="707"/>
      <c r="D125" s="707"/>
      <c r="E125" s="707"/>
      <c r="F125" s="707"/>
      <c r="G125" s="707"/>
      <c r="H125" s="707"/>
      <c r="I125" s="707"/>
      <c r="J125" s="707"/>
      <c r="K125" s="707"/>
      <c r="L125" s="498"/>
    </row>
    <row r="126" spans="1:12" ht="14.25">
      <c r="A126" s="443"/>
      <c r="B126" s="702" t="s">
        <v>707</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708</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709</v>
      </c>
      <c r="C130" s="703"/>
      <c r="D130" s="703"/>
      <c r="E130" s="703"/>
      <c r="F130" s="703"/>
      <c r="G130" s="703"/>
      <c r="H130" s="703"/>
      <c r="I130" s="703"/>
      <c r="J130" s="703"/>
      <c r="K130" s="703"/>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04" t="s">
        <v>710</v>
      </c>
      <c r="D133" s="704"/>
      <c r="E133" s="455"/>
      <c r="F133" s="456" t="s">
        <v>711</v>
      </c>
      <c r="G133" s="455"/>
      <c r="H133" s="704" t="s">
        <v>696</v>
      </c>
      <c r="I133" s="704"/>
      <c r="J133" s="455"/>
      <c r="K133" s="458"/>
      <c r="L133" s="443"/>
    </row>
    <row r="134" spans="1:12" ht="14.25">
      <c r="A134" s="443"/>
      <c r="B134" s="464" t="s">
        <v>689</v>
      </c>
      <c r="C134" s="705">
        <v>100000</v>
      </c>
      <c r="D134" s="705"/>
      <c r="E134" s="456" t="s">
        <v>302</v>
      </c>
      <c r="F134" s="456">
        <v>0.115</v>
      </c>
      <c r="G134" s="456" t="s">
        <v>662</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696</v>
      </c>
      <c r="D136" s="693"/>
      <c r="E136" s="475"/>
      <c r="F136" s="476" t="s">
        <v>712</v>
      </c>
      <c r="G136" s="476"/>
      <c r="H136" s="475"/>
      <c r="I136" s="475"/>
      <c r="J136" s="475" t="s">
        <v>713</v>
      </c>
      <c r="K136" s="477"/>
      <c r="L136" s="443"/>
    </row>
    <row r="137" spans="1:12" ht="14.25">
      <c r="A137" s="443"/>
      <c r="B137" s="464" t="s">
        <v>692</v>
      </c>
      <c r="C137" s="694">
        <f>H134</f>
        <v>11500</v>
      </c>
      <c r="D137" s="69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716</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694" t="s">
        <v>717</v>
      </c>
      <c r="D147" s="694"/>
      <c r="E147" s="456"/>
      <c r="F147" s="516" t="s">
        <v>718</v>
      </c>
      <c r="G147" s="456"/>
      <c r="H147" s="456"/>
      <c r="I147" s="456"/>
      <c r="J147" s="698" t="s">
        <v>719</v>
      </c>
      <c r="K147" s="699"/>
      <c r="L147" s="443"/>
    </row>
    <row r="148" spans="1:12" ht="14.25">
      <c r="A148" s="443"/>
      <c r="B148" s="464"/>
      <c r="C148" s="700">
        <v>52.869</v>
      </c>
      <c r="D148" s="700"/>
      <c r="E148" s="456" t="s">
        <v>302</v>
      </c>
      <c r="F148" s="521">
        <v>133685008</v>
      </c>
      <c r="G148" s="522" t="s">
        <v>663</v>
      </c>
      <c r="H148" s="456">
        <v>1000</v>
      </c>
      <c r="I148" s="456" t="s">
        <v>662</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D21" sqref="D2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Sterling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3613496</v>
      </c>
    </row>
    <row r="8" spans="1:5" ht="15.75">
      <c r="A8" s="22" t="str">
        <f>CONCATENATE("New Improvements for ",E1-1,"")</f>
        <v>New Improvements for 2011</v>
      </c>
      <c r="B8" s="19"/>
      <c r="C8" s="19"/>
      <c r="D8" s="19"/>
      <c r="E8" s="309">
        <v>17877</v>
      </c>
    </row>
    <row r="9" spans="1:5" ht="15.75">
      <c r="A9" s="22" t="str">
        <f>CONCATENATE("Personal Property excluding oil, gas, and mobile homes - ",E1-1,"")</f>
        <v>Personal Property excluding oil, gas, and mobile homes - 2011</v>
      </c>
      <c r="B9" s="19"/>
      <c r="C9" s="19"/>
      <c r="D9" s="19"/>
      <c r="E9" s="309">
        <v>184550</v>
      </c>
    </row>
    <row r="10" spans="1:5" ht="15.75">
      <c r="A10" s="22" t="str">
        <f>CONCATENATE("Property that has changed in use for ",E1-1,"")</f>
        <v>Property that has changed in use for 2011</v>
      </c>
      <c r="B10" s="19"/>
      <c r="C10" s="19"/>
      <c r="D10" s="19"/>
      <c r="E10" s="309">
        <v>11920</v>
      </c>
    </row>
    <row r="11" spans="1:5" ht="15.75">
      <c r="A11" s="22" t="str">
        <f>CONCATENATE("Personal Property excluding oil, gas, and mobile homes- ",E1-2,"")</f>
        <v>Personal Property excluding oil, gas, and mobile homes- 2010</v>
      </c>
      <c r="B11" s="19"/>
      <c r="C11" s="19"/>
      <c r="D11" s="19"/>
      <c r="E11" s="309">
        <v>179668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23.991</v>
      </c>
      <c r="E17" s="312"/>
    </row>
    <row r="18" spans="1:5" ht="15.75">
      <c r="A18" s="82" t="str">
        <f>inputPrYr!B17</f>
        <v>Debt Service</v>
      </c>
      <c r="B18" s="291"/>
      <c r="C18" s="19"/>
      <c r="D18" s="315"/>
      <c r="E18" s="312"/>
    </row>
    <row r="19" spans="1:5" ht="15.75">
      <c r="A19" s="82" t="str">
        <f>inputPrYr!B18</f>
        <v>Road</v>
      </c>
      <c r="B19" s="291"/>
      <c r="C19" s="19"/>
      <c r="D19" s="315">
        <v>2.61</v>
      </c>
      <c r="E19" s="312"/>
    </row>
    <row r="20" spans="1:5" ht="15.75">
      <c r="A20" s="82" t="str">
        <f>inputPrYr!B19</f>
        <v>Cemetery</v>
      </c>
      <c r="B20" s="291"/>
      <c r="C20" s="19"/>
      <c r="D20" s="315">
        <v>1.082</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27.683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3340670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6572.47</v>
      </c>
    </row>
    <row r="32" spans="1:5" ht="15.75">
      <c r="A32" s="322" t="s">
        <v>289</v>
      </c>
      <c r="B32" s="291"/>
      <c r="C32" s="291"/>
      <c r="D32" s="31"/>
      <c r="E32" s="34">
        <v>377.38</v>
      </c>
    </row>
    <row r="33" spans="1:5" ht="15.75">
      <c r="A33" s="322" t="s">
        <v>165</v>
      </c>
      <c r="B33" s="291"/>
      <c r="C33" s="291"/>
      <c r="D33" s="31"/>
      <c r="E33" s="34">
        <v>97.25</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3276.83</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10000</v>
      </c>
      <c r="C46" s="328" t="s">
        <v>222</v>
      </c>
      <c r="D46" s="329"/>
      <c r="E46" s="329"/>
    </row>
    <row r="47" spans="1:5" ht="15.75">
      <c r="A47" s="330" t="str">
        <f>inputPrYr!B17</f>
        <v>Debt Service</v>
      </c>
      <c r="B47" s="36"/>
      <c r="C47" s="328"/>
      <c r="D47" s="329"/>
      <c r="E47" s="329"/>
    </row>
    <row r="48" spans="1:5" ht="15.75">
      <c r="A48" s="330" t="str">
        <f>inputPrYr!B18</f>
        <v>Road</v>
      </c>
      <c r="B48" s="36">
        <v>91700</v>
      </c>
      <c r="C48" s="151"/>
      <c r="D48" s="151"/>
      <c r="E48" s="151"/>
    </row>
    <row r="49" spans="1:5" ht="15.75">
      <c r="A49" s="330" t="str">
        <f>inputPrYr!B19</f>
        <v>Cemetery</v>
      </c>
      <c r="B49" s="36">
        <v>4000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3" ht="15.75">
      <c r="A3" s="91" t="s">
        <v>808</v>
      </c>
    </row>
    <row r="5" ht="15.75">
      <c r="A5" s="401" t="s">
        <v>779</v>
      </c>
    </row>
    <row r="6" ht="15.75">
      <c r="A6" s="605" t="s">
        <v>780</v>
      </c>
    </row>
    <row r="7" ht="15.75">
      <c r="A7" s="605" t="s">
        <v>781</v>
      </c>
    </row>
    <row r="8" ht="31.5">
      <c r="A8" s="604" t="s">
        <v>782</v>
      </c>
    </row>
    <row r="9" ht="15.75">
      <c r="A9" s="605" t="s">
        <v>783</v>
      </c>
    </row>
    <row r="10" ht="15.75">
      <c r="A10" s="605" t="s">
        <v>784</v>
      </c>
    </row>
    <row r="11" ht="15.75">
      <c r="A11" s="605" t="s">
        <v>785</v>
      </c>
    </row>
    <row r="12" ht="15.75">
      <c r="A12" s="605" t="s">
        <v>786</v>
      </c>
    </row>
    <row r="13" ht="15.75">
      <c r="A13" s="605" t="s">
        <v>787</v>
      </c>
    </row>
    <row r="14" ht="15.75">
      <c r="A14" s="605" t="s">
        <v>788</v>
      </c>
    </row>
    <row r="15" ht="15.75">
      <c r="A15" s="605" t="s">
        <v>789</v>
      </c>
    </row>
    <row r="16" ht="15.75">
      <c r="A16" s="605" t="s">
        <v>790</v>
      </c>
    </row>
    <row r="17" ht="15.75">
      <c r="A17" s="605" t="s">
        <v>791</v>
      </c>
    </row>
    <row r="18" ht="15.75">
      <c r="A18" s="605" t="s">
        <v>802</v>
      </c>
    </row>
    <row r="19" ht="15.75">
      <c r="A19" s="605" t="s">
        <v>792</v>
      </c>
    </row>
    <row r="20" ht="15.75">
      <c r="A20" s="605" t="s">
        <v>793</v>
      </c>
    </row>
    <row r="21" ht="15.75">
      <c r="A21" s="605" t="s">
        <v>794</v>
      </c>
    </row>
    <row r="22" ht="15.75">
      <c r="A22" s="605" t="s">
        <v>795</v>
      </c>
    </row>
    <row r="23" ht="15.75">
      <c r="A23" s="605" t="s">
        <v>796</v>
      </c>
    </row>
    <row r="24" ht="15.75">
      <c r="A24" s="605" t="s">
        <v>797</v>
      </c>
    </row>
    <row r="25" ht="15.75">
      <c r="A25" s="605" t="s">
        <v>798</v>
      </c>
    </row>
    <row r="26" ht="15.75">
      <c r="A26" s="605" t="s">
        <v>799</v>
      </c>
    </row>
    <row r="27" ht="15.75">
      <c r="A27" s="605" t="s">
        <v>800</v>
      </c>
    </row>
    <row r="28" ht="15.75">
      <c r="A28" s="605" t="s">
        <v>805</v>
      </c>
    </row>
    <row r="30" ht="15.75">
      <c r="A30" s="401" t="s">
        <v>643</v>
      </c>
    </row>
    <row r="31" ht="39" customHeight="1">
      <c r="A31" s="360" t="s">
        <v>644</v>
      </c>
    </row>
    <row r="32" ht="23.25" customHeight="1"/>
    <row r="33" ht="15.75">
      <c r="A33" s="401" t="s">
        <v>639</v>
      </c>
    </row>
    <row r="34" ht="15.75">
      <c r="A34" s="91" t="s">
        <v>640</v>
      </c>
    </row>
    <row r="35" ht="15.75">
      <c r="A35" s="91" t="s">
        <v>641</v>
      </c>
    </row>
    <row r="36" ht="15.75">
      <c r="A36" s="91" t="s">
        <v>642</v>
      </c>
    </row>
    <row r="38" ht="15.75">
      <c r="A38" s="404" t="s">
        <v>628</v>
      </c>
    </row>
    <row r="39" ht="15.75">
      <c r="A39" s="91" t="s">
        <v>638</v>
      </c>
    </row>
    <row r="41" ht="15.75">
      <c r="A41" s="401" t="s">
        <v>602</v>
      </c>
    </row>
    <row r="42" ht="15.75">
      <c r="A42" s="402" t="s">
        <v>603</v>
      </c>
    </row>
    <row r="43" ht="15.75">
      <c r="A43" s="402" t="s">
        <v>604</v>
      </c>
    </row>
    <row r="44" ht="15.75">
      <c r="A44" s="402" t="s">
        <v>605</v>
      </c>
    </row>
    <row r="45" ht="15.75">
      <c r="A45" s="400" t="s">
        <v>606</v>
      </c>
    </row>
    <row r="47" ht="15.75">
      <c r="A47" s="373" t="s">
        <v>329</v>
      </c>
    </row>
    <row r="48" ht="15.75">
      <c r="A48" s="91" t="s">
        <v>331</v>
      </c>
    </row>
    <row r="49" ht="15.75">
      <c r="A49" s="91" t="s">
        <v>332</v>
      </c>
    </row>
    <row r="50" ht="15.75">
      <c r="A50" s="91" t="s">
        <v>333</v>
      </c>
    </row>
    <row r="51" ht="15.75">
      <c r="A51" s="91" t="s">
        <v>334</v>
      </c>
    </row>
    <row r="52" ht="15.75">
      <c r="A52" s="91" t="s">
        <v>335</v>
      </c>
    </row>
    <row r="53" ht="15.75">
      <c r="A53" s="91" t="s">
        <v>336</v>
      </c>
    </row>
    <row r="54" ht="15.75">
      <c r="A54" s="91" t="s">
        <v>351</v>
      </c>
    </row>
    <row r="55" ht="15.75">
      <c r="A55" s="91" t="s">
        <v>352</v>
      </c>
    </row>
    <row r="56" ht="15.75">
      <c r="A56" s="91" t="s">
        <v>353</v>
      </c>
    </row>
    <row r="57" ht="15.75">
      <c r="A57" s="91" t="s">
        <v>354</v>
      </c>
    </row>
    <row r="58" ht="15.75">
      <c r="A58" s="91" t="s">
        <v>370</v>
      </c>
    </row>
    <row r="59" ht="31.5">
      <c r="A59" s="360" t="s">
        <v>371</v>
      </c>
    </row>
    <row r="60" ht="15.75">
      <c r="A60" s="360" t="s">
        <v>380</v>
      </c>
    </row>
    <row r="61" ht="15.75">
      <c r="A61" s="375" t="s">
        <v>383</v>
      </c>
    </row>
    <row r="62" ht="15.75">
      <c r="A62" s="376" t="s">
        <v>384</v>
      </c>
    </row>
    <row r="64" ht="15.75">
      <c r="A64" s="373" t="s">
        <v>324</v>
      </c>
    </row>
    <row r="65" ht="15.75">
      <c r="A65" s="91" t="s">
        <v>325</v>
      </c>
    </row>
    <row r="66" ht="15.75">
      <c r="A66" s="91" t="s">
        <v>326</v>
      </c>
    </row>
    <row r="68" ht="15.75">
      <c r="A68" s="373" t="s">
        <v>322</v>
      </c>
    </row>
    <row r="69" ht="15.75">
      <c r="A69" s="91" t="s">
        <v>323</v>
      </c>
    </row>
    <row r="71" ht="15.75">
      <c r="A71" s="373" t="s">
        <v>320</v>
      </c>
    </row>
    <row r="72" ht="15.75">
      <c r="A72" s="91" t="s">
        <v>321</v>
      </c>
    </row>
    <row r="74" ht="15.75">
      <c r="A74" s="373" t="s">
        <v>317</v>
      </c>
    </row>
    <row r="75" ht="15.75">
      <c r="A75" s="91" t="s">
        <v>318</v>
      </c>
    </row>
    <row r="76" ht="15.75">
      <c r="A76" s="91" t="s">
        <v>319</v>
      </c>
    </row>
    <row r="78" ht="15.75">
      <c r="A78" s="91" t="s">
        <v>313</v>
      </c>
    </row>
    <row r="79" ht="15.75">
      <c r="A79" s="91" t="s">
        <v>314</v>
      </c>
    </row>
    <row r="80" ht="15.75">
      <c r="A80" s="91" t="s">
        <v>315</v>
      </c>
    </row>
    <row r="81" ht="15.75">
      <c r="A81" s="91" t="s">
        <v>316</v>
      </c>
    </row>
    <row r="83" ht="15.75">
      <c r="A83" s="91" t="s">
        <v>309</v>
      </c>
    </row>
    <row r="84" ht="15.75">
      <c r="A84" s="91" t="s">
        <v>310</v>
      </c>
    </row>
    <row r="85" ht="15.75">
      <c r="A85" s="91" t="s">
        <v>311</v>
      </c>
    </row>
    <row r="87" ht="15.75">
      <c r="A87" s="91" t="s">
        <v>307</v>
      </c>
    </row>
    <row r="88" ht="34.5" customHeight="1">
      <c r="A88" s="91" t="s">
        <v>308</v>
      </c>
    </row>
    <row r="90" ht="15.75">
      <c r="A90" s="91" t="s">
        <v>262</v>
      </c>
    </row>
    <row r="91" ht="15.75">
      <c r="A91" s="91" t="s">
        <v>263</v>
      </c>
    </row>
    <row r="92" ht="31.5">
      <c r="A92" s="360" t="s">
        <v>279</v>
      </c>
    </row>
    <row r="93" ht="15.75">
      <c r="A93" s="91" t="s">
        <v>264</v>
      </c>
    </row>
    <row r="94" ht="15.75">
      <c r="A94" s="91" t="s">
        <v>265</v>
      </c>
    </row>
    <row r="95" ht="15.75">
      <c r="A95" s="91" t="s">
        <v>266</v>
      </c>
    </row>
    <row r="96" ht="15.75">
      <c r="A96" s="91" t="s">
        <v>267</v>
      </c>
    </row>
    <row r="97" ht="31.5">
      <c r="A97" s="360" t="s">
        <v>247</v>
      </c>
    </row>
    <row r="98" ht="31.5">
      <c r="A98" s="360" t="s">
        <v>275</v>
      </c>
    </row>
    <row r="99" ht="31.5">
      <c r="A99" s="360" t="s">
        <v>268</v>
      </c>
    </row>
    <row r="100" ht="15.75">
      <c r="A100" s="360" t="s">
        <v>269</v>
      </c>
    </row>
    <row r="101" ht="31.5">
      <c r="A101" s="360" t="s">
        <v>270</v>
      </c>
    </row>
    <row r="102" ht="33.75" customHeight="1">
      <c r="A102" s="91" t="s">
        <v>271</v>
      </c>
    </row>
    <row r="103" ht="26.25" customHeight="1">
      <c r="A103" s="91" t="s">
        <v>272</v>
      </c>
    </row>
    <row r="104" ht="33.75" customHeight="1">
      <c r="A104" s="91" t="s">
        <v>273</v>
      </c>
    </row>
    <row r="105" ht="30.75" customHeight="1">
      <c r="A105" s="91" t="s">
        <v>278</v>
      </c>
    </row>
    <row r="106" ht="21" customHeight="1">
      <c r="A106" s="360" t="s">
        <v>276</v>
      </c>
    </row>
    <row r="107" ht="38.25" customHeight="1">
      <c r="A107" s="360" t="s">
        <v>241</v>
      </c>
    </row>
    <row r="108" ht="33.75" customHeight="1">
      <c r="A108" s="360" t="s">
        <v>248</v>
      </c>
    </row>
    <row r="109" ht="33.75" customHeight="1">
      <c r="A109" s="360" t="s">
        <v>242</v>
      </c>
    </row>
    <row r="110" ht="33.75" customHeight="1">
      <c r="A110" s="360" t="s">
        <v>243</v>
      </c>
    </row>
    <row r="111" ht="33.75" customHeight="1">
      <c r="A111" s="360" t="s">
        <v>244</v>
      </c>
    </row>
    <row r="112" ht="31.5">
      <c r="A112" s="360" t="s">
        <v>245</v>
      </c>
    </row>
    <row r="113" ht="31.5">
      <c r="A113" s="360" t="s">
        <v>249</v>
      </c>
    </row>
    <row r="114" ht="31.5">
      <c r="A114" s="360" t="s">
        <v>246</v>
      </c>
    </row>
    <row r="115" ht="31.5">
      <c r="A115" s="360" t="s">
        <v>250</v>
      </c>
    </row>
    <row r="116" ht="15.75">
      <c r="A116" s="360" t="s">
        <v>256</v>
      </c>
    </row>
    <row r="118" ht="15.75">
      <c r="A118" s="91" t="s">
        <v>196</v>
      </c>
    </row>
    <row r="119" ht="47.25">
      <c r="A119" s="360" t="s">
        <v>251</v>
      </c>
    </row>
    <row r="120" ht="15.75">
      <c r="A120" s="91" t="s">
        <v>197</v>
      </c>
    </row>
    <row r="121" ht="15.75">
      <c r="A121" s="91" t="s">
        <v>201</v>
      </c>
    </row>
    <row r="122" ht="15.75">
      <c r="A122" s="91" t="s">
        <v>202</v>
      </c>
    </row>
    <row r="123" ht="15.75">
      <c r="A123" s="91" t="s">
        <v>198</v>
      </c>
    </row>
    <row r="124" ht="15.75">
      <c r="A124" s="91" t="s">
        <v>199</v>
      </c>
    </row>
    <row r="125" ht="15.75">
      <c r="A125" s="91" t="s">
        <v>200</v>
      </c>
    </row>
    <row r="126" ht="15.75">
      <c r="A126" s="360" t="s">
        <v>203</v>
      </c>
    </row>
    <row r="127" ht="15.75">
      <c r="A127" s="91" t="s">
        <v>204</v>
      </c>
    </row>
    <row r="128" ht="15.75">
      <c r="A128" s="91" t="s">
        <v>205</v>
      </c>
    </row>
    <row r="129" ht="15.75">
      <c r="A129" s="91" t="s">
        <v>252</v>
      </c>
    </row>
    <row r="130" ht="15.75">
      <c r="A130" s="91" t="s">
        <v>206</v>
      </c>
    </row>
    <row r="131" ht="15.75">
      <c r="A131" s="91" t="s">
        <v>253</v>
      </c>
    </row>
    <row r="132" ht="15.75">
      <c r="A132" s="91" t="s">
        <v>207</v>
      </c>
    </row>
    <row r="133" ht="15.75">
      <c r="A133" s="91" t="s">
        <v>254</v>
      </c>
    </row>
    <row r="134" ht="15.75">
      <c r="A134" s="91" t="s">
        <v>208</v>
      </c>
    </row>
    <row r="135" ht="15.75">
      <c r="A135" s="91" t="s">
        <v>212</v>
      </c>
    </row>
    <row r="136" ht="15.75">
      <c r="A136" s="91" t="s">
        <v>255</v>
      </c>
    </row>
    <row r="137" ht="15.75">
      <c r="A137" s="91" t="s">
        <v>230</v>
      </c>
    </row>
    <row r="138" ht="15.75">
      <c r="A138" s="91" t="s">
        <v>231</v>
      </c>
    </row>
    <row r="139" ht="15.75">
      <c r="A139" s="91" t="s">
        <v>232</v>
      </c>
    </row>
    <row r="140" ht="15.75">
      <c r="A140" s="91" t="s">
        <v>216</v>
      </c>
    </row>
    <row r="141" ht="15.75">
      <c r="A141" s="91" t="s">
        <v>217</v>
      </c>
    </row>
    <row r="142" ht="15.75">
      <c r="A142" s="91" t="s">
        <v>218</v>
      </c>
    </row>
    <row r="143" ht="15.75">
      <c r="A143" s="91" t="s">
        <v>227</v>
      </c>
    </row>
    <row r="144" ht="15.75">
      <c r="A144" s="91" t="s">
        <v>228</v>
      </c>
    </row>
    <row r="145" ht="15.75">
      <c r="A145" s="91" t="s">
        <v>229</v>
      </c>
    </row>
    <row r="146" ht="15.75">
      <c r="A146" s="91" t="s">
        <v>240</v>
      </c>
    </row>
    <row r="147" ht="15.75">
      <c r="A147"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819</v>
      </c>
      <c r="C5" s="387"/>
      <c r="D5" s="384" t="s">
        <v>804</v>
      </c>
      <c r="E5" s="383"/>
      <c r="F5" s="383"/>
    </row>
    <row r="6" spans="1:6" ht="15.75">
      <c r="A6" s="384"/>
      <c r="B6" s="388"/>
      <c r="C6" s="389"/>
      <c r="D6" s="384" t="s">
        <v>803</v>
      </c>
      <c r="E6" s="383"/>
      <c r="F6" s="383"/>
    </row>
    <row r="7" spans="1:6" ht="15.75">
      <c r="A7" s="384" t="s">
        <v>387</v>
      </c>
      <c r="B7" s="386" t="s">
        <v>820</v>
      </c>
      <c r="C7" s="390"/>
      <c r="D7" s="384"/>
      <c r="E7" s="383"/>
      <c r="F7" s="383"/>
    </row>
    <row r="8" spans="1:6" ht="15.75">
      <c r="A8" s="384"/>
      <c r="B8" s="384"/>
      <c r="C8" s="384"/>
      <c r="D8" s="384"/>
      <c r="E8" s="383"/>
      <c r="F8" s="383"/>
    </row>
    <row r="9" spans="1:6" ht="15.75">
      <c r="A9" s="384" t="s">
        <v>388</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822</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A1" sqref="A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Sterling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751</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10000</v>
      </c>
      <c r="F20" s="172">
        <f>IF(gen!$E$57&lt;&gt;0,gen!$E$57,0)</f>
        <v>5623.959999999999</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112300</v>
      </c>
      <c r="F22" s="172">
        <f>IF(road!$E$50&lt;&gt;0,road!$E$50,"  ")</f>
        <v>90022.94000000003</v>
      </c>
      <c r="G22" s="168" t="str">
        <f>IF(AND(road!E50=0,$C$38&gt;=0)," ",IF(AND(F22&gt;0,$C$38=0)," ",IF(AND(F22&gt;0,$C$38&gt;0),ROUND(F22/$C$38*1000,3))))</f>
        <v> </v>
      </c>
    </row>
    <row r="23" spans="2:7" s="14" customFormat="1" ht="15.75">
      <c r="B23" s="96" t="str">
        <f>IF(inputPrYr!$B19&gt;"  ",inputPrYr!$B19,"  ")</f>
        <v>Cemetery</v>
      </c>
      <c r="C23" s="284" t="str">
        <f>IF(inputPrYr!C19&gt;0,inputPrYr!C19,"  ")</f>
        <v>  </v>
      </c>
      <c r="D23" s="285" t="str">
        <f>IF(levypage9!C77&gt;0,levypage9!C77,"  ")</f>
        <v>  </v>
      </c>
      <c r="E23" s="172">
        <f>IF(levypage9!$E$32&lt;&gt;0,levypage9!$E$32,"  ")</f>
        <v>4000</v>
      </c>
      <c r="F23" s="172">
        <f>IF(levypage9!$E$39&lt;&gt;0,levypage9!$E$39,"  ")</f>
        <v>3685.62</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126300</v>
      </c>
      <c r="F33" s="292">
        <f>SUM(F20:F28)</f>
        <v>99332.52000000002</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Yes</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Sterling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94954</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94954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17877</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184550</v>
      </c>
      <c r="F14" s="270"/>
      <c r="G14" s="55"/>
      <c r="H14" s="55"/>
      <c r="I14" s="53"/>
      <c r="J14" s="55"/>
    </row>
    <row r="15" spans="1:10" ht="15.75">
      <c r="A15" s="269"/>
      <c r="B15" s="14" t="s">
        <v>91</v>
      </c>
      <c r="C15" s="14" t="str">
        <f>CONCATENATE("Personal Property ",J1-2,"")</f>
        <v>Personal Property 2010</v>
      </c>
      <c r="D15" s="269" t="s">
        <v>86</v>
      </c>
      <c r="E15" s="273">
        <f>inputOth!E11</f>
        <v>179668</v>
      </c>
      <c r="F15" s="270"/>
      <c r="G15" s="53"/>
      <c r="H15" s="53"/>
      <c r="I15" s="55"/>
      <c r="J15" s="55"/>
    </row>
    <row r="16" spans="1:10" ht="15.75">
      <c r="A16" s="269"/>
      <c r="B16" s="14" t="s">
        <v>92</v>
      </c>
      <c r="C16" s="14" t="s">
        <v>112</v>
      </c>
      <c r="D16" s="14"/>
      <c r="E16" s="55"/>
      <c r="F16" s="55" t="s">
        <v>15</v>
      </c>
      <c r="G16" s="271">
        <f>IF(E14&gt;E15,E14-E15,0)</f>
        <v>4882</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11920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34679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3613496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3578817</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0.00969007356341495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920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95874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95874</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Sterling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8951</v>
      </c>
      <c r="E11" s="253">
        <f>IF(inputOth!D17&gt;0,inputOth!D17,"  ")</f>
        <v>23.991</v>
      </c>
      <c r="F11" s="254"/>
      <c r="G11" s="96">
        <f>IF(inputPrYr!E16=0,0,G22-SUM(G12:G19))</f>
        <v>619.4700000000003</v>
      </c>
      <c r="H11" s="255"/>
      <c r="I11" s="96">
        <f>IF(inputPrYr!E16=0,0,I24-SUM(I12:I19))</f>
        <v>35.379999999999995</v>
      </c>
      <c r="J11" s="96">
        <f>IF(inputPrYr!E16=0,0,J26-SUM(J12:J19))</f>
        <v>9.25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82293</v>
      </c>
      <c r="E13" s="253">
        <f>IF(inputOth!D19&gt;0,inputOth!D19,"  ")</f>
        <v>2.61</v>
      </c>
      <c r="F13" s="254"/>
      <c r="G13" s="96">
        <f>IF(inputPrYr!E18=0,0,ROUND(D13*$G$30,0))</f>
        <v>5696</v>
      </c>
      <c r="H13" s="255"/>
      <c r="I13" s="96">
        <f>IF(inputPrYr!$E$18=0,0,ROUND($D$13*$I$32,0))</f>
        <v>327</v>
      </c>
      <c r="J13" s="96">
        <f>IF(inputPrYr!E18=0,0,ROUND($D13*$J$34,0))</f>
        <v>84</v>
      </c>
      <c r="K13" s="96">
        <f>IF(inputPrYr!E18=0,0,ROUND($D13*$K$36,0))</f>
        <v>0</v>
      </c>
      <c r="L13" s="256" t="e">
        <f>IF(inputOth!D19&gt;0,ROUND(E13*#REF!*-1,0),"")</f>
        <v>#REF!</v>
      </c>
    </row>
    <row r="14" spans="2:12" ht="15.75">
      <c r="B14" s="96" t="str">
        <f>IF(inputPrYr!$B19&gt;"  ",inputPrYr!$B19,"  ")</f>
        <v>Cemetery</v>
      </c>
      <c r="C14" s="252"/>
      <c r="D14" s="96">
        <f>IF(inputPrYr!E19&gt;=0,inputPrYr!E19,"  ")</f>
        <v>3710</v>
      </c>
      <c r="E14" s="253">
        <f>IF(inputOth!D20&gt;0,inputOth!D20,"  ")</f>
        <v>1.082</v>
      </c>
      <c r="F14" s="254"/>
      <c r="G14" s="96">
        <f>IF(inputPrYr!E19=0,0,ROUND(D14*$G$30,0))</f>
        <v>257</v>
      </c>
      <c r="H14" s="255"/>
      <c r="I14" s="96">
        <f>IF(inputPrYr!$E$19=0,0,ROUND($D$14*$I$32,0))</f>
        <v>15</v>
      </c>
      <c r="J14" s="96">
        <f>IF(inputPrYr!E19=0,0,ROUND($D14*$J$34,0))</f>
        <v>4</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94954</v>
      </c>
      <c r="E20" s="259">
        <f>SUM(E11:E19)</f>
        <v>27.683</v>
      </c>
      <c r="F20" s="260"/>
      <c r="G20" s="258">
        <f>SUM(G11:G19)</f>
        <v>6572.47</v>
      </c>
      <c r="H20" s="258"/>
      <c r="I20" s="258">
        <f>SUM(I11:I19)</f>
        <v>377.38</v>
      </c>
      <c r="J20" s="258">
        <f>SUM(J11:J19)</f>
        <v>97.25</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6572.47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377.38</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97.25</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0.06921741053562779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0.0039743454725446005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0.0010241801293257788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Sterling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2011-08-02T13:05:08Z</cp:lastPrinted>
  <dcterms:created xsi:type="dcterms:W3CDTF">1998-08-26T16:30:41Z</dcterms:created>
  <dcterms:modified xsi:type="dcterms:W3CDTF">2011-08-02T13:17:07Z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