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<sst xmlns="http://schemas.openxmlformats.org/spreadsheetml/2006/main" count="1371" uniqueCount="818">
  <si>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</si>
  <si>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</si>
  <si>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</si>
  <si>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</si>
  <si>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</si>
  <si>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</si>
  <si>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</si>
  <si>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</si>
  <si>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</si>
  <si>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</si>
  <si>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</si>
  <si>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</si>
  <si>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</si>
  <si>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</si>
  <si>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</si>
  <si>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</si>
  <si>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</si>
  <si>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</si>
  <si>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</si>
  <si>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</si>
  <si>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</si>
  <si>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</si>
  <si>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</si>
  <si>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</si>
  <si>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</si>
  <si>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</si>
  <si>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</si>
  <si>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</si>
  <si>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</si>
  <si>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</si>
  <si>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</si>
  <si>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</si>
  <si>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</si>
  <si>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</si>
  <si>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</si>
  <si>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</si>
  <si>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</si>
  <si>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</si>
  <si>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</si>
  <si>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</si>
  <si>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</si>
  <si>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</si>
  <si>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</si>
  <si>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</si>
  <si>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</si>
  <si>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</si>
  <si>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</si>
  <si>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</si>
  <si>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</si>
  <si>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</si>
  <si>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</si>
  <si>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</si>
  <si>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</si>
  <si>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</si>
  <si>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</si>
  <si>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</si>
  <si>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</si>
  <si>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</si>
  <si>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</si>
  <si>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</si>
  <si>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</si>
  <si>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</si>
  <si>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</si>
  <si>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</si>
  <si>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</si>
  <si>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</si>
  <si>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</si>
  <si>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</si>
  <si>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</si>
  <si>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</si>
  <si>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</si>
  <si>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</si>
  <si>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</si>
  <si>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</si>
  <si>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</si>
  <si>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</si>
  <si>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</si>
  <si>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</si>
  <si>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</si>
  <si>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</si>
  <si>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</si>
  <si>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</si>
  <si>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</si>
  <si>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</si>
  <si>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</si>
  <si>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</si>
  <si>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</si>
  <si>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</si>
  <si>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</si>
  <si>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</si>
  <si>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</si>
  <si>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</si>
  <si>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</si>
  <si>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</si>
  <si>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</si>
  <si>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</si>
  <si>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</si>
  <si>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</si>
  <si>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</si>
  <si>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</si>
  <si>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</si>
  <si>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</si>
  <si>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</si>
  <si>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</si>
  <si>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</si>
  <si>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</si>
  <si>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</si>
  <si>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</si>
  <si>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</si>
  <si>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</si>
  <si>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</si>
  <si>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</si>
  <si>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</si>
  <si>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</si>
  <si>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</si>
  <si>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</si>
  <si>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</si>
  <si>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</si>
  <si>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</si>
  <si>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</si>
  <si>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</si>
  <si>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</si>
  <si>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</si>
  <si>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</si>
  <si>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</si>
  <si>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</si>
  <si>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</si>
  <si>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</si>
  <si>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</si>
  <si>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</si>
  <si>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</si>
  <si>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</si>
  <si>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</si>
  <si>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</si>
  <si>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</si>
  <si>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</si>
  <si>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</si>
  <si>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</si>
  <si>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</si>
  <si>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</si>
  <si>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</si>
  <si>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</si>
  <si>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</si>
  <si>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</si>
  <si>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</si>
  <si>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</si>
  <si>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</si>
  <si>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</si>
  <si>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</si>
  <si>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</si>
  <si>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</si>
  <si>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</si>
  <si>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</si>
  <si>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</si>
  <si>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</si>
  <si>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</si>
  <si>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</si>
  <si>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</si>
  <si>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</si>
  <si>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</si>
  <si>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</si>
  <si>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</si>
  <si>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</si>
  <si>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</si>
  <si>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</si>
  <si>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</si>
  <si>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</si>
  <si>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</si>
  <si>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</si>
  <si>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</si>
  <si>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</si>
  <si>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</si>
  <si>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</si>
  <si>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</si>
  <si>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</si>
  <si>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</si>
  <si>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</si>
  <si>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</si>
  <si>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</si>
  <si>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</si>
  <si>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</si>
  <si>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</si>
  <si>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</si>
  <si>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</si>
  <si>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</si>
  <si>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</si>
  <si>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</si>
  <si>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</si>
  <si>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</si>
  <si>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</si>
  <si>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</si>
  <si>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</si>
  <si>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</si>
  <si>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</si>
  <si>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</si>
  <si>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</si>
  <si>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</si>
  <si>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</si>
  <si>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</si>
  <si>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</si>
  <si>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</si>
  <si>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</si>
  <si>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</si>
  <si>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</si>
  <si>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</si>
  <si>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</si>
  <si>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</si>
  <si>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</si>
  <si>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</si>
  <si>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</si>
  <si>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</si>
  <si>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</si>
  <si>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</si>
  <si>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</si>
  <si>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</si>
  <si>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</si>
  <si>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</si>
  <si>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</si>
  <si>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</si>
  <si>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</si>
  <si>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</si>
  <si>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</si>
  <si>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</si>
  <si>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</si>
  <si>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</si>
  <si>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</si>
  <si>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</si>
  <si>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</si>
  <si>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</si>
  <si>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</si>
  <si>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</si>
  <si>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</si>
  <si>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</si>
  <si>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</si>
  <si>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</si>
  <si>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</si>
  <si>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</si>
  <si>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</si>
  <si>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</si>
  <si>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</si>
  <si>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</si>
  <si>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</si>
  <si>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</si>
  <si>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</si>
  <si>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</si>
  <si>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</si>
  <si>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</si>
  <si>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</si>
  <si>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</si>
  <si>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</si>
  <si>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</si>
  <si>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</si>
  <si>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</si>
  <si>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</si>
  <si>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</si>
  <si>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</si>
  <si>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</si>
  <si>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</si>
  <si>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</si>
  <si>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</si>
  <si>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</si>
  <si>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</si>
  <si>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</si>
  <si>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</si>
  <si>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</si>
  <si>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</si>
  <si>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</si>
  <si>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</si>
  <si>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</si>
  <si>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</si>
  <si>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</si>
  <si>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</si>
  <si>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</si>
  <si>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</si>
  <si>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</si>
  <si>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</si>
  <si>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</si>
  <si>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</si>
  <si>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</si>
  <si>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</si>
  <si>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</si>
  <si>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</si>
  <si>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</si>
  <si>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</si>
  <si>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</si>
  <si>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</si>
  <si>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</si>
  <si>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</si>
  <si>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</si>
  <si>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</si>
  <si>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</si>
  <si>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</si>
  <si>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</si>
  <si>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</si>
  <si>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</si>
  <si>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</si>
  <si>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</si>
  <si>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</si>
  <si>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</si>
  <si>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</si>
  <si>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</si>
  <si>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</si>
  <si>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</si>
  <si>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</si>
  <si>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</si>
  <si>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</si>
  <si>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</si>
  <si>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</si>
  <si>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</si>
  <si>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</si>
  <si>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</si>
  <si>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</si>
  <si>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</si>
  <si>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</si>
  <si>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</si>
  <si>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</si>
  <si>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</si>
  <si>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</si>
  <si>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</si>
  <si>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</si>
  <si>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</si>
  <si>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</si>
  <si>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</si>
  <si>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</si>
  <si>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</si>
  <si>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</si>
  <si>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</si>
  <si>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</si>
  <si>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</si>
  <si>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</si>
  <si>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</si>
  <si>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</si>
  <si>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</si>
  <si>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</si>
  <si>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</si>
  <si>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</si>
  <si>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</si>
  <si>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</si>
  <si>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</si>
  <si>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</si>
  <si>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</si>
  <si>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</si>
  <si>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</si>
  <si>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</si>
  <si>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</si>
  <si>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</si>
  <si>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</si>
  <si>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</si>
  <si>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</si>
  <si>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</si>
  <si>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</si>
  <si>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</si>
  <si>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</si>
  <si>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</si>
  <si>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</si>
  <si>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</si>
  <si>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</si>
  <si>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</si>
  <si>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</si>
  <si>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</si>
  <si>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</si>
  <si>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</si>
  <si>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</si>
  <si>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</si>
  <si>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</si>
  <si>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</si>
  <si>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</si>
  <si>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</si>
  <si>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</si>
  <si>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</si>
  <si>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</si>
  <si>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</si>
  <si>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</si>
  <si>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</si>
  <si>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</si>
  <si>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</si>
  <si>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</si>
  <si>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</si>
  <si>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</si>
  <si>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</si>
  <si>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</si>
  <si>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</si>
  <si>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</si>
  <si>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</si>
  <si>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</si>
  <si>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</si>
  <si>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</si>
  <si>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</si>
  <si>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</si>
  <si>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</si>
  <si>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</si>
  <si>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</si>
  <si>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</si>
  <si>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</si>
  <si>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</si>
  <si>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</si>
  <si>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</si>
  <si>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</si>
  <si>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</si>
  <si>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</si>
  <si>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</si>
  <si>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</si>
  <si>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</si>
  <si>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</si>
  <si>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</si>
  <si>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</si>
  <si>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</si>
  <si>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</si>
  <si>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</si>
  <si>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</si>
  <si>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</si>
  <si>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</si>
  <si>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</si>
  <si>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</si>
  <si>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</si>
  <si>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</si>
  <si>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</si>
  <si>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</si>
  <si>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</si>
  <si>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</si>
  <si>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</si>
  <si>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</si>
  <si>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</si>
  <si>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</si>
  <si>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</si>
  <si>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</si>
  <si>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</si>
  <si>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</si>
  <si>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</si>
  <si>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</si>
  <si>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</si>
  <si>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</si>
  <si>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</si>
  <si>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</si>
  <si>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</si>
  <si>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</si>
  <si>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</si>
  <si>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</si>
  <si>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</si>
  <si>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</si>
  <si>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</si>
  <si>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</si>
  <si>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</si>
  <si>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</si>
  <si>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</si>
  <si>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</si>
  <si>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</si>
  <si>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</si>
  <si>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</si>
  <si>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</si>
  <si>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</si>
  <si>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</si>
  <si>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</si>
  <si>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</si>
  <si>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</si>
  <si>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</si>
  <si>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</si>
  <si>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</si>
  <si>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</si>
  <si>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</si>
  <si>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</si>
  <si>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</si>
  <si>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</si>
  <si>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</si>
  <si>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</si>
  <si>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</si>
  <si>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</si>
  <si>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</si>
  <si>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</si>
  <si>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</si>
  <si>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</si>
  <si>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</si>
  <si>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</si>
  <si>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</si>
  <si>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</si>
  <si>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</si>
  <si>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</si>
  <si>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</si>
  <si>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</si>
  <si>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</si>
  <si>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</si>
  <si>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</si>
  <si>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</si>
  <si>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</si>
  <si>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</si>
  <si>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</si>
  <si>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</si>
  <si>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</si>
  <si>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</si>
  <si>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</si>
  <si>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</si>
  <si>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</si>
  <si>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</si>
  <si>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</si>
  <si>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</si>
  <si>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</si>
  <si>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</si>
  <si>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</si>
  <si>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</si>
  <si>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</si>
  <si>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</si>
  <si>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</si>
  <si>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</si>
  <si>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</si>
  <si>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</si>
  <si>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</si>
  <si>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</si>
  <si>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</si>
  <si>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</si>
  <si>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</si>
  <si>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</si>
  <si>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</si>
  <si>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</si>
  <si>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</si>
  <si>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</si>
  <si>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</si>
  <si>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</si>
  <si>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</si>
  <si>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</si>
  <si>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</si>
  <si>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</si>
  <si>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</si>
  <si>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</si>
  <si>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</si>
  <si>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</si>
  <si>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</si>
  <si>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</si>
  <si>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</si>
  <si>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</si>
  <si>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</si>
  <si>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</si>
  <si>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</si>
  <si>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</si>
  <si>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</si>
  <si>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</si>
  <si>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</si>
  <si>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</si>
  <si>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</si>
  <si>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</si>
  <si>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</si>
  <si>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</si>
  <si>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</si>
  <si>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</si>
  <si>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</si>
  <si>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</si>
  <si>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</si>
  <si>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</si>
  <si>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</si>
  <si>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</si>
  <si>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</si>
  <si>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</si>
  <si>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</si>
  <si>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</si>
  <si>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</si>
  <si>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</si>
  <si>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</si>
  <si>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</si>
  <si>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</si>
  <si>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</si>
  <si>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</si>
  <si>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</si>
  <si>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</si>
  <si>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</si>
  <si>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</si>
  <si>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</si>
  <si>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</si>
  <si>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</si>
  <si>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</si>
  <si>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</si>
  <si>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</si>
  <si>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</si>
  <si>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</si>
  <si>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</si>
  <si>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</si>
  <si>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</si>
  <si>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</si>
  <si>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</si>
  <si>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</si>
  <si>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</si>
  <si>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</si>
  <si>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</si>
  <si>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</si>
  <si>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</si>
  <si>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</si>
  <si>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</si>
  <si>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</si>
  <si>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</si>
  <si>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</si>
  <si>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</si>
  <si>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</si>
  <si>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</si>
  <si>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</si>
  <si>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</si>
  <si>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</si>
  <si>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</si>
  <si>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</si>
  <si>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</si>
  <si>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</si>
  <si>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</si>
  <si>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</si>
  <si>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</si>
  <si>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</si>
  <si>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</si>
  <si>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</si>
  <si>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</si>
  <si>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</si>
  <si>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</si>
  <si>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</si>
  <si>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</si>
  <si>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</si>
  <si>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</si>
  <si>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</si>
  <si>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</si>
  <si>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</si>
  <si>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</si>
  <si>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</si>
  <si>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</si>
  <si>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</si>
  <si>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</si>
  <si>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</si>
  <si>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</si>
  <si>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</si>
  <si>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</si>
  <si>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</si>
  <si>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</si>
  <si>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</si>
  <si>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</si>
  <si>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</si>
  <si>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</si>
  <si>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</si>
  <si>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</si>
  <si>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</si>
  <si>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</si>
  <si>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</si>
  <si>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</si>
  <si>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</si>
  <si>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</si>
  <si>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</si>
  <si>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</si>
  <si>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</si>
  <si>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</si>
  <si>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</si>
  <si>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</si>
  <si>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</si>
  <si>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</si>
  <si>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</si>
  <si>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</si>
  <si>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</si>
  <si>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</si>
  <si>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</si>
  <si>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</si>
  <si>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</si>
  <si>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</si>
  <si>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</si>
  <si>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</si>
  <si>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</si>
  <si>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</si>
  <si>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</si>
  <si>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</si>
  <si>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</si>
  <si>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</si>
  <si>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</si>
  <si>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</si>
  <si>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</si>
  <si>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</si>
  <si>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</si>
  <si>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</si>
  <si>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</si>
  <si>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</si>
  <si>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</si>
  <si>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</si>
  <si>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</si>
  <si>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</si>
  <si>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</si>
  <si>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</si>
  <si>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</si>
  <si>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</si>
  <si>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</si>
  <si>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</si>
  <si>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</si>
  <si>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</si>
  <si>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</si>
  <si>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</si>
  <si>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</si>
  <si>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</si>
  <si>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</si>
  <si>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</si>
  <si>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</si>
  <si>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</si>
  <si>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</si>
  <si>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</si>
  <si>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</si>
  <si>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</si>
  <si>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</si>
  <si>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</si>
  <si>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</si>
  <si>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</si>
  <si>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</si>
  <si>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</si>
  <si>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</si>
  <si>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</si>
  <si>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</si>
  <si>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</si>
  <si>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</si>
  <si>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</si>
  <si>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</si>
  <si>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</si>
  <si>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</si>
  <si>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</si>
  <si>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</si>
  <si>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</si>
  <si>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</si>
  <si>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</si>
  <si>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</si>
  <si>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</si>
  <si>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</si>
  <si>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</si>
  <si>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</si>
  <si>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</si>
  <si>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</si>
  <si>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</si>
  <si>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</si>
  <si>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</si>
  <si>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</si>
  <si>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</si>
  <si>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</si>
  <si>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</si>
  <si>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</si>
  <si>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</si>
  <si>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</si>
  <si>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</si>
  <si>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</si>
  <si>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</si>
  <si>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</si>
  <si>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</si>
  <si>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</si>
  <si>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</si>
  <si>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</si>
  <si>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</si>
  <si>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</si>
  <si>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</si>
  <si>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</si>
  <si>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</si>
  <si>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</si>
  <si>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</si>
  <si>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</si>
  <si>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</si>
  <si>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</si>
  <si>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</si>
  <si>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(Includes Carryover)</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</si>
  <si>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</si>
  <si>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</si>
  <si>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</si>
  <si>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</si>
  <si>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</si>
  <si>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</si>
  <si>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</si>
  <si>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</si>
  <si>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</si>
  <si>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</si>
  <si>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</si>
  <si>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</si>
  <si>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</si>
  <si>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</si>
  <si>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</si>
  <si>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</si>
  <si>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</si>
  <si>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</si>
  <si>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</si>
  <si>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</si>
  <si>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</si>
  <si>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</si>
  <si>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</si>
  <si>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</si>
  <si>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</si>
  <si>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</si>
  <si>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</si>
  <si>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</si>
  <si>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</si>
  <si>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</si>
  <si>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</si>
  <si>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</si>
  <si>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</si>
  <si>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</si>
  <si>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</si>
  <si>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</si>
  <si>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</si>
  <si>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</si>
  <si>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</si>
  <si>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</si>
  <si>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</si>
  <si>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</si>
  <si>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</si>
  <si>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</si>
  <si>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</si>
  <si>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</si>
  <si>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</si>
  <si>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</si>
  <si>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</si>
  <si>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</si>
  <si>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</si>
  <si>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</si>
  <si>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</si>
  <si>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</si>
  <si>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</si>
  <si>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</si>
  <si>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</si>
  <si>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</si>
  <si>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Galt Township</t>
  </si>
  <si>
    <t>Rice County</t>
  </si>
  <si>
    <t>Contract Work</t>
  </si>
  <si>
    <t>Repairs</t>
  </si>
  <si>
    <t>the Rice County Clerk's Office</t>
  </si>
  <si>
    <t>Contracts</t>
  </si>
  <si>
    <t>None</t>
  </si>
  <si>
    <t>August 1, 2011</t>
  </si>
  <si>
    <t>7:00 p.m.</t>
  </si>
  <si>
    <t>2335 Avenue 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</si>
</sst>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390" applyNumberFormat="1" applyFont="1" applyFill="1" applyAlignment="1" applyProtection="1">
      <alignment vertical="center"/>
      <protection/>
    </xf>
    <xf numFmtId="0" fontId="6" fillId="34" borderId="0" xfId="390" applyFont="1" applyFill="1" applyAlignment="1" applyProtection="1">
      <alignment vertical="center"/>
      <protection/>
    </xf>
    <xf numFmtId="0" fontId="6" fillId="0" borderId="0" xfId="390" applyFont="1" applyAlignment="1" applyProtection="1">
      <alignment vertical="center"/>
      <protection locked="0"/>
    </xf>
    <xf numFmtId="0" fontId="5" fillId="34" borderId="0" xfId="391" applyFont="1" applyFill="1" applyAlignment="1" applyProtection="1">
      <alignment horizontal="centerContinuous" vertical="center"/>
      <protection/>
    </xf>
    <xf numFmtId="0" fontId="6" fillId="34" borderId="0" xfId="390"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390" applyFont="1" applyFill="1" applyBorder="1" applyAlignment="1" applyProtection="1">
      <alignment horizontal="left" vertical="center"/>
      <protection/>
    </xf>
    <xf numFmtId="0" fontId="5" fillId="34" borderId="17" xfId="390" applyFont="1" applyFill="1" applyBorder="1" applyAlignment="1" applyProtection="1">
      <alignment vertical="center"/>
      <protection/>
    </xf>
    <xf numFmtId="0" fontId="5" fillId="34" borderId="24" xfId="390" applyFont="1" applyFill="1" applyBorder="1" applyAlignment="1" applyProtection="1">
      <alignment vertical="center"/>
      <protection/>
    </xf>
    <xf numFmtId="3" fontId="5" fillId="34" borderId="19" xfId="390" applyNumberFormat="1" applyFont="1" applyFill="1" applyBorder="1" applyAlignment="1" applyProtection="1">
      <alignment vertical="center"/>
      <protection/>
    </xf>
    <xf numFmtId="37" fontId="5" fillId="36" borderId="16" xfId="390" applyNumberFormat="1" applyFont="1" applyFill="1" applyBorder="1" applyAlignment="1" applyProtection="1">
      <alignment vertical="center"/>
      <protection/>
    </xf>
    <xf numFmtId="0" fontId="5" fillId="34" borderId="19" xfId="390" applyFont="1" applyFill="1" applyBorder="1" applyAlignment="1" applyProtection="1">
      <alignment vertical="center"/>
      <protection/>
    </xf>
    <xf numFmtId="0" fontId="6" fillId="34" borderId="0" xfId="391" applyFont="1" applyFill="1" applyAlignment="1" applyProtection="1">
      <alignment horizontal="centerContinuous" vertical="center"/>
      <protection/>
    </xf>
    <xf numFmtId="0" fontId="6" fillId="34" borderId="0" xfId="391" applyFont="1" applyFill="1" applyAlignment="1" applyProtection="1">
      <alignment vertical="center"/>
      <protection/>
    </xf>
    <xf numFmtId="0" fontId="6" fillId="0" borderId="0" xfId="391"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391" applyFont="1" applyFill="1" applyBorder="1" applyAlignment="1" applyProtection="1">
      <alignment vertical="center"/>
      <protection/>
    </xf>
    <xf numFmtId="0" fontId="6" fillId="34" borderId="0" xfId="391"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39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390"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31" applyFont="1" applyAlignment="1">
      <alignment vertical="center"/>
      <protection/>
    </xf>
    <xf numFmtId="0" fontId="6" fillId="0" borderId="0" xfId="35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370">
      <alignment/>
      <protection/>
    </xf>
    <xf numFmtId="0" fontId="6" fillId="0" borderId="0" xfId="370" applyFont="1" applyAlignment="1">
      <alignment horizontal="left" vertical="center"/>
      <protection/>
    </xf>
    <xf numFmtId="0" fontId="0" fillId="0" borderId="0" xfId="370" applyNumberFormat="1" applyFont="1" applyAlignment="1">
      <alignment horizontal="left" vertical="center"/>
      <protection/>
    </xf>
    <xf numFmtId="49" fontId="6" fillId="43" borderId="0" xfId="370" applyNumberFormat="1" applyFont="1" applyFill="1" applyAlignment="1" applyProtection="1">
      <alignment horizontal="left" vertical="center"/>
      <protection locked="0"/>
    </xf>
    <xf numFmtId="182" fontId="25" fillId="0" borderId="0" xfId="370" applyNumberFormat="1" applyFont="1" applyAlignment="1">
      <alignment horizontal="left" vertical="center"/>
      <protection/>
    </xf>
    <xf numFmtId="49" fontId="6" fillId="0" borderId="0" xfId="370" applyNumberFormat="1" applyFont="1" applyAlignment="1">
      <alignment horizontal="left" vertical="center"/>
      <protection/>
    </xf>
    <xf numFmtId="0" fontId="25" fillId="0" borderId="0" xfId="370" applyFont="1" applyAlignment="1">
      <alignment horizontal="left" vertical="center"/>
      <protection/>
    </xf>
    <xf numFmtId="183" fontId="25" fillId="0" borderId="0" xfId="370" applyNumberFormat="1" applyFont="1" applyAlignment="1">
      <alignment horizontal="left" vertical="center"/>
      <protection/>
    </xf>
    <xf numFmtId="0" fontId="6" fillId="43" borderId="0" xfId="370" applyFont="1" applyFill="1" applyAlignment="1" applyProtection="1">
      <alignment horizontal="left" vertical="center"/>
      <protection locked="0"/>
    </xf>
    <xf numFmtId="0" fontId="0" fillId="43" borderId="0" xfId="370" applyFill="1" applyAlignment="1" applyProtection="1">
      <alignment horizontal="left" vertical="center"/>
      <protection locked="0"/>
    </xf>
    <xf numFmtId="0" fontId="4" fillId="0" borderId="0" xfId="176" applyFont="1">
      <alignment/>
      <protection/>
    </xf>
    <xf numFmtId="0" fontId="4" fillId="0" borderId="0" xfId="176"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382"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370" applyFont="1" applyAlignment="1">
      <alignment horizontal="left" vertical="center" wrapText="1"/>
      <protection/>
    </xf>
    <xf numFmtId="0" fontId="0" fillId="0" borderId="0" xfId="370" applyAlignment="1">
      <alignment horizontal="left" vertical="center" wrapText="1"/>
      <protection/>
    </xf>
    <xf numFmtId="0" fontId="20" fillId="0" borderId="0" xfId="37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3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3" xfId="153"/>
    <cellStyle name="Normal 2 10 4" xfId="154"/>
    <cellStyle name="Normal 2 10 5" xfId="155"/>
    <cellStyle name="Normal 2 10 6" xfId="156"/>
    <cellStyle name="Normal 2 10 7" xfId="157"/>
    <cellStyle name="Normal 2 10 8" xfId="158"/>
    <cellStyle name="Normal 2 10 9" xfId="159"/>
    <cellStyle name="Normal 2 11" xfId="160"/>
    <cellStyle name="Normal 2 11 10" xfId="161"/>
    <cellStyle name="Normal 2 11 2" xfId="162"/>
    <cellStyle name="Normal 2 11 3" xfId="163"/>
    <cellStyle name="Normal 2 11 4" xfId="164"/>
    <cellStyle name="Normal 2 11 5" xfId="165"/>
    <cellStyle name="Normal 2 11 6" xfId="166"/>
    <cellStyle name="Normal 2 11 7" xfId="167"/>
    <cellStyle name="Normal 2 11 8" xfId="168"/>
    <cellStyle name="Normal 2 11 9" xfId="169"/>
    <cellStyle name="Normal 2 12" xfId="170"/>
    <cellStyle name="Normal 2 13" xfId="171"/>
    <cellStyle name="Normal 2 14" xfId="172"/>
    <cellStyle name="Normal 2 15" xfId="173"/>
    <cellStyle name="Normal 2 16" xfId="174"/>
    <cellStyle name="Normal 2 2" xfId="175"/>
    <cellStyle name="Normal 2 2 10" xfId="176"/>
    <cellStyle name="Normal 2 2 10 2" xfId="177"/>
    <cellStyle name="Normal 2 2 11" xfId="178"/>
    <cellStyle name="Normal 2 2 12" xfId="179"/>
    <cellStyle name="Normal 2 2 12 2" xfId="180"/>
    <cellStyle name="Normal 2 2 13" xfId="181"/>
    <cellStyle name="Normal 2 2 13 2" xfId="182"/>
    <cellStyle name="Normal 2 2 14" xfId="183"/>
    <cellStyle name="Normal 2 2 15" xfId="184"/>
    <cellStyle name="Normal 2 2 16" xfId="185"/>
    <cellStyle name="Normal 2 2 16 2" xfId="186"/>
    <cellStyle name="Normal 2 2 17" xfId="187"/>
    <cellStyle name="Normal 2 2 18" xfId="188"/>
    <cellStyle name="Normal 2 2 19" xfId="189"/>
    <cellStyle name="Normal 2 2 2" xfId="190"/>
    <cellStyle name="Normal 2 2 2 2" xfId="191"/>
    <cellStyle name="Normal 2 2 2 2 2" xfId="192"/>
    <cellStyle name="Normal 2 2 2 3" xfId="193"/>
    <cellStyle name="Normal 2 2 2 4" xfId="194"/>
    <cellStyle name="Normal 2 2 2 5" xfId="195"/>
    <cellStyle name="Normal 2 2 2 6" xfId="196"/>
    <cellStyle name="Normal 2 2 2 7" xfId="197"/>
    <cellStyle name="Normal 2 2 2 8" xfId="198"/>
    <cellStyle name="Normal 2 2 20" xfId="199"/>
    <cellStyle name="Normal 2 2 21" xfId="200"/>
    <cellStyle name="Normal 2 2 3" xfId="201"/>
    <cellStyle name="Normal 2 2 3 2" xfId="202"/>
    <cellStyle name="Normal 2 2 4" xfId="203"/>
    <cellStyle name="Normal 2 2 4 2" xfId="204"/>
    <cellStyle name="Normal 2 2 5" xfId="205"/>
    <cellStyle name="Normal 2 2 5 2" xfId="206"/>
    <cellStyle name="Normal 2 2 6" xfId="207"/>
    <cellStyle name="Normal 2 2 6 2" xfId="208"/>
    <cellStyle name="Normal 2 2 7" xfId="209"/>
    <cellStyle name="Normal 2 2 7 2" xfId="210"/>
    <cellStyle name="Normal 2 2 8" xfId="211"/>
    <cellStyle name="Normal 2 2 8 2" xfId="212"/>
    <cellStyle name="Normal 2 2 9" xfId="213"/>
    <cellStyle name="Normal 2 2 9 2" xfId="214"/>
    <cellStyle name="Normal 2 3" xfId="215"/>
    <cellStyle name="Normal 2 3 10" xfId="216"/>
    <cellStyle name="Normal 2 3 11" xfId="217"/>
    <cellStyle name="Normal 2 3 12" xfId="218"/>
    <cellStyle name="Normal 2 3 13" xfId="219"/>
    <cellStyle name="Normal 2 3 14" xfId="220"/>
    <cellStyle name="Normal 2 3 15" xfId="221"/>
    <cellStyle name="Normal 2 3 2" xfId="222"/>
    <cellStyle name="Normal 2 3 2 2" xfId="223"/>
    <cellStyle name="Normal 2 3 2 2 2" xfId="224"/>
    <cellStyle name="Normal 2 3 2 3" xfId="225"/>
    <cellStyle name="Normal 2 3 2 4" xfId="226"/>
    <cellStyle name="Normal 2 3 3" xfId="227"/>
    <cellStyle name="Normal 2 3 3 2" xfId="228"/>
    <cellStyle name="Normal 2 3 3 3" xfId="229"/>
    <cellStyle name="Normal 2 3 4" xfId="230"/>
    <cellStyle name="Normal 2 3 5" xfId="231"/>
    <cellStyle name="Normal 2 3 6" xfId="232"/>
    <cellStyle name="Normal 2 3 7" xfId="233"/>
    <cellStyle name="Normal 2 3 8" xfId="234"/>
    <cellStyle name="Normal 2 3 9" xfId="235"/>
    <cellStyle name="Normal 2 4" xfId="236"/>
    <cellStyle name="Normal 2 4 10" xfId="237"/>
    <cellStyle name="Normal 2 4 11" xfId="238"/>
    <cellStyle name="Normal 2 4 12" xfId="239"/>
    <cellStyle name="Normal 2 4 13" xfId="240"/>
    <cellStyle name="Normal 2 4 2" xfId="241"/>
    <cellStyle name="Normal 2 4 2 2" xfId="242"/>
    <cellStyle name="Normal 2 4 2 2 2" xfId="243"/>
    <cellStyle name="Normal 2 4 2 3" xfId="244"/>
    <cellStyle name="Normal 2 4 2 4" xfId="245"/>
    <cellStyle name="Normal 2 4 3" xfId="246"/>
    <cellStyle name="Normal 2 4 3 2" xfId="247"/>
    <cellStyle name="Normal 2 4 3 3" xfId="248"/>
    <cellStyle name="Normal 2 4 4" xfId="249"/>
    <cellStyle name="Normal 2 4 5" xfId="250"/>
    <cellStyle name="Normal 2 4 6" xfId="251"/>
    <cellStyle name="Normal 2 4 7" xfId="252"/>
    <cellStyle name="Normal 2 4 8" xfId="253"/>
    <cellStyle name="Normal 2 4 9" xfId="254"/>
    <cellStyle name="Normal 2 5" xfId="255"/>
    <cellStyle name="Normal 2 5 10" xfId="256"/>
    <cellStyle name="Normal 2 5 11" xfId="257"/>
    <cellStyle name="Normal 2 5 12" xfId="258"/>
    <cellStyle name="Normal 2 5 12 2" xfId="259"/>
    <cellStyle name="Normal 2 5 2" xfId="260"/>
    <cellStyle name="Normal 2 5 2 2" xfId="261"/>
    <cellStyle name="Normal 2 5 3" xfId="262"/>
    <cellStyle name="Normal 2 5 3 2" xfId="263"/>
    <cellStyle name="Normal 2 5 4" xfId="264"/>
    <cellStyle name="Normal 2 5 5" xfId="265"/>
    <cellStyle name="Normal 2 5 6" xfId="266"/>
    <cellStyle name="Normal 2 5 7" xfId="267"/>
    <cellStyle name="Normal 2 5 8" xfId="268"/>
    <cellStyle name="Normal 2 5 9" xfId="269"/>
    <cellStyle name="Normal 2 6" xfId="270"/>
    <cellStyle name="Normal 2 6 10" xfId="271"/>
    <cellStyle name="Normal 2 6 11" xfId="272"/>
    <cellStyle name="Normal 2 6 12" xfId="273"/>
    <cellStyle name="Normal 2 6 2" xfId="274"/>
    <cellStyle name="Normal 2 6 2 2" xfId="275"/>
    <cellStyle name="Normal 2 6 3" xfId="276"/>
    <cellStyle name="Normal 2 6 3 2" xfId="277"/>
    <cellStyle name="Normal 2 6 4" xfId="278"/>
    <cellStyle name="Normal 2 6 5" xfId="279"/>
    <cellStyle name="Normal 2 6 6" xfId="280"/>
    <cellStyle name="Normal 2 6 7" xfId="281"/>
    <cellStyle name="Normal 2 6 8" xfId="282"/>
    <cellStyle name="Normal 2 6 9" xfId="283"/>
    <cellStyle name="Normal 2 7" xfId="284"/>
    <cellStyle name="Normal 2 7 10" xfId="285"/>
    <cellStyle name="Normal 2 7 2" xfId="286"/>
    <cellStyle name="Normal 2 7 2 2" xfId="287"/>
    <cellStyle name="Normal 2 7 2 3" xfId="288"/>
    <cellStyle name="Normal 2 7 3" xfId="289"/>
    <cellStyle name="Normal 2 7 4" xfId="290"/>
    <cellStyle name="Normal 2 7 5" xfId="291"/>
    <cellStyle name="Normal 2 7 6" xfId="292"/>
    <cellStyle name="Normal 2 7 7" xfId="293"/>
    <cellStyle name="Normal 2 7 8" xfId="294"/>
    <cellStyle name="Normal 2 7 9" xfId="295"/>
    <cellStyle name="Normal 2 8" xfId="296"/>
    <cellStyle name="Normal 2 8 10" xfId="297"/>
    <cellStyle name="Normal 2 8 2" xfId="298"/>
    <cellStyle name="Normal 2 8 3" xfId="299"/>
    <cellStyle name="Normal 2 8 4" xfId="300"/>
    <cellStyle name="Normal 2 8 5" xfId="301"/>
    <cellStyle name="Normal 2 8 6" xfId="302"/>
    <cellStyle name="Normal 2 8 7" xfId="303"/>
    <cellStyle name="Normal 2 8 8" xfId="304"/>
    <cellStyle name="Normal 2 8 9" xfId="305"/>
    <cellStyle name="Normal 2 9" xfId="306"/>
    <cellStyle name="Normal 2 9 10" xfId="307"/>
    <cellStyle name="Normal 2 9 2" xfId="308"/>
    <cellStyle name="Normal 2 9 3" xfId="309"/>
    <cellStyle name="Normal 2 9 4" xfId="310"/>
    <cellStyle name="Normal 2 9 5" xfId="311"/>
    <cellStyle name="Normal 2 9 6" xfId="312"/>
    <cellStyle name="Normal 2 9 7" xfId="313"/>
    <cellStyle name="Normal 2 9 8"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3 2 2" xfId="333"/>
    <cellStyle name="Normal 3 2 2 2" xfId="334"/>
    <cellStyle name="Normal 3 2 3" xfId="335"/>
    <cellStyle name="Normal 3 2 4" xfId="336"/>
    <cellStyle name="Normal 3 3" xfId="337"/>
    <cellStyle name="Normal 3 3 2" xfId="338"/>
    <cellStyle name="Normal 3 3 2 2" xfId="339"/>
    <cellStyle name="Normal 3 3 3" xfId="340"/>
    <cellStyle name="Normal 3 4" xfId="341"/>
    <cellStyle name="Normal 3 5" xfId="342"/>
    <cellStyle name="Normal 3 6" xfId="343"/>
    <cellStyle name="Normal 3 7" xfId="344"/>
    <cellStyle name="Normal 3 8" xfId="345"/>
    <cellStyle name="Normal 3 9" xfId="346"/>
    <cellStyle name="Normal 4" xfId="347"/>
    <cellStyle name="Normal 4 2" xfId="348"/>
    <cellStyle name="Normal 4 2 2" xfId="349"/>
    <cellStyle name="Normal 4 2 2 2" xfId="350"/>
    <cellStyle name="Normal 4 2 3" xfId="351"/>
    <cellStyle name="Normal 4 2 4" xfId="352"/>
    <cellStyle name="Normal 4 3" xfId="353"/>
    <cellStyle name="Normal 4 3 2" xfId="354"/>
    <cellStyle name="Normal 4 3 3" xfId="355"/>
    <cellStyle name="Normal 4 4" xfId="356"/>
    <cellStyle name="Normal 4 5" xfId="357"/>
    <cellStyle name="Normal 4 6" xfId="358"/>
    <cellStyle name="Normal 5" xfId="359"/>
    <cellStyle name="Normal 5 2" xfId="360"/>
    <cellStyle name="Normal 5 3" xfId="361"/>
    <cellStyle name="Normal 5 3 2" xfId="362"/>
    <cellStyle name="Normal 5 4" xfId="363"/>
    <cellStyle name="Normal 6" xfId="364"/>
    <cellStyle name="Normal 6 2" xfId="365"/>
    <cellStyle name="Normal 6 3" xfId="366"/>
    <cellStyle name="Normal 6 4" xfId="367"/>
    <cellStyle name="Normal 6 5" xfId="368"/>
    <cellStyle name="Normal 7" xfId="369"/>
    <cellStyle name="Normal 7 2" xfId="370"/>
    <cellStyle name="Normal 7 2 2" xfId="371"/>
    <cellStyle name="Normal 7 2 2 2" xfId="372"/>
    <cellStyle name="Normal 7 2 3" xfId="373"/>
    <cellStyle name="Normal 7 2 4" xfId="374"/>
    <cellStyle name="Normal 7 3" xfId="375"/>
    <cellStyle name="Normal 7 4" xfId="376"/>
    <cellStyle name="Normal 7 4 2" xfId="377"/>
    <cellStyle name="Normal 7 5" xfId="378"/>
    <cellStyle name="Normal 7 5 2" xfId="379"/>
    <cellStyle name="Normal 7 5 3" xfId="380"/>
    <cellStyle name="Normal 7 6" xfId="381"/>
    <cellStyle name="Normal 8" xfId="382"/>
    <cellStyle name="Normal 8 2" xfId="383"/>
    <cellStyle name="Normal 9" xfId="384"/>
    <cellStyle name="Normal 9 2" xfId="385"/>
    <cellStyle name="Normal 9 2 2" xfId="386"/>
    <cellStyle name="Normal 9 3" xfId="387"/>
    <cellStyle name="Normal 9 4" xfId="388"/>
    <cellStyle name="Normal 9 5" xfId="389"/>
    <cellStyle name="Normal_debt" xfId="390"/>
    <cellStyle name="Normal_lpform" xfId="391"/>
    <cellStyle name="Note" xfId="392"/>
    <cellStyle name="Output" xfId="393"/>
    <cellStyle name="Percent" xfId="394"/>
    <cellStyle name="Title" xfId="395"/>
    <cellStyle name="Total" xfId="396"/>
    <cellStyle name="Warning Text" xfId="397"/>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752</v>
      </c>
    </row>
    <row r="40" ht="57.75" customHeight="1">
      <c r="A40" s="371" t="s">
        <v>192</v>
      </c>
    </row>
    <row r="41" ht="10.5" customHeight="1">
      <c r="A41" s="360"/>
    </row>
    <row r="42" ht="65.25" customHeight="1">
      <c r="A42" s="360" t="s">
        <v>753</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754</v>
      </c>
    </row>
    <row r="70" ht="63" customHeight="1">
      <c r="A70" s="604" t="s">
        <v>755</v>
      </c>
    </row>
    <row r="71" ht="57" customHeight="1">
      <c r="A71" s="604" t="s">
        <v>756</v>
      </c>
    </row>
    <row r="72" ht="60" customHeight="1">
      <c r="A72" s="360" t="s">
        <v>757</v>
      </c>
    </row>
    <row r="73" ht="117.75" customHeight="1">
      <c r="A73" s="360" t="s">
        <v>758</v>
      </c>
    </row>
    <row r="74" ht="59.25" customHeight="1">
      <c r="A74" s="360" t="s">
        <v>759</v>
      </c>
    </row>
    <row r="75" ht="59.25" customHeight="1">
      <c r="A75" s="604" t="s">
        <v>760</v>
      </c>
    </row>
    <row r="76" ht="84.75" customHeight="1">
      <c r="A76" s="360" t="s">
        <v>761</v>
      </c>
    </row>
    <row r="77" ht="102.75" customHeight="1">
      <c r="A77" s="360" t="s">
        <v>762</v>
      </c>
    </row>
    <row r="78" ht="102.75" customHeight="1">
      <c r="A78" s="372" t="s">
        <v>763</v>
      </c>
    </row>
    <row r="79" ht="54" customHeight="1">
      <c r="A79" s="363" t="s">
        <v>764</v>
      </c>
    </row>
    <row r="80" ht="115.5" customHeight="1">
      <c r="A80" s="360" t="s">
        <v>765</v>
      </c>
    </row>
    <row r="81" ht="78" customHeight="1">
      <c r="A81" s="372" t="s">
        <v>766</v>
      </c>
    </row>
    <row r="82" ht="124.5" customHeight="1">
      <c r="A82" s="372" t="s">
        <v>767</v>
      </c>
    </row>
    <row r="83" ht="138" customHeight="1">
      <c r="A83" s="360" t="s">
        <v>768</v>
      </c>
    </row>
    <row r="84" ht="147" customHeight="1">
      <c r="A84" s="360" t="s">
        <v>769</v>
      </c>
    </row>
    <row r="85" ht="101.25" customHeight="1">
      <c r="A85" s="360" t="s">
        <v>770</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771</v>
      </c>
    </row>
    <row r="95" ht="75" customHeight="1">
      <c r="A95" s="604" t="s">
        <v>772</v>
      </c>
    </row>
    <row r="96" ht="33.75" customHeight="1">
      <c r="A96" s="360" t="s">
        <v>773</v>
      </c>
    </row>
    <row r="97" ht="51.75" customHeight="1">
      <c r="A97" s="360" t="s">
        <v>774</v>
      </c>
    </row>
    <row r="98" ht="14.25" customHeight="1"/>
    <row r="99" ht="69.75" customHeight="1">
      <c r="A99" s="360" t="s">
        <v>623</v>
      </c>
    </row>
    <row r="101" ht="54" customHeight="1">
      <c r="A101" s="604" t="s">
        <v>775</v>
      </c>
    </row>
    <row r="102" ht="85.5" customHeight="1">
      <c r="A102" s="604" t="s">
        <v>776</v>
      </c>
    </row>
    <row r="103" ht="99" customHeight="1">
      <c r="A103" s="604" t="s">
        <v>777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Galt Township</v>
      </c>
      <c r="B1" s="179"/>
      <c r="C1" s="179"/>
      <c r="D1" s="179"/>
      <c r="E1" s="179"/>
      <c r="F1" s="179"/>
      <c r="G1" s="179"/>
      <c r="H1" s="179"/>
      <c r="I1" s="14"/>
      <c r="J1" s="14"/>
      <c r="K1" s="15">
        <f>inputPrYr!D5</f>
        <v>2012</v>
      </c>
    </row>
    <row r="2" spans="1:11" ht="15.75">
      <c r="A2" s="178" t="str">
        <f>inputPrYr!$D$3</f>
        <v>Rice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814</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814</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814</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B2" sqref="B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Galt Township</v>
      </c>
      <c r="C1" s="14"/>
      <c r="D1" s="14"/>
      <c r="E1" s="15">
        <f>inputPrYr!D5</f>
        <v>2012</v>
      </c>
    </row>
    <row r="2" spans="2:5" ht="15.75">
      <c r="B2" s="17"/>
      <c r="C2" s="14"/>
      <c r="D2" s="14"/>
      <c r="E2" s="18"/>
    </row>
    <row r="3" spans="2:5" ht="15.75">
      <c r="B3" s="603" t="s">
        <v>751</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1231</v>
      </c>
      <c r="D6" s="418">
        <f>C51</f>
        <v>501</v>
      </c>
      <c r="E6" s="32">
        <f>D51</f>
        <v>103</v>
      </c>
    </row>
    <row r="7" spans="2:5" ht="15.75">
      <c r="B7" s="27" t="s">
        <v>124</v>
      </c>
      <c r="C7" s="418"/>
      <c r="D7" s="418"/>
      <c r="E7" s="33"/>
    </row>
    <row r="8" spans="2:5" ht="15.75">
      <c r="B8" s="27" t="s">
        <v>16</v>
      </c>
      <c r="C8" s="29">
        <v>4822</v>
      </c>
      <c r="D8" s="418">
        <f>inputPrYr!E16</f>
        <v>5190</v>
      </c>
      <c r="E8" s="33" t="s">
        <v>301</v>
      </c>
    </row>
    <row r="9" spans="2:5" ht="15.75">
      <c r="B9" s="27" t="s">
        <v>17</v>
      </c>
      <c r="C9" s="29">
        <v>10</v>
      </c>
      <c r="D9" s="29"/>
      <c r="E9" s="34"/>
    </row>
    <row r="10" spans="2:5" ht="15.75">
      <c r="B10" s="27" t="s">
        <v>18</v>
      </c>
      <c r="C10" s="29">
        <v>133</v>
      </c>
      <c r="D10" s="29">
        <v>194</v>
      </c>
      <c r="E10" s="32">
        <f>mvalloc!G11</f>
        <v>166</v>
      </c>
    </row>
    <row r="11" spans="2:5" ht="15.75">
      <c r="B11" s="27" t="s">
        <v>19</v>
      </c>
      <c r="C11" s="29">
        <v>4</v>
      </c>
      <c r="D11" s="29">
        <v>4</v>
      </c>
      <c r="E11" s="32">
        <f>mvalloc!I11</f>
        <v>5</v>
      </c>
    </row>
    <row r="12" spans="2:5" ht="15.75">
      <c r="B12" s="35" t="s">
        <v>72</v>
      </c>
      <c r="C12" s="29">
        <v>14</v>
      </c>
      <c r="D12" s="29">
        <v>14</v>
      </c>
      <c r="E12" s="32">
        <f>mvalloc!J11</f>
        <v>2</v>
      </c>
    </row>
    <row r="13" spans="2:5" ht="15.75">
      <c r="B13" s="35" t="s">
        <v>165</v>
      </c>
      <c r="C13" s="29"/>
      <c r="D13" s="29">
        <v>0</v>
      </c>
      <c r="E13" s="32">
        <f>inputOth!E34</f>
        <v>0</v>
      </c>
    </row>
    <row r="14" spans="2:5" ht="15.75">
      <c r="B14" s="35" t="s">
        <v>166</v>
      </c>
      <c r="C14" s="29"/>
      <c r="D14" s="29">
        <v>0</v>
      </c>
      <c r="E14" s="32">
        <f>mvalloc!K11</f>
        <v>0</v>
      </c>
    </row>
    <row r="15" spans="2:5" ht="15.75">
      <c r="B15" s="35"/>
      <c r="C15" s="29"/>
      <c r="D15" s="29"/>
      <c r="E15" s="36"/>
    </row>
    <row r="16" spans="2:5" ht="15.75">
      <c r="B16" s="27" t="s">
        <v>20</v>
      </c>
      <c r="C16" s="29"/>
      <c r="D16" s="29">
        <v>0</v>
      </c>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87</v>
      </c>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5070</v>
      </c>
      <c r="D26" s="420">
        <f>SUM(D8:D24)</f>
        <v>5402</v>
      </c>
      <c r="E26" s="42">
        <f>SUM(E8:E24)</f>
        <v>173</v>
      </c>
    </row>
    <row r="27" spans="2:5" ht="15.75">
      <c r="B27" s="43" t="s">
        <v>24</v>
      </c>
      <c r="C27" s="420">
        <f>C26+C6</f>
        <v>6301</v>
      </c>
      <c r="D27" s="420">
        <f>D26+D6</f>
        <v>5903</v>
      </c>
      <c r="E27" s="42">
        <f>E26+E6</f>
        <v>276</v>
      </c>
    </row>
    <row r="28" spans="2:5" ht="15.75">
      <c r="B28" s="27" t="s">
        <v>25</v>
      </c>
      <c r="C28" s="418"/>
      <c r="D28" s="418"/>
      <c r="E28" s="32"/>
    </row>
    <row r="29" spans="2:5" ht="15.75">
      <c r="B29" s="37"/>
      <c r="C29" s="29"/>
      <c r="D29" s="29"/>
      <c r="E29" s="34"/>
    </row>
    <row r="30" spans="2:5" ht="15.75">
      <c r="B30" s="38" t="s">
        <v>105</v>
      </c>
      <c r="C30" s="29">
        <v>300</v>
      </c>
      <c r="D30" s="29">
        <v>600</v>
      </c>
      <c r="E30" s="34">
        <v>600</v>
      </c>
    </row>
    <row r="31" spans="2:5" ht="15.75">
      <c r="B31" s="38" t="s">
        <v>129</v>
      </c>
      <c r="C31" s="29">
        <v>564</v>
      </c>
      <c r="D31" s="29">
        <v>600</v>
      </c>
      <c r="E31" s="34">
        <v>600</v>
      </c>
    </row>
    <row r="32" spans="2:5" ht="15.75">
      <c r="B32" s="38" t="s">
        <v>106</v>
      </c>
      <c r="C32" s="29">
        <v>515</v>
      </c>
      <c r="D32" s="29">
        <v>600</v>
      </c>
      <c r="E32" s="34">
        <v>600</v>
      </c>
    </row>
    <row r="33" spans="2:5" ht="15.75">
      <c r="B33" s="38" t="s">
        <v>36</v>
      </c>
      <c r="C33" s="29">
        <v>206</v>
      </c>
      <c r="D33" s="29">
        <v>500</v>
      </c>
      <c r="E33" s="34">
        <v>500</v>
      </c>
    </row>
    <row r="34" spans="2:5" ht="15.75">
      <c r="B34" s="37" t="s">
        <v>107</v>
      </c>
      <c r="C34" s="29">
        <v>0</v>
      </c>
      <c r="D34" s="29">
        <v>0</v>
      </c>
      <c r="E34" s="34">
        <v>0</v>
      </c>
    </row>
    <row r="35" spans="2:5" ht="15.75">
      <c r="B35" s="37" t="s">
        <v>130</v>
      </c>
      <c r="C35" s="29">
        <v>0</v>
      </c>
      <c r="D35" s="29">
        <v>0</v>
      </c>
      <c r="E35" s="34">
        <v>0</v>
      </c>
    </row>
    <row r="36" spans="2:5" ht="15.75">
      <c r="B36" s="38" t="s">
        <v>131</v>
      </c>
      <c r="C36" s="29">
        <v>4102</v>
      </c>
      <c r="D36" s="29">
        <v>3500</v>
      </c>
      <c r="E36" s="34">
        <v>3500</v>
      </c>
    </row>
    <row r="37" spans="2:5" ht="15.75">
      <c r="B37" s="38" t="s">
        <v>810</v>
      </c>
      <c r="C37" s="29">
        <v>113</v>
      </c>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645</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10" ht="15.7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5800</v>
      </c>
      <c r="D50" s="412">
        <f>SUM(D29:D48)</f>
        <v>5800</v>
      </c>
      <c r="E50" s="47">
        <f>SUM(E29:E43,E45,E47:E48)</f>
        <v>5800</v>
      </c>
      <c r="G50" s="534"/>
      <c r="H50" s="535"/>
      <c r="I50" s="535"/>
      <c r="J50" s="536"/>
    </row>
    <row r="51" spans="2:10" ht="15.75">
      <c r="B51" s="27" t="s">
        <v>123</v>
      </c>
      <c r="C51" s="413">
        <f>C27-C50</f>
        <v>501</v>
      </c>
      <c r="D51" s="413">
        <f>SUM(D27-D50)</f>
        <v>103</v>
      </c>
      <c r="E51" s="33" t="s">
        <v>301</v>
      </c>
      <c r="G51" s="537">
        <f>D51</f>
        <v>103</v>
      </c>
      <c r="H51" s="538" t="str">
        <f>CONCATENATE("",E1-1," Ending Cash Balance (est.)")</f>
        <v>2011 Ending Cash Balance (est.)</v>
      </c>
      <c r="I51" s="539"/>
      <c r="J51" s="536"/>
    </row>
    <row r="52" spans="2:10" ht="15.75">
      <c r="B52" s="48" t="str">
        <f>CONCATENATE("",E1-2,"/",E1-1," Budget Authority Amount:")</f>
        <v>2010/2011 Budget Authority Amount:</v>
      </c>
      <c r="C52" s="143">
        <f>inputOth!B46</f>
        <v>5800</v>
      </c>
      <c r="D52" s="172">
        <f>inputPrYr!D16</f>
        <v>5800</v>
      </c>
      <c r="E52" s="33" t="s">
        <v>301</v>
      </c>
      <c r="F52" s="50"/>
      <c r="G52" s="537">
        <f>E26</f>
        <v>173</v>
      </c>
      <c r="H52" s="540" t="str">
        <f>CONCATENATE("",E1," Non-AV Receipts (est.)")</f>
        <v>2012 Non-AV Receipts (est.)</v>
      </c>
      <c r="I52" s="540"/>
      <c r="J52" s="536"/>
    </row>
    <row r="53" spans="2:10" ht="15.75">
      <c r="B53" s="48"/>
      <c r="C53" s="652" t="s">
        <v>646</v>
      </c>
      <c r="D53" s="653"/>
      <c r="E53" s="34"/>
      <c r="F53" s="533">
        <f>IF(E50/0.95-E50&lt;E53,"Exceeds 5%","")</f>
      </c>
      <c r="G53" s="541">
        <f>E57</f>
        <v>5524</v>
      </c>
      <c r="H53" s="540" t="str">
        <f>CONCATENATE("",E1," Ad Valorem Tax (est.)")</f>
        <v>2012 Ad Valorem Tax (est.)</v>
      </c>
      <c r="I53" s="540"/>
      <c r="J53" s="536"/>
    </row>
    <row r="54" spans="2:10" ht="15.75">
      <c r="B54" s="436" t="str">
        <f>CONCATENATE(C72,"     ",D72)</f>
        <v>     </v>
      </c>
      <c r="C54" s="654" t="s">
        <v>647</v>
      </c>
      <c r="D54" s="655"/>
      <c r="E54" s="32">
        <f>E50+E53</f>
        <v>5800</v>
      </c>
      <c r="G54" s="537">
        <f>SUM(G51:G53)</f>
        <v>5800</v>
      </c>
      <c r="H54" s="540" t="str">
        <f>CONCATENATE("Total ",E1," Resources Available")</f>
        <v>Total 2012 Resources Available</v>
      </c>
      <c r="I54" s="539"/>
      <c r="J54" s="536"/>
    </row>
    <row r="55" spans="2:10" ht="15.75">
      <c r="B55" s="436" t="str">
        <f>CONCATENATE(C73,"     ",D73)</f>
        <v>     </v>
      </c>
      <c r="C55" s="60"/>
      <c r="D55" s="52" t="s">
        <v>28</v>
      </c>
      <c r="E55" s="46">
        <f>IF(E54-E27&gt;0,E54-E27,0)</f>
        <v>5524</v>
      </c>
      <c r="G55" s="542"/>
      <c r="H55" s="540"/>
      <c r="I55" s="540"/>
      <c r="J55" s="536"/>
    </row>
    <row r="56" spans="2:10" ht="15.75">
      <c r="B56" s="52"/>
      <c r="C56" s="440" t="s">
        <v>648</v>
      </c>
      <c r="D56" s="432">
        <f>inputOth!$E$40</f>
        <v>0</v>
      </c>
      <c r="E56" s="32">
        <f>ROUND(IF(D56&gt;0,(E55*D56),0),0)</f>
        <v>0</v>
      </c>
      <c r="G56" s="541">
        <f>C50*0.05+C50</f>
        <v>6090</v>
      </c>
      <c r="H56" s="540" t="str">
        <f>CONCATENATE("Less ",E1-2," Expenditures + 5%")</f>
        <v>Less 2010 Expenditures + 5%</v>
      </c>
      <c r="I56" s="539"/>
      <c r="J56" s="536"/>
    </row>
    <row r="57" spans="2:10" ht="15.75">
      <c r="B57" s="14"/>
      <c r="C57" s="650" t="str">
        <f>CONCATENATE("Amount of  ",$E$1-1," Ad Valorem Tax")</f>
        <v>Amount of  2011 Ad Valorem Tax</v>
      </c>
      <c r="D57" s="651"/>
      <c r="E57" s="46">
        <f>E55+E56</f>
        <v>5524</v>
      </c>
      <c r="G57" s="543">
        <f>G54-G56</f>
        <v>-290</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2.285</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Galt Township</v>
      </c>
      <c r="C1" s="14"/>
      <c r="D1" s="14"/>
      <c r="E1" s="61">
        <f>inputPrYr!$D$5</f>
        <v>2012</v>
      </c>
    </row>
    <row r="2" spans="2:5" ht="15.75">
      <c r="B2" s="14"/>
      <c r="C2" s="14"/>
      <c r="D2" s="14"/>
      <c r="E2" s="52"/>
    </row>
    <row r="3" spans="2:5" ht="15.75">
      <c r="B3" s="17"/>
      <c r="C3" s="62"/>
      <c r="D3" s="62"/>
      <c r="E3" s="63"/>
    </row>
    <row r="4" spans="2:5" ht="15.75">
      <c r="B4" s="603" t="s">
        <v>751</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Galt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15715</v>
      </c>
      <c r="D6" s="418">
        <f>C44</f>
        <v>4806</v>
      </c>
      <c r="E6" s="32">
        <f>D44</f>
        <v>0</v>
      </c>
    </row>
    <row r="7" spans="2:5" ht="15.75">
      <c r="B7" s="27" t="s">
        <v>124</v>
      </c>
      <c r="C7" s="418"/>
      <c r="D7" s="418"/>
      <c r="E7" s="33"/>
    </row>
    <row r="8" spans="2:5" ht="15.75">
      <c r="B8" s="27" t="s">
        <v>16</v>
      </c>
      <c r="C8" s="29">
        <v>40717</v>
      </c>
      <c r="D8" s="418">
        <f>inputPrYr!E18</f>
        <v>45373</v>
      </c>
      <c r="E8" s="33" t="s">
        <v>301</v>
      </c>
    </row>
    <row r="9" spans="2:5" ht="15.75">
      <c r="B9" s="27" t="s">
        <v>17</v>
      </c>
      <c r="C9" s="29">
        <v>82</v>
      </c>
      <c r="D9" s="29"/>
      <c r="E9" s="34"/>
    </row>
    <row r="10" spans="2:5" ht="15.75">
      <c r="B10" s="27" t="s">
        <v>18</v>
      </c>
      <c r="C10" s="29">
        <v>1346</v>
      </c>
      <c r="D10" s="29">
        <v>1640</v>
      </c>
      <c r="E10" s="32">
        <f>mvalloc!G13</f>
        <v>1456</v>
      </c>
    </row>
    <row r="11" spans="2:5" ht="15.75">
      <c r="B11" s="27" t="s">
        <v>19</v>
      </c>
      <c r="C11" s="29">
        <v>39</v>
      </c>
      <c r="D11" s="29">
        <v>32</v>
      </c>
      <c r="E11" s="32">
        <f>mvalloc!I13</f>
        <v>39</v>
      </c>
    </row>
    <row r="12" spans="2:5" ht="15.75">
      <c r="B12" s="27" t="s">
        <v>103</v>
      </c>
      <c r="C12" s="29">
        <v>103</v>
      </c>
      <c r="D12" s="29">
        <v>110</v>
      </c>
      <c r="E12" s="32">
        <f>mvalloc!J13</f>
        <v>15</v>
      </c>
    </row>
    <row r="13" spans="2:5" ht="15.75">
      <c r="B13" s="27" t="s">
        <v>166</v>
      </c>
      <c r="C13" s="29"/>
      <c r="D13" s="29">
        <v>0</v>
      </c>
      <c r="E13" s="32">
        <f>mvalloc!K13</f>
        <v>0</v>
      </c>
    </row>
    <row r="14" spans="2:5" ht="15.75">
      <c r="B14" s="27" t="s">
        <v>104</v>
      </c>
      <c r="C14" s="29">
        <v>2858</v>
      </c>
      <c r="D14" s="29">
        <v>2331</v>
      </c>
      <c r="E14" s="32">
        <f>inputOth!E36</f>
        <v>2686</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45145</v>
      </c>
      <c r="D23" s="420">
        <f>SUM(D8:D21)</f>
        <v>49486</v>
      </c>
      <c r="E23" s="42">
        <f>SUM(E8:E21)</f>
        <v>4196</v>
      </c>
    </row>
    <row r="24" spans="2:5" ht="15.75">
      <c r="B24" s="43" t="s">
        <v>24</v>
      </c>
      <c r="C24" s="420">
        <f>C23+C6</f>
        <v>60860</v>
      </c>
      <c r="D24" s="420">
        <f>D23+D6</f>
        <v>54292</v>
      </c>
      <c r="E24" s="42">
        <f>E23+E6</f>
        <v>4196</v>
      </c>
    </row>
    <row r="25" spans="2:5" ht="15.75">
      <c r="B25" s="27" t="s">
        <v>25</v>
      </c>
      <c r="C25" s="418"/>
      <c r="D25" s="418"/>
      <c r="E25" s="32"/>
    </row>
    <row r="26" spans="2:5" ht="15.75">
      <c r="B26" s="38" t="s">
        <v>129</v>
      </c>
      <c r="C26" s="29">
        <v>12827</v>
      </c>
      <c r="D26" s="29">
        <v>7000</v>
      </c>
      <c r="E26" s="34">
        <v>7000</v>
      </c>
    </row>
    <row r="27" spans="2:5" ht="15.75">
      <c r="B27" s="37" t="s">
        <v>106</v>
      </c>
      <c r="C27" s="29">
        <v>1826</v>
      </c>
      <c r="D27" s="29">
        <v>2500</v>
      </c>
      <c r="E27" s="34">
        <v>2500</v>
      </c>
    </row>
    <row r="28" spans="2:5" ht="15.75">
      <c r="B28" s="38" t="s">
        <v>36</v>
      </c>
      <c r="C28" s="29">
        <v>5219</v>
      </c>
      <c r="D28" s="29">
        <v>8000</v>
      </c>
      <c r="E28" s="34">
        <v>8000</v>
      </c>
    </row>
    <row r="29" spans="2:5" ht="15.75">
      <c r="B29" s="38" t="s">
        <v>109</v>
      </c>
      <c r="C29" s="29">
        <v>18604</v>
      </c>
      <c r="D29" s="29">
        <v>20000</v>
      </c>
      <c r="E29" s="34">
        <v>17000</v>
      </c>
    </row>
    <row r="30" spans="2:5" ht="15.75">
      <c r="B30" s="38" t="s">
        <v>107</v>
      </c>
      <c r="C30" s="29">
        <v>0</v>
      </c>
      <c r="D30" s="29">
        <v>0</v>
      </c>
      <c r="E30" s="34">
        <v>0</v>
      </c>
    </row>
    <row r="31" spans="2:5" ht="15.75">
      <c r="B31" s="38" t="s">
        <v>811</v>
      </c>
      <c r="C31" s="29">
        <v>2884</v>
      </c>
      <c r="D31" s="29">
        <v>14000</v>
      </c>
      <c r="E31" s="34">
        <v>14000</v>
      </c>
    </row>
    <row r="32" spans="2:5" ht="15.75">
      <c r="B32" s="38" t="s">
        <v>105</v>
      </c>
      <c r="C32" s="29">
        <v>0</v>
      </c>
      <c r="D32" s="29">
        <v>1440</v>
      </c>
      <c r="E32" s="34">
        <v>1440</v>
      </c>
    </row>
    <row r="33" spans="2:5" ht="15.75">
      <c r="B33" s="38" t="s">
        <v>813</v>
      </c>
      <c r="C33" s="29"/>
      <c r="D33" s="29">
        <v>1352</v>
      </c>
      <c r="E33" s="34">
        <v>1000</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v>14694</v>
      </c>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c r="E40" s="46">
        <f>nhood!E8</f>
      </c>
      <c r="G40" s="534"/>
      <c r="H40" s="535"/>
      <c r="I40" s="535"/>
      <c r="J40" s="536"/>
    </row>
    <row r="41" spans="2:10" ht="15.75">
      <c r="B41" s="35" t="s">
        <v>223</v>
      </c>
      <c r="C41" s="29"/>
      <c r="D41" s="29"/>
      <c r="E41" s="34"/>
      <c r="G41" s="537">
        <f>D44</f>
        <v>0</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4196</v>
      </c>
      <c r="H42" s="540" t="str">
        <f>CONCATENATE("",E1," Non-AV Receipts (est.)")</f>
        <v>2012 Non-AV Receipts (est.)</v>
      </c>
      <c r="I42" s="540"/>
      <c r="J42" s="536"/>
    </row>
    <row r="43" spans="2:10" ht="15.75">
      <c r="B43" s="43" t="s">
        <v>26</v>
      </c>
      <c r="C43" s="420">
        <f>SUM(C26:C38,C40:C41)</f>
        <v>56054</v>
      </c>
      <c r="D43" s="420">
        <f>SUM(D26:D38,D40:D41)</f>
        <v>54292</v>
      </c>
      <c r="E43" s="42">
        <f>SUM(E26:E38,E40:E41)</f>
        <v>50940</v>
      </c>
      <c r="G43" s="541">
        <f>E50</f>
        <v>46744</v>
      </c>
      <c r="H43" s="540" t="str">
        <f>CONCATENATE("",E1," Ad Valorem Tax (est.)")</f>
        <v>2012 Ad Valorem Tax (est.)</v>
      </c>
      <c r="I43" s="540"/>
      <c r="J43" s="536"/>
    </row>
    <row r="44" spans="2:10" ht="15.75">
      <c r="B44" s="27" t="s">
        <v>123</v>
      </c>
      <c r="C44" s="413">
        <f>C24-C43</f>
        <v>4806</v>
      </c>
      <c r="D44" s="413">
        <f>D24-D43</f>
        <v>0</v>
      </c>
      <c r="E44" s="33" t="s">
        <v>301</v>
      </c>
      <c r="G44" s="537">
        <f>SUM(G41:G43)</f>
        <v>50940</v>
      </c>
      <c r="H44" s="540" t="str">
        <f>CONCATENATE("Total ",E1," Resources Available")</f>
        <v>Total 2012 Resources Available</v>
      </c>
      <c r="I44" s="539"/>
      <c r="J44" s="536"/>
    </row>
    <row r="45" spans="2:10" ht="15.75">
      <c r="B45" s="48" t="str">
        <f>CONCATENATE("",E1-2,"/",E1-1," Budget Authority Amount:")</f>
        <v>2010/2011 Budget Authority Amount:</v>
      </c>
      <c r="C45" s="143">
        <f>inputOth!B48</f>
        <v>59044</v>
      </c>
      <c r="D45" s="172">
        <f>inputPrYr!D18</f>
        <v>55940</v>
      </c>
      <c r="E45" s="33" t="s">
        <v>301</v>
      </c>
      <c r="F45" s="50"/>
      <c r="G45" s="542"/>
      <c r="H45" s="540"/>
      <c r="I45" s="540"/>
      <c r="J45" s="536"/>
    </row>
    <row r="46" spans="2:10" ht="15.75">
      <c r="B46" s="48"/>
      <c r="C46" s="652" t="s">
        <v>646</v>
      </c>
      <c r="D46" s="653"/>
      <c r="E46" s="34"/>
      <c r="F46" s="533">
        <f>IF(E43/0.95-E43&lt;E46,"Exceeds 5%","")</f>
      </c>
      <c r="G46" s="541">
        <f>C43*0.05+C43</f>
        <v>58856.7</v>
      </c>
      <c r="H46" s="540" t="str">
        <f>CONCATENATE("Less ",E1-2," Expenditures + 5%")</f>
        <v>Less 2010 Expenditures + 5%</v>
      </c>
      <c r="I46" s="539"/>
      <c r="J46" s="536"/>
    </row>
    <row r="47" spans="2:10" ht="15.75">
      <c r="B47" s="436" t="str">
        <f>CONCATENATE(C74,"     ",D74)</f>
        <v>     </v>
      </c>
      <c r="C47" s="654" t="s">
        <v>647</v>
      </c>
      <c r="D47" s="655"/>
      <c r="E47" s="32">
        <f>E43+E46</f>
        <v>50940</v>
      </c>
      <c r="G47" s="543">
        <f>G44-G46</f>
        <v>-7916.699999999997</v>
      </c>
      <c r="H47" s="544" t="str">
        <f>CONCATENATE("Projected ",E1+1," Carryover (est.)")</f>
        <v>Projected 2013 Carryover (est.)</v>
      </c>
      <c r="I47" s="545"/>
      <c r="J47" s="546"/>
    </row>
    <row r="48" spans="2:5" ht="15.75">
      <c r="B48" s="436" t="str">
        <f>CONCATENATE(C75,"     ",D75)</f>
        <v>     </v>
      </c>
      <c r="C48" s="60"/>
      <c r="D48" s="52" t="s">
        <v>28</v>
      </c>
      <c r="E48" s="46">
        <f>IF(E47-E24&gt;0,E47-E24,0)</f>
        <v>46744</v>
      </c>
    </row>
    <row r="49" spans="2:10" ht="15.75">
      <c r="B49" s="52"/>
      <c r="C49" s="440" t="s">
        <v>648</v>
      </c>
      <c r="D49" s="432">
        <f>inputOth!$E$40</f>
        <v>0</v>
      </c>
      <c r="E49" s="32">
        <f>ROUND(IF(D49&gt;0,(E48*D49),0),0)</f>
        <v>0</v>
      </c>
      <c r="G49" s="560">
        <f>IF(inputOth!E7=0,"",ROUND(E50/inputOth!E7*1000,3))</f>
        <v>19.336</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46744</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CONCATENATE("",H1-2," Actual Year")</f>
        <v>-2 Actual Year</v>
      </c>
      <c r="D54" s="14"/>
      <c r="E54" s="14"/>
      <c r="G54" s="551" t="s">
        <v>745</v>
      </c>
      <c r="H54" s="535"/>
      <c r="I54" s="535"/>
      <c r="J54" s="555">
        <f>IF(J53=0,"",ROUND((J53+E50-G47)/inputOth!E7*1000,3)-G49)</f>
      </c>
    </row>
    <row r="55" spans="2:10" ht="15.75">
      <c r="B55" s="83" t="s">
        <v>14</v>
      </c>
      <c r="C55" s="600">
        <v>43094</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14694</v>
      </c>
      <c r="D57" s="85"/>
      <c r="E57" s="14"/>
    </row>
    <row r="58" spans="2:5" ht="15.75">
      <c r="B58" s="83" t="s">
        <v>258</v>
      </c>
      <c r="C58" s="439">
        <f>gen!C43</f>
        <v>0</v>
      </c>
      <c r="D58" s="662">
        <f>IF(AND(C58&gt;0,C59&gt;0),"Not Auth. Two General Transfers - Only One","")</f>
      </c>
      <c r="E58" s="663"/>
    </row>
    <row r="59" spans="2:5" ht="15.75">
      <c r="B59" s="86" t="s">
        <v>259</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57788</v>
      </c>
      <c r="D63" s="14"/>
      <c r="E63" s="14"/>
    </row>
    <row r="64" spans="2:5" ht="15.75">
      <c r="B64" s="88" t="s">
        <v>26</v>
      </c>
      <c r="C64" s="600"/>
      <c r="D64" s="14"/>
      <c r="E64" s="14"/>
    </row>
    <row r="65" spans="2:5" ht="15.75">
      <c r="B65" s="88" t="s">
        <v>27</v>
      </c>
      <c r="C65" s="438">
        <f>SUM(C63-C64)</f>
        <v>57788</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Galt Township</v>
      </c>
      <c r="C1" s="22" t="s">
        <v>35</v>
      </c>
      <c r="D1" s="14"/>
      <c r="E1" s="15">
        <f>inputPrYr!D5</f>
        <v>2012</v>
      </c>
    </row>
    <row r="2" spans="2:5" ht="15.75">
      <c r="B2" s="17"/>
      <c r="C2" s="14"/>
      <c r="D2" s="14"/>
      <c r="E2" s="89"/>
    </row>
    <row r="3" spans="2:5" ht="15.75">
      <c r="B3" s="603" t="s">
        <v>751</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Galt Township</v>
      </c>
      <c r="C1" s="14"/>
      <c r="D1" s="14"/>
      <c r="E1" s="15">
        <f>inputPrYr!D5</f>
        <v>2012</v>
      </c>
    </row>
    <row r="2" spans="2:5" ht="15.75">
      <c r="B2" s="17"/>
      <c r="C2" s="14"/>
      <c r="D2" s="62"/>
      <c r="E2" s="93"/>
    </row>
    <row r="3" spans="2:5" ht="15.75">
      <c r="B3" s="603" t="s">
        <v>751</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Galt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Galt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Galt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743</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808</v>
      </c>
      <c r="E2" s="19"/>
    </row>
    <row r="3" spans="1:5" ht="15.75">
      <c r="A3" s="79" t="s">
        <v>236</v>
      </c>
      <c r="B3" s="14"/>
      <c r="C3" s="14"/>
      <c r="D3" s="409" t="s">
        <v>809</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5800</v>
      </c>
      <c r="E16" s="200">
        <v>5190</v>
      </c>
    </row>
    <row r="17" spans="1:5" ht="15.75">
      <c r="A17" s="14"/>
      <c r="B17" s="83" t="s">
        <v>311</v>
      </c>
      <c r="C17" s="172" t="s">
        <v>156</v>
      </c>
      <c r="D17" s="200"/>
      <c r="E17" s="200"/>
    </row>
    <row r="18" spans="1:5" ht="15.75">
      <c r="A18" s="14"/>
      <c r="B18" s="83" t="s">
        <v>286</v>
      </c>
      <c r="C18" s="192" t="s">
        <v>326</v>
      </c>
      <c r="D18" s="200">
        <v>55940</v>
      </c>
      <c r="E18" s="200">
        <v>45373</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50563</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61740</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2.095</v>
      </c>
      <c r="E41" s="14"/>
    </row>
    <row r="42" spans="1:5" ht="15.75">
      <c r="A42" s="14"/>
      <c r="B42" s="96" t="str">
        <f t="shared" si="0"/>
        <v>Debt Service</v>
      </c>
      <c r="C42" s="14"/>
      <c r="D42" s="348"/>
      <c r="E42" s="14"/>
    </row>
    <row r="43" spans="1:5" ht="15.75">
      <c r="A43" s="14"/>
      <c r="B43" s="96" t="str">
        <f t="shared" si="0"/>
        <v>Road</v>
      </c>
      <c r="C43" s="14"/>
      <c r="D43" s="348">
        <v>17.689</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19.784</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46395</v>
      </c>
    </row>
    <row r="53" spans="1:5" ht="15.75">
      <c r="A53" s="353" t="str">
        <f>CONCATENATE("Assessed Valuation (",D5-2," budget column)")</f>
        <v>Assessed Valuation (2010 budget column)</v>
      </c>
      <c r="B53" s="354"/>
      <c r="C53" s="291"/>
      <c r="D53" s="28"/>
      <c r="E53" s="200">
        <v>2240278</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v>0</v>
      </c>
      <c r="E57" s="36">
        <v>0</v>
      </c>
    </row>
    <row r="58" spans="1:5" ht="15.75">
      <c r="A58" s="354" t="s">
        <v>172</v>
      </c>
      <c r="B58" s="354"/>
      <c r="C58" s="357"/>
      <c r="D58" s="36">
        <v>0</v>
      </c>
      <c r="E58" s="36">
        <v>0</v>
      </c>
    </row>
    <row r="59" spans="1:5" ht="15.75">
      <c r="A59" s="354" t="s">
        <v>173</v>
      </c>
      <c r="B59" s="354"/>
      <c r="C59" s="357"/>
      <c r="D59" s="36">
        <v>0</v>
      </c>
      <c r="E59" s="36">
        <v>0</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F19" sqref="F1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Galt Township</v>
      </c>
      <c r="C4" s="679"/>
      <c r="D4" s="679"/>
      <c r="E4" s="679"/>
      <c r="F4" s="679"/>
      <c r="G4" s="679"/>
      <c r="H4" s="679"/>
      <c r="I4" s="679"/>
    </row>
    <row r="5" spans="2:9" ht="15.75">
      <c r="B5" s="679" t="str">
        <f>inputPrYr!D3</f>
        <v>Rice County</v>
      </c>
      <c r="C5" s="679"/>
      <c r="D5" s="679"/>
      <c r="E5" s="679"/>
      <c r="F5" s="679"/>
      <c r="G5" s="679"/>
      <c r="H5" s="679"/>
      <c r="I5" s="679"/>
    </row>
    <row r="6" spans="2:9" ht="15.75">
      <c r="B6" s="678" t="str">
        <f>CONCATENATE("will meet on ",inputBudSum!B5," at ",inputBudSum!B7," at ",inputBudSum!B9," for the purpose of hearing and")</f>
        <v>will meet on August 1, 2011 at 7:00 p.m. at 2335 Avenue E for the purpose of hearing and</v>
      </c>
      <c r="C6" s="678"/>
      <c r="D6" s="678"/>
      <c r="E6" s="678"/>
      <c r="F6" s="678"/>
      <c r="G6" s="678"/>
      <c r="H6" s="678"/>
      <c r="I6" s="678"/>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Rice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76"/>
      <c r="I15" s="167" t="s">
        <v>41</v>
      </c>
      <c r="J15" s="160"/>
    </row>
    <row r="16" spans="2:10" ht="15.75">
      <c r="B16" s="25" t="s">
        <v>297</v>
      </c>
      <c r="C16" s="26" t="s">
        <v>42</v>
      </c>
      <c r="D16" s="26" t="s">
        <v>43</v>
      </c>
      <c r="E16" s="26" t="s">
        <v>42</v>
      </c>
      <c r="F16" s="26" t="s">
        <v>43</v>
      </c>
      <c r="G16" s="26" t="s">
        <v>749</v>
      </c>
      <c r="H16" s="677"/>
      <c r="I16" s="26" t="s">
        <v>43</v>
      </c>
      <c r="J16" s="160"/>
    </row>
    <row r="17" spans="2:10" ht="15.75">
      <c r="B17" s="96" t="str">
        <f>inputPrYr!B16</f>
        <v>General</v>
      </c>
      <c r="C17" s="67">
        <f>IF(gen!$C$50&lt;&gt;0,gen!$C$50,"  ")</f>
        <v>5800</v>
      </c>
      <c r="D17" s="592">
        <f>IF(inputPrYr!D41&gt;0,inputPrYr!D41,"  ")</f>
        <v>2.095</v>
      </c>
      <c r="E17" s="32">
        <f>IF(gen!$D$50&lt;&gt;0,gen!$D$50,"  ")</f>
        <v>5800</v>
      </c>
      <c r="F17" s="253">
        <f>IF(inputOth!D17&gt;0,inputOth!D17,"  ")</f>
        <v>2.018</v>
      </c>
      <c r="G17" s="32">
        <f>IF(gen!$E$50&lt;&gt;0,gen!$E$50,"  ")</f>
        <v>5800</v>
      </c>
      <c r="H17" s="32">
        <f>IF(gen!$E$57&lt;&gt;0,gen!$E$57," ")</f>
        <v>5524</v>
      </c>
      <c r="I17" s="594">
        <f>IF(gen!E57&gt;0,ROUND(H17/$G$35*1000,3)," ")</f>
        <v>2.285</v>
      </c>
      <c r="J17" s="160"/>
    </row>
    <row r="18" spans="2:10" ht="15.75">
      <c r="B18" s="96" t="s">
        <v>311</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56054</v>
      </c>
      <c r="D19" s="592">
        <f>IF(inputPrYr!D43&gt;0,inputPrYr!D43,"  ")</f>
        <v>17.689</v>
      </c>
      <c r="E19" s="32">
        <f>IF(road!$D$43&lt;&gt;0,road!$D$43,"  ")</f>
        <v>54292</v>
      </c>
      <c r="F19" s="253">
        <f>IF(inputOth!D19&gt;0,inputOth!D19,"  ")</f>
        <v>17.642</v>
      </c>
      <c r="G19" s="32">
        <f>IF(road!$E$43&lt;&gt;0,road!$E$43,"  ")</f>
        <v>50940</v>
      </c>
      <c r="H19" s="32">
        <f>IF(road!$E$50&lt;&gt;0,road!$E$50,"  ")</f>
        <v>46744</v>
      </c>
      <c r="I19" s="594">
        <f>IF(road!E50&gt;0,ROUND(H19/$G$35*1000,3)," ")</f>
        <v>19.336</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2417</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19.66</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-4741</v>
      </c>
    </row>
    <row r="29" spans="2:14" ht="16.5" thickBot="1">
      <c r="B29" s="83" t="s">
        <v>299</v>
      </c>
      <c r="C29" s="530" t="str">
        <f>IF(road!C64&lt;&gt;0,road!C64,"  ")</f>
        <v>  </v>
      </c>
      <c r="D29" s="531"/>
      <c r="E29" s="593"/>
      <c r="F29" s="531"/>
      <c r="G29" s="593"/>
      <c r="H29" s="593"/>
      <c r="I29" s="531"/>
      <c r="K29" s="582"/>
      <c r="L29" s="582"/>
      <c r="M29" s="582"/>
      <c r="N29" s="582"/>
    </row>
    <row r="30" spans="2:14" ht="15.75">
      <c r="B30" s="83" t="s">
        <v>300</v>
      </c>
      <c r="C30" s="595">
        <f aca="true" t="shared" si="0" ref="C30:I30">SUM(C17:C29)</f>
        <v>61854</v>
      </c>
      <c r="D30" s="529">
        <f t="shared" si="0"/>
        <v>19.784</v>
      </c>
      <c r="E30" s="595">
        <f t="shared" si="0"/>
        <v>60092</v>
      </c>
      <c r="F30" s="529">
        <f t="shared" si="0"/>
        <v>19.66</v>
      </c>
      <c r="G30" s="595">
        <f t="shared" si="0"/>
        <v>56740</v>
      </c>
      <c r="H30" s="595">
        <f t="shared" si="0"/>
        <v>52268</v>
      </c>
      <c r="I30" s="598">
        <f t="shared" si="0"/>
        <v>21.621</v>
      </c>
      <c r="K30" s="669" t="str">
        <f>CONCATENATE("Impact On Keeping The Same Mill Rate As For ",I1-1,"")</f>
        <v>Impact On Keeping The Same Mill Rate As For 2011</v>
      </c>
      <c r="L30" s="670"/>
      <c r="M30" s="670"/>
      <c r="N30" s="671"/>
    </row>
    <row r="31" spans="2:14" ht="15.75">
      <c r="B31" s="83" t="s">
        <v>44</v>
      </c>
      <c r="C31" s="32">
        <f>transfer!C29</f>
        <v>14694</v>
      </c>
      <c r="D31" s="14"/>
      <c r="E31" s="32">
        <f>transfer!D29</f>
        <v>0</v>
      </c>
      <c r="F31" s="62"/>
      <c r="G31" s="32">
        <f>transfer!E29</f>
        <v>0</v>
      </c>
      <c r="H31" s="14"/>
      <c r="I31" s="14"/>
      <c r="K31" s="575"/>
      <c r="L31" s="569"/>
      <c r="M31" s="569"/>
      <c r="N31" s="576"/>
    </row>
    <row r="32" spans="2:14" ht="16.5" thickBot="1">
      <c r="B32" s="83" t="s">
        <v>45</v>
      </c>
      <c r="C32" s="596">
        <f>C30-C31</f>
        <v>47160</v>
      </c>
      <c r="D32" s="14"/>
      <c r="E32" s="596">
        <f>E30-E31</f>
        <v>60092</v>
      </c>
      <c r="F32" s="14"/>
      <c r="G32" s="596">
        <f>G30-G31</f>
        <v>56740</v>
      </c>
      <c r="H32" s="14"/>
      <c r="I32" s="14"/>
      <c r="K32" s="575" t="str">
        <f>CONCATENATE("",I1," Ad Valorem Tax Revenue:")</f>
        <v>2012 Ad Valorem Tax Revenue:</v>
      </c>
      <c r="L32" s="569"/>
      <c r="M32" s="569"/>
      <c r="N32" s="570">
        <f>H30</f>
        <v>52268</v>
      </c>
    </row>
    <row r="33" spans="2:14" ht="16.5" thickTop="1">
      <c r="B33" s="83" t="s">
        <v>46</v>
      </c>
      <c r="C33" s="597">
        <f>inputPrYr!E52</f>
        <v>46395</v>
      </c>
      <c r="D33" s="62"/>
      <c r="E33" s="597">
        <f>inputPrYr!E25</f>
        <v>50563</v>
      </c>
      <c r="F33" s="14"/>
      <c r="G33" s="588" t="s">
        <v>301</v>
      </c>
      <c r="H33" s="14"/>
      <c r="I33" s="14"/>
      <c r="K33" s="575" t="str">
        <f>CONCATENATE("",I1-1," Ad Valorem Tax Revenue:")</f>
        <v>2011 Ad Valorem Tax Revenue:</v>
      </c>
      <c r="L33" s="569"/>
      <c r="M33" s="569"/>
      <c r="N33" s="583">
        <f>ROUND(G35*N25/1000,0)</f>
        <v>47527</v>
      </c>
    </row>
    <row r="34" spans="2:14" ht="15.75">
      <c r="B34" s="279" t="s">
        <v>47</v>
      </c>
      <c r="C34" s="55"/>
      <c r="D34" s="62"/>
      <c r="E34" s="55"/>
      <c r="F34" s="62"/>
      <c r="G34" s="14"/>
      <c r="H34" s="14"/>
      <c r="I34" s="14"/>
      <c r="K34" s="580" t="s">
        <v>747</v>
      </c>
      <c r="L34" s="581"/>
      <c r="M34" s="581"/>
      <c r="N34" s="573">
        <f>N32-N33</f>
        <v>4741</v>
      </c>
    </row>
    <row r="35" spans="2:14" ht="15.75">
      <c r="B35" s="606" t="s">
        <v>48</v>
      </c>
      <c r="C35" s="31">
        <f>inputPrYr!E53</f>
        <v>2240278</v>
      </c>
      <c r="D35" s="14"/>
      <c r="E35" s="32">
        <f>inputOth!E28</f>
        <v>2502903</v>
      </c>
      <c r="F35" s="14"/>
      <c r="G35" s="32">
        <f>inputOth!E7</f>
        <v>2417460</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21.621</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800</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Galt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2417460</v>
      </c>
      <c r="E18" s="14"/>
      <c r="F18" s="140"/>
    </row>
    <row r="19" spans="1:6" ht="15.75">
      <c r="A19" s="14"/>
      <c r="B19" s="14"/>
      <c r="C19" s="14"/>
      <c r="D19" s="14"/>
      <c r="E19" s="14"/>
      <c r="F19" s="140"/>
    </row>
    <row r="20" spans="1:6" ht="15.75">
      <c r="A20" s="14"/>
      <c r="B20" s="682" t="s">
        <v>378</v>
      </c>
      <c r="C20" s="682"/>
      <c r="D20" s="148">
        <f>IF(D18&gt;0,(D18*0.001),"")</f>
        <v>2417.46</v>
      </c>
      <c r="E20" s="14"/>
      <c r="F20" s="140"/>
    </row>
    <row r="21" spans="1:6" ht="15.75">
      <c r="A21" s="14"/>
      <c r="B21" s="48"/>
      <c r="C21" s="48"/>
      <c r="D21" s="149"/>
      <c r="E21" s="14"/>
      <c r="F21" s="140"/>
    </row>
    <row r="22" spans="1:6" ht="15.75">
      <c r="A22" s="680" t="s">
        <v>380</v>
      </c>
      <c r="B22" s="625"/>
      <c r="C22" s="625"/>
      <c r="D22" s="150">
        <f>inputOth!E13</f>
        <v>0</v>
      </c>
      <c r="E22" s="151"/>
      <c r="F22" s="151"/>
    </row>
    <row r="23" spans="1:6" ht="15.75">
      <c r="A23" s="151"/>
      <c r="B23" s="151"/>
      <c r="C23" s="151"/>
      <c r="D23" s="152"/>
      <c r="E23" s="151"/>
      <c r="F23" s="151"/>
    </row>
    <row r="24" spans="1:6" ht="15.75">
      <c r="A24" s="151"/>
      <c r="B24" s="680" t="s">
        <v>381</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132</v>
      </c>
      <c r="B1" s="686"/>
      <c r="C1" s="686"/>
      <c r="D1" s="686"/>
      <c r="E1" s="686"/>
      <c r="F1" s="686"/>
      <c r="G1" s="686"/>
    </row>
    <row r="2" ht="15.75">
      <c r="A2" s="1"/>
    </row>
    <row r="3" spans="1:7" ht="15.75">
      <c r="A3" s="687" t="s">
        <v>133</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Galt Township </v>
      </c>
      <c r="I6">
        <f>CONCATENATE(I7)</f>
      </c>
    </row>
    <row r="7" spans="1:7" ht="15.75">
      <c r="A7" s="688" t="str">
        <f>CONCATENATE("   with respect to financing the ",inputPrYr!D5," annual budget for ",(inputPrYr!D2)," , ",(inputPrYr!D3)," , Kansas.")</f>
        <v>   with respect to financing the 2012 annual budget for Galt Township , Rice County , Kansas.</v>
      </c>
      <c r="B7" s="684"/>
      <c r="C7" s="684"/>
      <c r="D7" s="684"/>
      <c r="E7" s="684"/>
      <c r="F7" s="684"/>
      <c r="G7" s="684"/>
    </row>
    <row r="8" spans="1:7" ht="15.75">
      <c r="A8" s="684"/>
      <c r="B8" s="684"/>
      <c r="C8" s="684"/>
      <c r="D8" s="684"/>
      <c r="E8" s="684"/>
      <c r="F8" s="684"/>
      <c r="G8" s="684"/>
    </row>
    <row r="9" ht="15.75">
      <c r="A9" s="1"/>
    </row>
    <row r="10" ht="15.75">
      <c r="A10" s="9" t="s">
        <v>134</v>
      </c>
    </row>
    <row r="11" ht="15.75">
      <c r="A11" s="7" t="str">
        <f>CONCATENATE("to finance the ",inputPrYr!D5," ",(inputPrYr!D2)," budget exceed the amount levied to finance the ",inputPrYr!D5-1,"")</f>
        <v>to finance the 2012 Galt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Galt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139</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135</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Galt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136</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Galt Township of Rice County, Kansas that is our desire to notify the public of increased property taxes to finance the 2012 Galt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Galt Township Board, Rice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Galt Township Board</v>
      </c>
      <c r="E33" s="690"/>
      <c r="F33" s="690"/>
      <c r="G33" s="690"/>
    </row>
    <row r="35" spans="4:7" ht="15.75">
      <c r="D35" s="691" t="s">
        <v>137</v>
      </c>
      <c r="E35" s="691"/>
      <c r="F35" s="691"/>
      <c r="G35" s="691"/>
    </row>
    <row r="36" spans="1:7" ht="15.75">
      <c r="A36" s="5"/>
      <c r="D36" s="691" t="s">
        <v>141</v>
      </c>
      <c r="E36" s="691"/>
      <c r="F36" s="691"/>
      <c r="G36" s="691"/>
    </row>
    <row r="37" spans="4:7" ht="15.75">
      <c r="D37" s="691"/>
      <c r="E37" s="691"/>
      <c r="F37" s="691"/>
      <c r="G37" s="691"/>
    </row>
    <row r="38" spans="4:7" ht="15.75">
      <c r="D38" s="691" t="s">
        <v>137</v>
      </c>
      <c r="E38" s="691"/>
      <c r="F38" s="691"/>
      <c r="G38" s="691"/>
    </row>
    <row r="39" spans="1:7" ht="15.75">
      <c r="A39" s="4"/>
      <c r="D39" s="691" t="s">
        <v>142</v>
      </c>
      <c r="E39" s="691"/>
      <c r="F39" s="691"/>
      <c r="G39" s="691"/>
    </row>
    <row r="40" spans="4:7" ht="15.75">
      <c r="D40" s="691"/>
      <c r="E40" s="691"/>
      <c r="F40" s="691"/>
      <c r="G40" s="691"/>
    </row>
    <row r="41" spans="4:7" ht="15.75">
      <c r="D41" s="691" t="s">
        <v>140</v>
      </c>
      <c r="E41" s="691"/>
      <c r="F41" s="691"/>
      <c r="G41" s="691"/>
    </row>
    <row r="42" spans="1:7" ht="15.75">
      <c r="A42" s="4"/>
      <c r="D42" s="691" t="s">
        <v>143</v>
      </c>
      <c r="E42" s="691"/>
      <c r="F42" s="691"/>
      <c r="G42" s="691"/>
    </row>
    <row r="43" ht="15.75">
      <c r="A43" s="6"/>
    </row>
    <row r="44" ht="15.75">
      <c r="A44" s="6"/>
    </row>
    <row r="45" ht="15.75">
      <c r="A45" s="6" t="s">
        <v>138</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301</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301</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301</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301</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301</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301</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301</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301</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301</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A1" sqref="A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Galt Township</v>
      </c>
      <c r="B1" s="101"/>
      <c r="C1" s="101"/>
      <c r="D1" s="101"/>
      <c r="E1" s="101">
        <f>inputPrYr!D5</f>
        <v>2012</v>
      </c>
    </row>
    <row r="2" spans="1:5" ht="15.75">
      <c r="A2" s="99" t="str">
        <f>inputPrYr!D3</f>
        <v>Rice County</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2417460</v>
      </c>
    </row>
    <row r="8" spans="1:5" ht="15.75">
      <c r="A8" s="22" t="str">
        <f>CONCATENATE("New Improvements for ",E1-1,"")</f>
        <v>New Improvements for 2011</v>
      </c>
      <c r="B8" s="19"/>
      <c r="C8" s="19"/>
      <c r="D8" s="19"/>
      <c r="E8" s="309">
        <v>7650</v>
      </c>
    </row>
    <row r="9" spans="1:5" ht="15.75">
      <c r="A9" s="22" t="str">
        <f>CONCATENATE("Personal Property excluding oil, gas, and mobile homes - ",E1-1,"")</f>
        <v>Personal Property excluding oil, gas, and mobile homes - 2011</v>
      </c>
      <c r="B9" s="19"/>
      <c r="C9" s="19"/>
      <c r="D9" s="19"/>
      <c r="E9" s="309">
        <v>41372</v>
      </c>
    </row>
    <row r="10" spans="1:5" ht="15.75">
      <c r="A10" s="22" t="str">
        <f>CONCATENATE("Property that has changed in use for ",E1-1,"")</f>
        <v>Property that has changed in use for 2011</v>
      </c>
      <c r="B10" s="19"/>
      <c r="C10" s="19"/>
      <c r="D10" s="19"/>
      <c r="E10" s="309">
        <v>1269</v>
      </c>
    </row>
    <row r="11" spans="1:5" ht="15.75">
      <c r="A11" s="22" t="str">
        <f>CONCATENATE("Personal Property excluding oil, gas, and mobile homes- ",E1-2,"")</f>
        <v>Personal Property excluding oil, gas, and mobile homes- 2010</v>
      </c>
      <c r="B11" s="19"/>
      <c r="C11" s="19"/>
      <c r="D11" s="19"/>
      <c r="E11" s="309">
        <v>37799</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297</v>
      </c>
      <c r="B16" s="616"/>
      <c r="C16" s="101"/>
      <c r="D16" s="313" t="s">
        <v>3</v>
      </c>
      <c r="E16" s="312"/>
    </row>
    <row r="17" spans="1:5" ht="15.75">
      <c r="A17" s="82" t="str">
        <f>inputPrYr!B16</f>
        <v>General</v>
      </c>
      <c r="B17" s="20"/>
      <c r="C17" s="19"/>
      <c r="D17" s="314">
        <v>2.018</v>
      </c>
      <c r="E17" s="312"/>
    </row>
    <row r="18" spans="1:5" ht="15.75">
      <c r="A18" s="82" t="str">
        <f>inputPrYr!B17</f>
        <v>Debt Service</v>
      </c>
      <c r="B18" s="291"/>
      <c r="C18" s="19"/>
      <c r="D18" s="315"/>
      <c r="E18" s="312"/>
    </row>
    <row r="19" spans="1:5" ht="15.75">
      <c r="A19" s="82" t="str">
        <f>inputPrYr!B18</f>
        <v>Road</v>
      </c>
      <c r="B19" s="291"/>
      <c r="C19" s="19"/>
      <c r="D19" s="315">
        <v>17.642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19.66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2502903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1622</v>
      </c>
    </row>
    <row r="32" spans="1:5" ht="15.75">
      <c r="A32" s="322" t="s">
        <v>288</v>
      </c>
      <c r="B32" s="291"/>
      <c r="C32" s="291"/>
      <c r="D32" s="31"/>
      <c r="E32" s="34">
        <v>44</v>
      </c>
    </row>
    <row r="33" spans="1:5" ht="15.75">
      <c r="A33" s="322" t="s">
        <v>164</v>
      </c>
      <c r="B33" s="291"/>
      <c r="C33" s="291"/>
      <c r="D33" s="31"/>
      <c r="E33" s="34">
        <v>17</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2686</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218</v>
      </c>
      <c r="B45" s="327" t="s">
        <v>219</v>
      </c>
      <c r="C45" s="328" t="s">
        <v>220</v>
      </c>
      <c r="D45" s="329"/>
      <c r="E45" s="329"/>
    </row>
    <row r="46" spans="1:5" ht="15.75">
      <c r="A46" s="330" t="str">
        <f>inputPrYr!B16</f>
        <v>General</v>
      </c>
      <c r="B46" s="36">
        <v>5800</v>
      </c>
      <c r="C46" s="328" t="s">
        <v>221</v>
      </c>
      <c r="D46" s="329"/>
      <c r="E46" s="329"/>
    </row>
    <row r="47" spans="1:5" ht="15.75">
      <c r="A47" s="330" t="str">
        <f>inputPrYr!B17</f>
        <v>Debt Service</v>
      </c>
      <c r="B47" s="36"/>
      <c r="C47" s="328"/>
      <c r="D47" s="329"/>
      <c r="E47" s="329"/>
    </row>
    <row r="48" spans="1:5" ht="15.75">
      <c r="A48" s="330" t="str">
        <f>inputPrYr!B18</f>
        <v>Road</v>
      </c>
      <c r="B48" s="36">
        <v>59044</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47"/>
  <sheetViews>
    <sheetView zoomScalePageLayoutView="0" workbookViewId="0" topLeftCell="A1">
      <selection activeCell="A4" sqref="A4"/>
    </sheetView>
  </sheetViews>
  <sheetFormatPr defaultColWidth="8.796875" defaultRowHeight="15.75"/>
  <cols>
    <col min="1" max="1" width="72.09765625" style="91" customWidth="1"/>
    <col min="2" max="16384" width="8.796875" style="91" customWidth="1"/>
  </cols>
  <sheetData>
    <row r="1" ht="15.75">
      <c r="A1" s="401" t="s">
        <v>805</v>
      </c>
    </row>
    <row r="2" ht="15.75">
      <c r="A2" s="91" t="s">
        <v>806</v>
      </c>
    </row>
    <row r="3" ht="15.75">
      <c r="A3" s="91" t="s">
        <v>807</v>
      </c>
    </row>
    <row r="5" ht="15.75">
      <c r="A5" s="401" t="s">
        <v>778</v>
      </c>
    </row>
    <row r="6" ht="15.75">
      <c r="A6" s="605" t="s">
        <v>779</v>
      </c>
    </row>
    <row r="7" ht="15.75">
      <c r="A7" s="605" t="s">
        <v>780</v>
      </c>
    </row>
    <row r="8" ht="31.5">
      <c r="A8" s="604" t="s">
        <v>781</v>
      </c>
    </row>
    <row r="9" ht="15.75">
      <c r="A9" s="605" t="s">
        <v>782</v>
      </c>
    </row>
    <row r="10" ht="15.75">
      <c r="A10" s="605" t="s">
        <v>783</v>
      </c>
    </row>
    <row r="11" ht="15.75">
      <c r="A11" s="605" t="s">
        <v>784</v>
      </c>
    </row>
    <row r="12" ht="15.75">
      <c r="A12" s="605" t="s">
        <v>785</v>
      </c>
    </row>
    <row r="13" ht="15.75">
      <c r="A13" s="605" t="s">
        <v>786</v>
      </c>
    </row>
    <row r="14" ht="15.75">
      <c r="A14" s="605" t="s">
        <v>787</v>
      </c>
    </row>
    <row r="15" ht="15.75">
      <c r="A15" s="605" t="s">
        <v>788</v>
      </c>
    </row>
    <row r="16" ht="15.75">
      <c r="A16" s="605" t="s">
        <v>789</v>
      </c>
    </row>
    <row r="17" ht="15.75">
      <c r="A17" s="605" t="s">
        <v>790</v>
      </c>
    </row>
    <row r="18" ht="15.75">
      <c r="A18" s="605" t="s">
        <v>801</v>
      </c>
    </row>
    <row r="19" ht="15.75">
      <c r="A19" s="605" t="s">
        <v>791</v>
      </c>
    </row>
    <row r="20" ht="15.75">
      <c r="A20" s="605" t="s">
        <v>792</v>
      </c>
    </row>
    <row r="21" ht="15.75">
      <c r="A21" s="605" t="s">
        <v>793</v>
      </c>
    </row>
    <row r="22" ht="15.75">
      <c r="A22" s="605" t="s">
        <v>794</v>
      </c>
    </row>
    <row r="23" ht="15.75">
      <c r="A23" s="605" t="s">
        <v>795</v>
      </c>
    </row>
    <row r="24" ht="15.75">
      <c r="A24" s="605" t="s">
        <v>796</v>
      </c>
    </row>
    <row r="25" ht="15.75">
      <c r="A25" s="605" t="s">
        <v>797</v>
      </c>
    </row>
    <row r="26" ht="15.75">
      <c r="A26" s="605" t="s">
        <v>798</v>
      </c>
    </row>
    <row r="27" ht="15.75">
      <c r="A27" s="605" t="s">
        <v>799</v>
      </c>
    </row>
    <row r="28" ht="15.75">
      <c r="A28" s="605" t="s">
        <v>804</v>
      </c>
    </row>
    <row r="30" ht="15.75">
      <c r="A30" s="401" t="s">
        <v>642</v>
      </c>
    </row>
    <row r="31" ht="39" customHeight="1">
      <c r="A31" s="360" t="s">
        <v>643</v>
      </c>
    </row>
    <row r="32" ht="23.25" customHeight="1"/>
    <row r="33" ht="15.75">
      <c r="A33" s="401" t="s">
        <v>638</v>
      </c>
    </row>
    <row r="34" ht="15.75">
      <c r="A34" s="91" t="s">
        <v>639</v>
      </c>
    </row>
    <row r="35" ht="15.75">
      <c r="A35" s="91" t="s">
        <v>640</v>
      </c>
    </row>
    <row r="36" ht="15.75">
      <c r="A36" s="91" t="s">
        <v>641</v>
      </c>
    </row>
    <row r="38" ht="15.75">
      <c r="A38" s="404" t="s">
        <v>627</v>
      </c>
    </row>
    <row r="39" ht="15.75">
      <c r="A39" s="91" t="s">
        <v>637</v>
      </c>
    </row>
    <row r="41" ht="15.75">
      <c r="A41" s="401" t="s">
        <v>601</v>
      </c>
    </row>
    <row r="42" ht="15.75">
      <c r="A42" s="402" t="s">
        <v>602</v>
      </c>
    </row>
    <row r="43" ht="15.75">
      <c r="A43" s="402" t="s">
        <v>603</v>
      </c>
    </row>
    <row r="44" ht="15.75">
      <c r="A44" s="402" t="s">
        <v>604</v>
      </c>
    </row>
    <row r="45" ht="15.75">
      <c r="A45" s="400" t="s">
        <v>605</v>
      </c>
    </row>
    <row r="47" ht="15.75">
      <c r="A47" s="373" t="s">
        <v>328</v>
      </c>
    </row>
    <row r="48" ht="15.75">
      <c r="A48" s="91" t="s">
        <v>330</v>
      </c>
    </row>
    <row r="49" ht="15.75">
      <c r="A49" s="91" t="s">
        <v>331</v>
      </c>
    </row>
    <row r="50" ht="15.75">
      <c r="A50" s="91" t="s">
        <v>332</v>
      </c>
    </row>
    <row r="51" ht="15.75">
      <c r="A51" s="91" t="s">
        <v>333</v>
      </c>
    </row>
    <row r="52" ht="15.75">
      <c r="A52" s="91" t="s">
        <v>334</v>
      </c>
    </row>
    <row r="53" ht="15.75">
      <c r="A53" s="91" t="s">
        <v>335</v>
      </c>
    </row>
    <row r="54" ht="15.75">
      <c r="A54" s="91" t="s">
        <v>350</v>
      </c>
    </row>
    <row r="55" ht="15.75">
      <c r="A55" s="91" t="s">
        <v>351</v>
      </c>
    </row>
    <row r="56" ht="15.75">
      <c r="A56" s="91" t="s">
        <v>352</v>
      </c>
    </row>
    <row r="57" ht="15.75">
      <c r="A57" s="91" t="s">
        <v>353</v>
      </c>
    </row>
    <row r="58" ht="15.75">
      <c r="A58" s="91" t="s">
        <v>369</v>
      </c>
    </row>
    <row r="59" ht="31.5">
      <c r="A59" s="360" t="s">
        <v>370</v>
      </c>
    </row>
    <row r="60" ht="15.75">
      <c r="A60" s="360" t="s">
        <v>379</v>
      </c>
    </row>
    <row r="61" ht="15.75">
      <c r="A61" s="375" t="s">
        <v>382</v>
      </c>
    </row>
    <row r="62" ht="15.75">
      <c r="A62" s="376" t="s">
        <v>383</v>
      </c>
    </row>
    <row r="64" ht="15.75">
      <c r="A64" s="373" t="s">
        <v>323</v>
      </c>
    </row>
    <row r="65" ht="15.75">
      <c r="A65" s="91" t="s">
        <v>324</v>
      </c>
    </row>
    <row r="66" ht="15.75">
      <c r="A66" s="91" t="s">
        <v>325</v>
      </c>
    </row>
    <row r="68" ht="15.75">
      <c r="A68" s="373" t="s">
        <v>321</v>
      </c>
    </row>
    <row r="69" ht="15.75">
      <c r="A69" s="91" t="s">
        <v>322</v>
      </c>
    </row>
    <row r="71" ht="15.75">
      <c r="A71" s="373" t="s">
        <v>319</v>
      </c>
    </row>
    <row r="72" ht="15.75">
      <c r="A72" s="91" t="s">
        <v>320</v>
      </c>
    </row>
    <row r="74" ht="15.75">
      <c r="A74" s="373" t="s">
        <v>316</v>
      </c>
    </row>
    <row r="75" ht="15.75">
      <c r="A75" s="91" t="s">
        <v>317</v>
      </c>
    </row>
    <row r="76" ht="15.75">
      <c r="A76" s="91" t="s">
        <v>318</v>
      </c>
    </row>
    <row r="78" ht="15.75">
      <c r="A78" s="91" t="s">
        <v>312</v>
      </c>
    </row>
    <row r="79" ht="15.75">
      <c r="A79" s="91" t="s">
        <v>313</v>
      </c>
    </row>
    <row r="80" ht="15.75">
      <c r="A80" s="91" t="s">
        <v>314</v>
      </c>
    </row>
    <row r="81" ht="15.75">
      <c r="A81" s="91" t="s">
        <v>315</v>
      </c>
    </row>
    <row r="83" ht="15.75">
      <c r="A83" s="91" t="s">
        <v>308</v>
      </c>
    </row>
    <row r="84" ht="15.75">
      <c r="A84" s="91" t="s">
        <v>309</v>
      </c>
    </row>
    <row r="85" ht="15.75">
      <c r="A85" s="91" t="s">
        <v>310</v>
      </c>
    </row>
    <row r="87" ht="15.75">
      <c r="A87" s="91" t="s">
        <v>306</v>
      </c>
    </row>
    <row r="88" ht="34.5" customHeight="1">
      <c r="A88" s="91" t="s">
        <v>307</v>
      </c>
    </row>
    <row r="90" ht="15.75">
      <c r="A90" s="91" t="s">
        <v>261</v>
      </c>
    </row>
    <row r="91" ht="15.75">
      <c r="A91" s="91" t="s">
        <v>262</v>
      </c>
    </row>
    <row r="92" ht="31.5">
      <c r="A92" s="360" t="s">
        <v>278</v>
      </c>
    </row>
    <row r="93" ht="15.75">
      <c r="A93" s="91" t="s">
        <v>263</v>
      </c>
    </row>
    <row r="94" ht="15.75">
      <c r="A94" s="91" t="s">
        <v>264</v>
      </c>
    </row>
    <row r="95" ht="15.75">
      <c r="A95" s="91" t="s">
        <v>265</v>
      </c>
    </row>
    <row r="96" ht="15.75">
      <c r="A96" s="91" t="s">
        <v>266</v>
      </c>
    </row>
    <row r="97" ht="31.5">
      <c r="A97" s="360" t="s">
        <v>246</v>
      </c>
    </row>
    <row r="98" ht="31.5">
      <c r="A98" s="360" t="s">
        <v>274</v>
      </c>
    </row>
    <row r="99" ht="31.5">
      <c r="A99" s="360" t="s">
        <v>267</v>
      </c>
    </row>
    <row r="100" ht="15.75">
      <c r="A100" s="360" t="s">
        <v>268</v>
      </c>
    </row>
    <row r="101" ht="31.5">
      <c r="A101" s="360" t="s">
        <v>269</v>
      </c>
    </row>
    <row r="102" ht="33.75" customHeight="1">
      <c r="A102" s="91" t="s">
        <v>270</v>
      </c>
    </row>
    <row r="103" ht="26.25" customHeight="1">
      <c r="A103" s="91" t="s">
        <v>271</v>
      </c>
    </row>
    <row r="104" ht="33.75" customHeight="1">
      <c r="A104" s="91" t="s">
        <v>272</v>
      </c>
    </row>
    <row r="105" ht="30.75" customHeight="1">
      <c r="A105" s="91" t="s">
        <v>277</v>
      </c>
    </row>
    <row r="106" ht="21" customHeight="1">
      <c r="A106" s="360" t="s">
        <v>275</v>
      </c>
    </row>
    <row r="107" ht="38.25" customHeight="1">
      <c r="A107" s="360" t="s">
        <v>240</v>
      </c>
    </row>
    <row r="108" ht="33.75" customHeight="1">
      <c r="A108" s="360" t="s">
        <v>247</v>
      </c>
    </row>
    <row r="109" ht="33.75" customHeight="1">
      <c r="A109" s="360" t="s">
        <v>241</v>
      </c>
    </row>
    <row r="110" ht="33.75" customHeight="1">
      <c r="A110" s="360" t="s">
        <v>242</v>
      </c>
    </row>
    <row r="111" ht="33.75" customHeight="1">
      <c r="A111" s="360" t="s">
        <v>243</v>
      </c>
    </row>
    <row r="112" ht="31.5">
      <c r="A112" s="360" t="s">
        <v>244</v>
      </c>
    </row>
    <row r="113" ht="31.5">
      <c r="A113" s="360" t="s">
        <v>248</v>
      </c>
    </row>
    <row r="114" ht="31.5">
      <c r="A114" s="360" t="s">
        <v>245</v>
      </c>
    </row>
    <row r="115" ht="31.5">
      <c r="A115" s="360" t="s">
        <v>249</v>
      </c>
    </row>
    <row r="116" ht="15.75">
      <c r="A116" s="360" t="s">
        <v>255</v>
      </c>
    </row>
    <row r="118" ht="15.75">
      <c r="A118" s="91" t="s">
        <v>195</v>
      </c>
    </row>
    <row r="119" ht="47.25">
      <c r="A119" s="360" t="s">
        <v>250</v>
      </c>
    </row>
    <row r="120" ht="15.75">
      <c r="A120" s="91" t="s">
        <v>196</v>
      </c>
    </row>
    <row r="121" ht="15.75">
      <c r="A121" s="91" t="s">
        <v>200</v>
      </c>
    </row>
    <row r="122" ht="15.75">
      <c r="A122" s="91" t="s">
        <v>201</v>
      </c>
    </row>
    <row r="123" ht="15.75">
      <c r="A123" s="91" t="s">
        <v>197</v>
      </c>
    </row>
    <row r="124" ht="15.75">
      <c r="A124" s="91" t="s">
        <v>198</v>
      </c>
    </row>
    <row r="125" ht="15.75">
      <c r="A125" s="91" t="s">
        <v>199</v>
      </c>
    </row>
    <row r="126" ht="15.75">
      <c r="A126" s="360" t="s">
        <v>202</v>
      </c>
    </row>
    <row r="127" ht="15.75">
      <c r="A127" s="91" t="s">
        <v>203</v>
      </c>
    </row>
    <row r="128" ht="15.75">
      <c r="A128" s="91" t="s">
        <v>204</v>
      </c>
    </row>
    <row r="129" ht="15.75">
      <c r="A129" s="91" t="s">
        <v>251</v>
      </c>
    </row>
    <row r="130" ht="15.75">
      <c r="A130" s="91" t="s">
        <v>205</v>
      </c>
    </row>
    <row r="131" ht="15.75">
      <c r="A131" s="91" t="s">
        <v>252</v>
      </c>
    </row>
    <row r="132" ht="15.75">
      <c r="A132" s="91" t="s">
        <v>206</v>
      </c>
    </row>
    <row r="133" ht="15.75">
      <c r="A133" s="91" t="s">
        <v>253</v>
      </c>
    </row>
    <row r="134" ht="15.75">
      <c r="A134" s="91" t="s">
        <v>207</v>
      </c>
    </row>
    <row r="135" ht="15.75">
      <c r="A135" s="91" t="s">
        <v>211</v>
      </c>
    </row>
    <row r="136" ht="15.75">
      <c r="A136" s="91" t="s">
        <v>254</v>
      </c>
    </row>
    <row r="137" ht="15.75">
      <c r="A137" s="91" t="s">
        <v>229</v>
      </c>
    </row>
    <row r="138" ht="15.75">
      <c r="A138" s="91" t="s">
        <v>230</v>
      </c>
    </row>
    <row r="139" ht="15.75">
      <c r="A139" s="91" t="s">
        <v>231</v>
      </c>
    </row>
    <row r="140" ht="15.75">
      <c r="A140" s="91" t="s">
        <v>215</v>
      </c>
    </row>
    <row r="141" ht="15.75">
      <c r="A141" s="91" t="s">
        <v>216</v>
      </c>
    </row>
    <row r="142" ht="15.75">
      <c r="A142" s="91" t="s">
        <v>217</v>
      </c>
    </row>
    <row r="143" ht="15.75">
      <c r="A143" s="91" t="s">
        <v>226</v>
      </c>
    </row>
    <row r="144" ht="15.75">
      <c r="A144" s="91" t="s">
        <v>227</v>
      </c>
    </row>
    <row r="145" ht="15.75">
      <c r="A145" s="91" t="s">
        <v>228</v>
      </c>
    </row>
    <row r="146" ht="15.75">
      <c r="A146" s="91" t="s">
        <v>239</v>
      </c>
    </row>
    <row r="147" ht="15.75">
      <c r="A147"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3"/>
      <c r="B4" s="383"/>
      <c r="C4" s="383"/>
      <c r="D4" s="385"/>
      <c r="E4" s="383"/>
      <c r="F4" s="383"/>
    </row>
    <row r="5" spans="1:6" ht="15.75">
      <c r="A5" s="384" t="s">
        <v>385</v>
      </c>
      <c r="B5" s="386" t="s">
        <v>815</v>
      </c>
      <c r="C5" s="387"/>
      <c r="D5" s="384" t="s">
        <v>803</v>
      </c>
      <c r="E5" s="383"/>
      <c r="F5" s="383"/>
    </row>
    <row r="6" spans="1:6" ht="15.75">
      <c r="A6" s="384"/>
      <c r="B6" s="388"/>
      <c r="C6" s="389"/>
      <c r="D6" s="384" t="s">
        <v>802</v>
      </c>
      <c r="E6" s="383"/>
      <c r="F6" s="383"/>
    </row>
    <row r="7" spans="1:6" ht="15.75">
      <c r="A7" s="384" t="s">
        <v>386</v>
      </c>
      <c r="B7" s="386" t="s">
        <v>816</v>
      </c>
      <c r="C7" s="390"/>
      <c r="D7" s="384"/>
      <c r="E7" s="383"/>
      <c r="F7" s="383"/>
    </row>
    <row r="8" spans="1:6" ht="15.75">
      <c r="A8" s="384"/>
      <c r="B8" s="384"/>
      <c r="C8" s="384"/>
      <c r="D8" s="384"/>
      <c r="E8" s="383"/>
      <c r="F8" s="383"/>
    </row>
    <row r="9" spans="1:6" ht="15.75">
      <c r="A9" s="384" t="s">
        <v>387</v>
      </c>
      <c r="B9" s="391" t="s">
        <v>817</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812</v>
      </c>
      <c r="C12" s="391"/>
      <c r="D12" s="391"/>
      <c r="E12" s="392"/>
      <c r="F12" s="383"/>
    </row>
    <row r="15" spans="1:6" ht="15.75">
      <c r="A15" s="623" t="s">
        <v>389</v>
      </c>
      <c r="B15" s="62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Rice County, State of Kansas</v>
      </c>
      <c r="C3" s="634"/>
      <c r="D3" s="634"/>
      <c r="E3" s="634"/>
      <c r="F3" s="634"/>
      <c r="G3" s="634"/>
      <c r="H3" s="634"/>
    </row>
    <row r="4" spans="2:7" s="14" customFormat="1" ht="15.75">
      <c r="B4" s="158" t="s">
        <v>155</v>
      </c>
      <c r="C4" s="156"/>
      <c r="D4" s="156"/>
      <c r="E4" s="156"/>
      <c r="F4" s="156"/>
      <c r="G4" s="156"/>
    </row>
    <row r="5" s="14" customFormat="1" ht="15.75">
      <c r="D5" s="427" t="str">
        <f>inputPrYr!D2</f>
        <v>Galt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289</v>
      </c>
      <c r="F12" s="627" t="str">
        <f>CONCATENATE("Amount of ",H1-1," Ad Valorem Tax")</f>
        <v>Amount of 2011 Ad Valorem Tax</v>
      </c>
      <c r="G12" s="23" t="s">
        <v>290</v>
      </c>
    </row>
    <row r="13" spans="4:7" s="14" customFormat="1" ht="15.75">
      <c r="D13" s="23" t="s">
        <v>291</v>
      </c>
      <c r="E13" s="590" t="s">
        <v>219</v>
      </c>
      <c r="F13" s="628"/>
      <c r="G13" s="167" t="s">
        <v>292</v>
      </c>
    </row>
    <row r="14" spans="2:7" s="14" customFormat="1" ht="15.75">
      <c r="B14" s="82" t="s">
        <v>293</v>
      </c>
      <c r="C14" s="20"/>
      <c r="D14" s="26" t="s">
        <v>294</v>
      </c>
      <c r="E14" s="591" t="s">
        <v>750</v>
      </c>
      <c r="F14" s="629"/>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v>4</v>
      </c>
      <c r="E17" s="19"/>
      <c r="F17" s="19"/>
      <c r="G17" s="281"/>
    </row>
    <row r="18" spans="2:7" s="14" customFormat="1" ht="15.75">
      <c r="B18" s="74" t="s">
        <v>144</v>
      </c>
      <c r="C18" s="28"/>
      <c r="D18" s="172">
        <v>5</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6</v>
      </c>
      <c r="E20" s="172">
        <f>IF(gen!$E$50&lt;&gt;0,gen!$E$50,"  ")</f>
        <v>5800</v>
      </c>
      <c r="F20" s="172">
        <f>IF(gen!$E$57&lt;&gt;0,gen!$E$57,0)</f>
        <v>5524</v>
      </c>
      <c r="G20" s="168" t="str">
        <f>IF(AND(gen!E57=0,$C$38&gt;=0)," ",IF(AND(F20&gt;0,$C$38=0)," ",IF(AND(F20&gt;0,$C$38&gt;0),ROUND(F20/$C$38*1000,3))))</f>
        <v> </v>
      </c>
    </row>
    <row r="21" spans="2:7" s="14" customFormat="1" ht="15.7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50940</v>
      </c>
      <c r="F22" s="172">
        <f>IF(road!$E$50&lt;&gt;0,road!$E$50,"  ")</f>
        <v>46744</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7</v>
      </c>
      <c r="E32" s="192"/>
      <c r="F32" s="192"/>
      <c r="G32" s="168"/>
    </row>
    <row r="33" spans="2:7" s="14" customFormat="1" ht="16.5" thickBot="1">
      <c r="B33" s="290" t="s">
        <v>300</v>
      </c>
      <c r="C33" s="291"/>
      <c r="D33" s="170" t="s">
        <v>301</v>
      </c>
      <c r="E33" s="292">
        <f>SUM(E20:E28)</f>
        <v>56740</v>
      </c>
      <c r="F33" s="292">
        <f>SUM(F20:F28)</f>
        <v>52268</v>
      </c>
      <c r="G33" s="293">
        <f>IF(SUM(G20:G28)&gt;0,SUM(G20:G28),"")</f>
      </c>
    </row>
    <row r="34" spans="2:4" s="14" customFormat="1" ht="16.5" thickTop="1">
      <c r="B34" s="27" t="s">
        <v>174</v>
      </c>
      <c r="C34" s="283"/>
      <c r="D34" s="288">
        <f>summ!D47</f>
        <v>8</v>
      </c>
    </row>
    <row r="35" spans="2:6" s="14" customFormat="1" ht="15.75">
      <c r="B35" s="27" t="s">
        <v>225</v>
      </c>
      <c r="C35" s="28"/>
      <c r="D35" s="288">
        <f>IF(nhood!C37&gt;0,nhood!C37,"")</f>
      </c>
      <c r="E35" s="294" t="s">
        <v>161</v>
      </c>
      <c r="F35" s="295" t="str">
        <f>IF(F33&gt;computation!J34,"Yes","No")</f>
        <v>Yes</v>
      </c>
    </row>
    <row r="36" spans="2:6" s="14" customFormat="1" ht="15.75">
      <c r="B36" s="27" t="s">
        <v>160</v>
      </c>
      <c r="C36" s="28"/>
      <c r="D36" s="288">
        <f>IF(Resolution!D50&gt;0,Resolution!D50,"")</f>
      </c>
      <c r="E36" s="296"/>
      <c r="F36" s="297"/>
    </row>
    <row r="37" spans="2:7" s="14" customFormat="1" ht="15.75">
      <c r="B37" s="74" t="s">
        <v>101</v>
      </c>
      <c r="C37" s="637" t="s">
        <v>128</v>
      </c>
      <c r="D37" s="638"/>
      <c r="E37" s="298"/>
      <c r="G37" s="22" t="s">
        <v>302</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Galt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50563</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50563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7650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41372</v>
      </c>
      <c r="F14" s="270"/>
      <c r="G14" s="55"/>
      <c r="H14" s="55"/>
      <c r="I14" s="53"/>
      <c r="J14" s="55"/>
    </row>
    <row r="15" spans="1:10" ht="15.75">
      <c r="A15" s="269"/>
      <c r="B15" s="14" t="s">
        <v>91</v>
      </c>
      <c r="C15" s="14" t="str">
        <f>CONCATENATE("Personal Property ",J1-2,"")</f>
        <v>Personal Property 2010</v>
      </c>
      <c r="D15" s="269" t="s">
        <v>86</v>
      </c>
      <c r="E15" s="273">
        <f>inputOth!E11</f>
        <v>37799</v>
      </c>
      <c r="F15" s="270"/>
      <c r="G15" s="53"/>
      <c r="H15" s="53"/>
      <c r="I15" s="55"/>
      <c r="J15" s="55"/>
    </row>
    <row r="16" spans="1:10" ht="15.75">
      <c r="A16" s="269"/>
      <c r="B16" s="14" t="s">
        <v>92</v>
      </c>
      <c r="C16" s="14" t="s">
        <v>112</v>
      </c>
      <c r="D16" s="14"/>
      <c r="E16" s="55"/>
      <c r="F16" s="55" t="s">
        <v>15</v>
      </c>
      <c r="G16" s="271">
        <f>IF(E14&gt;E15,E14-E15,0)</f>
        <v>3573</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1269</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12492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2417460</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2404968</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0.005194247906832856</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263</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50826</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50826</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Galt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166</v>
      </c>
      <c r="L10" s="111"/>
    </row>
    <row r="11" spans="2:12" ht="15.75">
      <c r="B11" s="96" t="str">
        <f>inputPrYr!B16</f>
        <v>General</v>
      </c>
      <c r="C11" s="252"/>
      <c r="D11" s="96">
        <f>IF(inputPrYr!E16&gt;0,inputPrYr!E16,"  ")</f>
        <v>5190</v>
      </c>
      <c r="E11" s="253">
        <f>IF(inputOth!D17&gt;0,inputOth!D17,"  ")</f>
        <v>2.018</v>
      </c>
      <c r="F11" s="254"/>
      <c r="G11" s="96">
        <f>IF(inputPrYr!E16=0,0,G22-SUM(G12:G19))</f>
        <v>166</v>
      </c>
      <c r="H11" s="255"/>
      <c r="I11" s="96">
        <f>IF(inputPrYr!E16=0,0,I24-SUM(I12:I19))</f>
        <v>5</v>
      </c>
      <c r="J11" s="96">
        <f>IF(inputPrYr!E16=0,0,J26-SUM(J12:J19))</f>
        <v>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45373</v>
      </c>
      <c r="E13" s="253">
        <f>IF(inputOth!D19&gt;0,inputOth!D19,"  ")</f>
        <v>17.642</v>
      </c>
      <c r="F13" s="254"/>
      <c r="G13" s="96">
        <f>IF(inputPrYr!E18=0,0,ROUND(D13*$G$30,0))</f>
        <v>1456</v>
      </c>
      <c r="H13" s="255"/>
      <c r="I13" s="96">
        <f>IF(inputPrYr!$E$18=0,0,ROUND($D$13*$I$32,0))</f>
        <v>39</v>
      </c>
      <c r="J13" s="96">
        <f>IF(inputPrYr!E18=0,0,ROUND($D13*$J$34,0))</f>
        <v>15</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50563</v>
      </c>
      <c r="E20" s="259">
        <f>SUM(E11:E19)</f>
        <v>19.66</v>
      </c>
      <c r="F20" s="260"/>
      <c r="G20" s="258">
        <f>SUM(G11:G19)</f>
        <v>1622</v>
      </c>
      <c r="H20" s="258"/>
      <c r="I20" s="258">
        <f>SUM(I11:I19)</f>
        <v>44</v>
      </c>
      <c r="J20" s="258">
        <f>SUM(J11:J19)</f>
        <v>17</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1622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17</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0.03207879279314914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0.0008702015307636018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0.000336214227795028</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Galt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14694</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14694</v>
      </c>
      <c r="D27" s="245">
        <f>SUM(D10:D26)</f>
        <v>0</v>
      </c>
      <c r="E27" s="245">
        <f>SUM(E10:E26)</f>
        <v>0</v>
      </c>
      <c r="F27" s="140"/>
    </row>
    <row r="28" spans="1:6" ht="15.75">
      <c r="A28" s="140"/>
      <c r="B28" s="244" t="s">
        <v>632</v>
      </c>
      <c r="C28" s="140"/>
      <c r="D28" s="241"/>
      <c r="E28" s="241"/>
      <c r="F28" s="140"/>
    </row>
    <row r="29" spans="1:6" ht="15.75">
      <c r="A29" s="140"/>
      <c r="B29" s="192" t="s">
        <v>183</v>
      </c>
      <c r="C29" s="246">
        <f>C27</f>
        <v>14694</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740</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2011-07-14T13:24:21Z</cp:lastPrinted>
  <dcterms:created xsi:type="dcterms:W3CDTF">1998-08-26T16:30:41Z</dcterms:created>
  <dcterms:modified xsi:type="dcterms:W3CDTF">2011-07-14T13:27:46Z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