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93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<sst xmlns="http://schemas.openxmlformats.org/spreadsheetml/2006/main" count="1382" uniqueCount="827">
  <si>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</si>
  <si>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</si>
  <si>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</si>
  <si>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</si>
  <si>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</si>
  <si>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</si>
  <si>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</si>
  <si>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</si>
  <si>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</si>
  <si>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</si>
  <si>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</si>
  <si>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</si>
  <si>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</si>
  <si>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</si>
  <si>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</si>
  <si>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</si>
  <si>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</si>
  <si>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</si>
  <si>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</si>
  <si>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</si>
  <si>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</si>
  <si>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</si>
  <si>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</si>
  <si>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</si>
  <si>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</si>
  <si>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</si>
  <si>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</si>
  <si>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</si>
  <si>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</si>
  <si>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</si>
  <si>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</si>
  <si>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</si>
  <si>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</si>
  <si>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</si>
  <si>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</si>
  <si>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</si>
  <si>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</si>
  <si>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</si>
  <si>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</si>
  <si>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</si>
  <si>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</si>
  <si>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</si>
  <si>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</si>
  <si>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</si>
  <si>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</si>
  <si>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</si>
  <si>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</si>
  <si>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</si>
  <si>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</si>
  <si>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</si>
  <si>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</si>
  <si>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</si>
  <si>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</si>
  <si>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</si>
  <si>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</si>
  <si>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</si>
  <si>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</si>
  <si>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</si>
  <si>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</si>
  <si>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</si>
  <si>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</si>
  <si>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</si>
  <si>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</si>
  <si>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</si>
  <si>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</si>
  <si>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</si>
  <si>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</si>
  <si>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</si>
  <si>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</si>
  <si>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</si>
  <si>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</si>
  <si>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</si>
  <si>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</si>
  <si>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</si>
  <si>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</si>
  <si>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</si>
  <si>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</si>
  <si>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</si>
  <si>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</si>
  <si>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</si>
  <si>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</si>
  <si>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</si>
  <si>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</si>
  <si>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</si>
  <si>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</si>
  <si>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</si>
  <si>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</si>
  <si>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</si>
  <si>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</si>
  <si>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</si>
  <si>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</si>
  <si>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</si>
  <si>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</si>
  <si>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</si>
  <si>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</si>
  <si>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</si>
  <si>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</si>
  <si>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</si>
  <si>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</si>
  <si>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</si>
  <si>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</si>
  <si>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</si>
  <si>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</si>
  <si>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</si>
  <si>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</si>
  <si>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</si>
  <si>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</si>
  <si>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</si>
  <si>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</si>
  <si>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</si>
  <si>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</si>
  <si>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</si>
  <si>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</si>
  <si>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</si>
  <si>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</si>
  <si>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</si>
  <si>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</si>
  <si>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</si>
  <si>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</si>
  <si>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</si>
  <si>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</si>
  <si>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</si>
  <si>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</si>
  <si>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</si>
  <si>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</si>
  <si>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</si>
  <si>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</si>
  <si>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</si>
  <si>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</si>
  <si>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</si>
  <si>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</si>
  <si>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</si>
  <si>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</si>
  <si>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</si>
  <si>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</si>
  <si>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</si>
  <si>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</si>
  <si>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</si>
  <si>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</si>
  <si>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</si>
  <si>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</si>
  <si>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</si>
  <si>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</si>
  <si>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</si>
  <si>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</si>
  <si>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</si>
  <si>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</si>
  <si>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</si>
  <si>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</si>
  <si>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</si>
  <si>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</si>
  <si>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</si>
  <si>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</si>
  <si>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</si>
  <si>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</si>
  <si>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</si>
  <si>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</si>
  <si>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</si>
  <si>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</si>
  <si>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</si>
  <si>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</si>
  <si>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</si>
  <si>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</si>
  <si>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</si>
  <si>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</si>
  <si>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</si>
  <si>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</si>
  <si>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</si>
  <si>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</si>
  <si>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</si>
  <si>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</si>
  <si>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</si>
  <si>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</si>
  <si>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</si>
  <si>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</si>
  <si>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</si>
  <si>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</si>
  <si>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</si>
  <si>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</si>
  <si>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</si>
  <si>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</si>
  <si>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</si>
  <si>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</si>
  <si>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</si>
  <si>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</si>
  <si>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</si>
  <si>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</si>
  <si>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</si>
  <si>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</si>
  <si>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</si>
  <si>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</si>
  <si>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</si>
  <si>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</si>
  <si>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</si>
  <si>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</si>
  <si>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</si>
  <si>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</si>
  <si>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</si>
  <si>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</si>
  <si>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</si>
  <si>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</si>
  <si>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</si>
  <si>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</si>
  <si>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</si>
  <si>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</si>
  <si>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</si>
  <si>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</si>
  <si>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</si>
  <si>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</si>
  <si>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</si>
  <si>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</si>
  <si>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</si>
  <si>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</si>
  <si>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</si>
  <si>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</si>
  <si>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</si>
  <si>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</si>
  <si>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</si>
  <si>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</si>
  <si>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</si>
  <si>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</si>
  <si>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</si>
  <si>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</si>
  <si>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</si>
  <si>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</si>
  <si>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</si>
  <si>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</si>
  <si>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</si>
  <si>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</si>
  <si>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</si>
  <si>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</si>
  <si>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</si>
  <si>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</si>
  <si>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</si>
  <si>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</si>
  <si>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</si>
  <si>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</si>
  <si>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</si>
  <si>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</si>
  <si>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</si>
  <si>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</si>
  <si>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</si>
  <si>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</si>
  <si>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</si>
  <si>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</si>
  <si>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</si>
  <si>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</si>
  <si>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</si>
  <si>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</si>
  <si>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</si>
  <si>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</si>
  <si>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</si>
  <si>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</si>
  <si>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</si>
  <si>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</si>
  <si>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</si>
  <si>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</si>
  <si>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</si>
  <si>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</si>
  <si>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</si>
  <si>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</si>
  <si>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</si>
  <si>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</si>
  <si>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</si>
  <si>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</si>
  <si>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</si>
  <si>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</si>
  <si>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</si>
  <si>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</si>
  <si>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</si>
  <si>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</si>
  <si>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</si>
  <si>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</si>
  <si>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</si>
  <si>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</si>
  <si>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</si>
  <si>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</si>
  <si>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</si>
  <si>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</si>
  <si>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</si>
  <si>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</si>
  <si>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</si>
  <si>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</si>
  <si>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</si>
  <si>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</si>
  <si>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</si>
  <si>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</si>
  <si>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</si>
  <si>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</si>
  <si>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</si>
  <si>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</si>
  <si>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</si>
  <si>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</si>
  <si>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</si>
  <si>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</si>
  <si>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</si>
  <si>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</si>
  <si>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</si>
  <si>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</si>
  <si>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</si>
  <si>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</si>
  <si>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</si>
  <si>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</si>
  <si>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</si>
  <si>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</si>
  <si>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</si>
  <si>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</si>
  <si>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</si>
  <si>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</si>
  <si>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</si>
  <si>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</si>
  <si>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</si>
  <si>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</si>
  <si>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</si>
  <si>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</si>
  <si>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</si>
  <si>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</si>
  <si>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</si>
  <si>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</si>
  <si>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</si>
  <si>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</si>
  <si>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</si>
  <si>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</si>
  <si>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</si>
  <si>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</si>
  <si>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</si>
  <si>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</si>
  <si>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</si>
  <si>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</si>
  <si>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</si>
  <si>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</si>
  <si>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</si>
  <si>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</si>
  <si>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</si>
  <si>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</si>
  <si>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</si>
  <si>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</si>
  <si>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</si>
  <si>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</si>
  <si>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</si>
  <si>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</si>
  <si>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</si>
  <si>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</si>
  <si>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</si>
  <si>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</si>
  <si>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</si>
  <si>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</si>
  <si>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</si>
  <si>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</si>
  <si>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</si>
  <si>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</si>
  <si>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</si>
  <si>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</si>
  <si>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</si>
  <si>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</si>
  <si>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</si>
  <si>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</si>
  <si>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</si>
  <si>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</si>
  <si>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</si>
  <si>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</si>
  <si>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</si>
  <si>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</si>
  <si>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</si>
  <si>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</si>
  <si>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</si>
  <si>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</si>
  <si>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</si>
  <si>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</si>
  <si>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</si>
  <si>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</si>
  <si>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</si>
  <si>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</si>
  <si>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</si>
  <si>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</si>
  <si>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</si>
  <si>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</si>
  <si>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</si>
  <si>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</si>
  <si>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</si>
  <si>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</si>
  <si>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</si>
  <si>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</si>
  <si>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</si>
  <si>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</si>
  <si>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</si>
  <si>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</si>
  <si>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</si>
  <si>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</si>
  <si>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</si>
  <si>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</si>
  <si>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</si>
  <si>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</si>
  <si>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</si>
  <si>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</si>
  <si>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</si>
  <si>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</si>
  <si>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</si>
  <si>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</si>
  <si>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</si>
  <si>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</si>
  <si>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</si>
  <si>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</si>
  <si>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</si>
  <si>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</si>
  <si>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</si>
  <si>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</si>
  <si>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</si>
  <si>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</si>
  <si>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</si>
  <si>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</si>
  <si>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</si>
  <si>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</si>
  <si>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</si>
  <si>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</si>
  <si>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</si>
  <si>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</si>
  <si>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</si>
  <si>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</si>
  <si>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</si>
  <si>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</si>
  <si>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</si>
  <si>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</si>
  <si>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</si>
  <si>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</si>
  <si>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</si>
  <si>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</si>
  <si>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</si>
  <si>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</si>
  <si>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</si>
  <si>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</si>
  <si>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</si>
  <si>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</si>
  <si>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</si>
  <si>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</si>
  <si>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</si>
  <si>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</si>
  <si>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</si>
  <si>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</si>
  <si>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</si>
  <si>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</si>
  <si>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</si>
  <si>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</si>
  <si>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</si>
  <si>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</si>
  <si>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</si>
  <si>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</si>
  <si>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</si>
  <si>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</si>
  <si>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</si>
  <si>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</si>
  <si>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</si>
  <si>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</si>
  <si>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</si>
  <si>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</si>
  <si>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</si>
  <si>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</si>
  <si>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</si>
  <si>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</si>
  <si>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</si>
  <si>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</si>
  <si>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</si>
  <si>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</si>
  <si>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</si>
  <si>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</si>
  <si>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</si>
  <si>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</si>
  <si>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</si>
  <si>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</si>
  <si>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</si>
  <si>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</si>
  <si>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</si>
  <si>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</si>
  <si>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</si>
  <si>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</si>
  <si>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</si>
  <si>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</si>
  <si>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</si>
  <si>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</si>
  <si>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</si>
  <si>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</si>
  <si>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</si>
  <si>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</si>
  <si>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</si>
  <si>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</si>
  <si>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</si>
  <si>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</si>
  <si>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</si>
  <si>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</si>
  <si>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</si>
  <si>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</si>
  <si>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</si>
  <si>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</si>
  <si>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</si>
  <si>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</si>
  <si>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</si>
  <si>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</si>
  <si>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</si>
  <si>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</si>
  <si>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</si>
  <si>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</si>
  <si>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</si>
  <si>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</si>
  <si>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</si>
  <si>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</si>
  <si>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</si>
  <si>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</si>
  <si>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</si>
  <si>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</si>
  <si>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</si>
  <si>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</si>
  <si>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</si>
  <si>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</si>
  <si>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</si>
  <si>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</si>
  <si>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</si>
  <si>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</si>
  <si>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</si>
  <si>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</si>
  <si>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</si>
  <si>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</si>
  <si>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</si>
  <si>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</si>
  <si>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</si>
  <si>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</si>
  <si>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</si>
  <si>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</si>
  <si>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</si>
  <si>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</si>
  <si>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</si>
  <si>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</si>
  <si>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</si>
  <si>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</si>
  <si>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</si>
  <si>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</si>
  <si>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</si>
  <si>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</si>
  <si>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</si>
  <si>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</si>
  <si>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</si>
  <si>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</si>
  <si>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</si>
  <si>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</si>
  <si>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</si>
  <si>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</si>
  <si>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</si>
  <si>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</si>
  <si>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</si>
  <si>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</si>
  <si>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</si>
  <si>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</si>
  <si>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</si>
  <si>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</si>
  <si>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</si>
  <si>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</si>
  <si>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</si>
  <si>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</si>
  <si>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</si>
  <si>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</si>
  <si>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</si>
  <si>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</si>
  <si>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</si>
  <si>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</si>
  <si>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</si>
  <si>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</si>
  <si>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</si>
  <si>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</si>
  <si>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</si>
  <si>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</si>
  <si>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</si>
  <si>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</si>
  <si>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</si>
  <si>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</si>
  <si>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</si>
  <si>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</si>
  <si>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</si>
  <si>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</si>
  <si>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</si>
  <si>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</si>
  <si>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</si>
  <si>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</si>
  <si>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</si>
  <si>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</si>
  <si>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</si>
  <si>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</si>
  <si>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</si>
  <si>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</si>
  <si>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</si>
  <si>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</si>
  <si>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</si>
  <si>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</si>
  <si>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</si>
  <si>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</si>
  <si>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</si>
  <si>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</si>
  <si>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</si>
  <si>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</si>
  <si>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</si>
  <si>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</si>
  <si>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</si>
  <si>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</si>
  <si>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</si>
  <si>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</si>
  <si>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</si>
  <si>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</si>
  <si>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</si>
  <si>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</si>
  <si>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</si>
  <si>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</si>
  <si>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</si>
  <si>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</si>
  <si>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</si>
  <si>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</si>
  <si>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</si>
  <si>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</si>
  <si>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</si>
  <si>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</si>
  <si>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</si>
  <si>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</si>
  <si>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</si>
  <si>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</si>
  <si>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</si>
  <si>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</si>
  <si>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</si>
  <si>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</si>
  <si>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</si>
  <si>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</si>
  <si>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</si>
  <si>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</si>
  <si>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</si>
  <si>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</si>
  <si>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</si>
  <si>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</si>
  <si>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</si>
  <si>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</si>
  <si>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</si>
  <si>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</si>
  <si>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</si>
  <si>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</si>
  <si>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</si>
  <si>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</si>
  <si>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</si>
  <si>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</si>
  <si>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</si>
  <si>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</si>
  <si>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</si>
  <si>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</si>
  <si>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</si>
  <si>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</si>
  <si>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</si>
  <si>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</si>
  <si>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</si>
  <si>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</si>
  <si>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</si>
  <si>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</si>
  <si>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</si>
  <si>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</si>
  <si>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</si>
  <si>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</si>
  <si>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</si>
  <si>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</si>
  <si>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</si>
  <si>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</si>
  <si>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</si>
  <si>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</si>
  <si>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</si>
  <si>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</si>
  <si>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</si>
  <si>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</si>
  <si>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</si>
  <si>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</si>
  <si>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</si>
  <si>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</si>
  <si>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</si>
  <si>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</si>
  <si>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</si>
  <si>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</si>
  <si>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</si>
  <si>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</si>
  <si>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</si>
  <si>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</si>
  <si>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</si>
  <si>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</si>
  <si>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</si>
  <si>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</si>
  <si>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</si>
  <si>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</si>
  <si>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</si>
  <si>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</si>
  <si>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</si>
  <si>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</si>
  <si>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</si>
  <si>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</si>
  <si>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</si>
  <si>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</si>
  <si>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</si>
  <si>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</si>
  <si>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</si>
  <si>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</si>
  <si>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</si>
  <si>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</si>
  <si>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</si>
  <si>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</si>
  <si>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</si>
  <si>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</si>
  <si>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</si>
  <si>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</si>
  <si>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</si>
  <si>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</si>
  <si>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</si>
  <si>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</si>
  <si>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</si>
  <si>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</si>
  <si>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</si>
  <si>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</si>
  <si>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</si>
  <si>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</si>
  <si>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</si>
  <si>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</si>
  <si>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</si>
  <si>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</si>
  <si>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</si>
  <si>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</si>
  <si>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</si>
  <si>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</si>
  <si>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</si>
  <si>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</si>
  <si>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</si>
  <si>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</si>
  <si>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</si>
  <si>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</si>
  <si>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</si>
  <si>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</si>
  <si>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</si>
  <si>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</si>
  <si>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</si>
  <si>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</si>
  <si>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</si>
  <si>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</si>
  <si>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</si>
  <si>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</si>
  <si>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</si>
  <si>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</si>
  <si>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</si>
  <si>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</si>
  <si>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</si>
  <si>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</si>
  <si>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</si>
  <si>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</si>
  <si>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</si>
  <si>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</si>
  <si>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</si>
  <si>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</si>
  <si>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</si>
  <si>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</si>
  <si>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</si>
  <si>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</si>
  <si>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</si>
  <si>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</si>
  <si>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</si>
  <si>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</si>
  <si>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</si>
  <si>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</si>
  <si>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</si>
  <si>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</si>
  <si>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</si>
  <si>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</si>
  <si>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</si>
  <si>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</si>
  <si>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</si>
  <si>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</si>
  <si>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</si>
  <si>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</si>
  <si>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</si>
  <si>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</si>
  <si>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</si>
  <si>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</si>
  <si>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</si>
  <si>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</si>
  <si>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</si>
  <si>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</si>
  <si>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</si>
  <si>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</si>
  <si>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</si>
  <si>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</si>
  <si>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</si>
  <si>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</si>
  <si>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</si>
  <si>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</si>
  <si>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</si>
  <si>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</si>
  <si>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</si>
  <si>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</si>
  <si>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</si>
  <si>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</si>
  <si>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</si>
  <si>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</si>
  <si>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</si>
  <si>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</si>
  <si>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</si>
  <si>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</si>
  <si>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</si>
  <si>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</si>
  <si>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</si>
  <si>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</si>
  <si>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</si>
  <si>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</si>
  <si>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</si>
  <si>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</si>
  <si>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</si>
  <si>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</si>
  <si>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</si>
  <si>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</si>
  <si>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</si>
  <si>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Penn Township</t>
  </si>
  <si>
    <t>Osborne County</t>
  </si>
  <si>
    <t>Noxious Weed</t>
  </si>
  <si>
    <t>Cemetery</t>
  </si>
  <si>
    <t>Wayne Noffsinger Residence - 951 W. 100th Drive- Osborne, KS</t>
  </si>
  <si>
    <t>Osborne County Clerk's Office</t>
  </si>
  <si>
    <t>Publication</t>
  </si>
  <si>
    <t>Bookkeeping</t>
  </si>
  <si>
    <t>Mowing</t>
  </si>
  <si>
    <t>Chemicals &amp; Spraying</t>
  </si>
  <si>
    <t>August 1, 2011</t>
  </si>
  <si>
    <t>8:00 p.m.</t>
  </si>
  <si>
    <t>Steinle Const.- Sand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</si>
</sst>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Penn Township</v>
      </c>
      <c r="B1" s="179"/>
      <c r="C1" s="179"/>
      <c r="D1" s="179"/>
      <c r="E1" s="179"/>
      <c r="F1" s="179"/>
      <c r="G1" s="179"/>
      <c r="H1" s="179"/>
      <c r="I1" s="14"/>
      <c r="J1" s="14"/>
      <c r="K1" s="15">
        <f>inputPrYr!D5</f>
        <v>2012</v>
      </c>
    </row>
    <row r="2" spans="1:11" ht="15.75">
      <c r="A2" s="178" t="str">
        <f>inputPrYr!$D$3</f>
        <v>Osborne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4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Penn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958</v>
      </c>
      <c r="D6" s="418">
        <f>C51</f>
        <v>322</v>
      </c>
      <c r="E6" s="32">
        <f>D51</f>
        <v>322</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5181</v>
      </c>
      <c r="D16" s="29">
        <v>5500</v>
      </c>
      <c r="E16" s="32">
        <f>inputOth!E12</f>
        <v>5152</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49</v>
      </c>
      <c r="D23" s="29">
        <v>100</v>
      </c>
      <c r="E23" s="34">
        <v>100</v>
      </c>
    </row>
    <row r="24" spans="2:5" ht="15.75">
      <c r="B24" s="39" t="s">
        <v>224</v>
      </c>
      <c r="C24" s="29">
        <v>46</v>
      </c>
      <c r="D24" s="29">
        <v>100</v>
      </c>
      <c r="E24" s="34">
        <v>226</v>
      </c>
    </row>
    <row r="25" spans="2:5" ht="15.75">
      <c r="B25" s="39" t="s">
        <v>225</v>
      </c>
      <c r="C25" s="415">
        <f>IF(C26*0.1&lt;C24,"Exceed 10% Rule","")</f>
      </c>
      <c r="D25" s="415">
        <f>IF(D26*0.1&lt;D24,"Exceed 10% Rule","")</f>
      </c>
      <c r="E25" s="45">
        <f>IF(E26*0.1+E57&lt;E24,"Exceed 10% Rule","")</f>
      </c>
    </row>
    <row r="26" spans="2:5" ht="15.75">
      <c r="B26" s="41" t="s">
        <v>23</v>
      </c>
      <c r="C26" s="420">
        <f>SUM(C8:C24)</f>
        <v>5276</v>
      </c>
      <c r="D26" s="420">
        <f>SUM(D8:D24)</f>
        <v>5700</v>
      </c>
      <c r="E26" s="42">
        <f>SUM(E8:E24)</f>
        <v>5478</v>
      </c>
    </row>
    <row r="27" spans="2:5" ht="15.75">
      <c r="B27" s="43" t="s">
        <v>24</v>
      </c>
      <c r="C27" s="420">
        <f>C26+C6</f>
        <v>6234</v>
      </c>
      <c r="D27" s="420">
        <f>D26+D6</f>
        <v>6022</v>
      </c>
      <c r="E27" s="42">
        <f>E26+E6</f>
        <v>5800</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v>55</v>
      </c>
      <c r="D33" s="29">
        <v>200</v>
      </c>
      <c r="E33" s="34">
        <v>200</v>
      </c>
    </row>
    <row r="34" spans="2:5" ht="15.75">
      <c r="B34" s="37" t="s">
        <v>107</v>
      </c>
      <c r="C34" s="29"/>
      <c r="D34" s="29"/>
      <c r="E34" s="34"/>
    </row>
    <row r="35" spans="2:5" ht="15.75">
      <c r="B35" s="37" t="s">
        <v>130</v>
      </c>
      <c r="C35" s="29"/>
      <c r="D35" s="29"/>
      <c r="E35" s="34"/>
    </row>
    <row r="36" spans="2:5" ht="15.75">
      <c r="B36" s="38" t="s">
        <v>132</v>
      </c>
      <c r="C36" s="29">
        <v>660</v>
      </c>
      <c r="D36" s="29">
        <v>1500</v>
      </c>
      <c r="E36" s="34">
        <v>1500</v>
      </c>
    </row>
    <row r="37" spans="2:5" ht="15.75">
      <c r="B37" s="38" t="s">
        <v>820</v>
      </c>
      <c r="C37" s="29">
        <v>157</v>
      </c>
      <c r="D37" s="29">
        <v>300</v>
      </c>
      <c r="E37" s="34">
        <v>300</v>
      </c>
    </row>
    <row r="38" spans="2:5" ht="15.75">
      <c r="B38" s="37" t="s">
        <v>821</v>
      </c>
      <c r="C38" s="29">
        <v>540</v>
      </c>
      <c r="D38" s="29">
        <v>600</v>
      </c>
      <c r="E38" s="34">
        <v>600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v>4500</v>
      </c>
      <c r="D43" s="29">
        <v>3000</v>
      </c>
      <c r="E43" s="34">
        <v>3200</v>
      </c>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v>100</v>
      </c>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5912</v>
      </c>
      <c r="D50" s="412">
        <f>SUM(D29:D48)</f>
        <v>5700</v>
      </c>
      <c r="E50" s="47">
        <f>SUM(E29:E43,E45,E47:E48)</f>
        <v>5800</v>
      </c>
      <c r="G50" s="534"/>
      <c r="H50" s="535"/>
      <c r="I50" s="535"/>
      <c r="J50" s="536"/>
    </row>
    <row r="51" spans="2:10" ht="15.75">
      <c r="B51" s="27" t="s">
        <v>123</v>
      </c>
      <c r="C51" s="413">
        <f>C27-C50</f>
        <v>322</v>
      </c>
      <c r="D51" s="413">
        <f>SUM(D27-D50)</f>
        <v>322</v>
      </c>
      <c r="E51" s="33" t="s">
        <v>302</v>
      </c>
      <c r="G51" s="537">
        <f>D51</f>
        <v>322</v>
      </c>
      <c r="H51" s="538" t="str">
        <f>CONCATENATE("",E1-1," Ending Cash Balance (est.)")</f>
        <v>2011 Ending Cash Balance (est.)</v>
      </c>
      <c r="I51" s="539"/>
      <c r="J51" s="536"/>
    </row>
    <row r="52" spans="2:10" ht="15.75">
      <c r="B52" s="48" t="str">
        <f>CONCATENATE("",E1-2,"/",E1-1," Budget Authority Amount:")</f>
        <v>2010/2011 Budget Authority Amount:</v>
      </c>
      <c r="C52" s="143">
        <f>inputOth!B46</f>
        <v>6008</v>
      </c>
      <c r="D52" s="172">
        <f>inputPrYr!D16</f>
        <v>5700</v>
      </c>
      <c r="E52" s="33" t="s">
        <v>302</v>
      </c>
      <c r="F52" s="50"/>
      <c r="G52" s="537">
        <f>E26</f>
        <v>5478</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5800</v>
      </c>
      <c r="G54" s="537">
        <f>SUM(G51:G53)</f>
        <v>5800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0.01</v>
      </c>
      <c r="E56" s="32">
        <f>ROUND(IF(D56&gt;0,(E55*D56),0),0)</f>
        <v>0</v>
      </c>
      <c r="G56" s="541">
        <f>C50*0.05+C50</f>
        <v>6207.6</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-407.60000000000036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Penn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0.01</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51">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Penn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168</v>
      </c>
      <c r="D6" s="418">
        <f>C44</f>
        <v>416</v>
      </c>
      <c r="E6" s="32">
        <f>D44</f>
        <v>333</v>
      </c>
    </row>
    <row r="7" spans="2:5" ht="15.75">
      <c r="B7" s="27" t="s">
        <v>124</v>
      </c>
      <c r="C7" s="418"/>
      <c r="D7" s="418"/>
      <c r="E7" s="33"/>
    </row>
    <row r="8" spans="2:5" ht="15.75">
      <c r="B8" s="27" t="s">
        <v>16</v>
      </c>
      <c r="C8" s="29">
        <v>17781</v>
      </c>
      <c r="D8" s="418">
        <f>inputPrYr!E18</f>
        <v>17499</v>
      </c>
      <c r="E8" s="33" t="s">
        <v>302</v>
      </c>
    </row>
    <row r="9" spans="2:5" ht="15.75">
      <c r="B9" s="27" t="s">
        <v>17</v>
      </c>
      <c r="C9" s="29">
        <v>92</v>
      </c>
      <c r="D9" s="29"/>
      <c r="E9" s="34"/>
    </row>
    <row r="10" spans="2:5" ht="15.75">
      <c r="B10" s="27" t="s">
        <v>18</v>
      </c>
      <c r="C10" s="29">
        <v>1463</v>
      </c>
      <c r="D10" s="29">
        <v>1452</v>
      </c>
      <c r="E10" s="32">
        <f>mvalloc!G13</f>
        <v>1565</v>
      </c>
    </row>
    <row r="11" spans="2:5" ht="15.75">
      <c r="B11" s="27" t="s">
        <v>19</v>
      </c>
      <c r="C11" s="29">
        <v>25</v>
      </c>
      <c r="D11" s="29">
        <v>30</v>
      </c>
      <c r="E11" s="32">
        <f>mvalloc!I13</f>
        <v>30</v>
      </c>
    </row>
    <row r="12" spans="2:5" ht="15.75">
      <c r="B12" s="27" t="s">
        <v>103</v>
      </c>
      <c r="C12" s="29">
        <v>420</v>
      </c>
      <c r="D12" s="29">
        <v>430</v>
      </c>
      <c r="E12" s="32">
        <f>mvalloc!J13</f>
        <v>450</v>
      </c>
    </row>
    <row r="13" spans="2:5" ht="15.75">
      <c r="B13" s="27" t="s">
        <v>167</v>
      </c>
      <c r="C13" s="29"/>
      <c r="D13" s="29"/>
      <c r="E13" s="32">
        <f>mvalloc!K13</f>
        <v>0</v>
      </c>
    </row>
    <row r="14" spans="2:5" ht="15.75">
      <c r="B14" s="27" t="s">
        <v>104</v>
      </c>
      <c r="C14" s="29">
        <v>1364</v>
      </c>
      <c r="D14" s="29">
        <v>1500</v>
      </c>
      <c r="E14" s="32">
        <f>inputOth!E36</f>
        <v>1500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v>100</v>
      </c>
      <c r="E20" s="34"/>
    </row>
    <row r="21" spans="2:5" ht="15.75">
      <c r="B21" s="39" t="s">
        <v>224</v>
      </c>
      <c r="C21" s="29"/>
      <c r="D21" s="29">
        <v>500</v>
      </c>
      <c r="E21" s="34">
        <v>350</v>
      </c>
    </row>
    <row r="22" spans="2:5" ht="15.75">
      <c r="B22" s="39" t="s">
        <v>225</v>
      </c>
      <c r="C22" s="415">
        <f>IF(C23*0.1&lt;C21,"Exceed 10% Rule","")</f>
      </c>
      <c r="D22" s="415">
        <f>IF(D23*0.1&lt;D21,"Exceed 10% Rule","")</f>
      </c>
      <c r="E22" s="45">
        <f>IF(E23*0.1+E50&lt;E21,"Exceed 10% Rule","")</f>
      </c>
    </row>
    <row r="23" spans="2:5" ht="15.75">
      <c r="B23" s="41" t="s">
        <v>23</v>
      </c>
      <c r="C23" s="420">
        <f>SUM(C8:C21)</f>
        <v>21145</v>
      </c>
      <c r="D23" s="420">
        <f>SUM(D8:D21)</f>
        <v>21511</v>
      </c>
      <c r="E23" s="42">
        <f>SUM(E8:E21)</f>
        <v>3895</v>
      </c>
    </row>
    <row r="24" spans="2:5" ht="15.75">
      <c r="B24" s="43" t="s">
        <v>24</v>
      </c>
      <c r="C24" s="420">
        <f>C23+C6</f>
        <v>21313</v>
      </c>
      <c r="D24" s="420">
        <f>D23+D6</f>
        <v>21927</v>
      </c>
      <c r="E24" s="42">
        <f>E23+E6</f>
        <v>4228</v>
      </c>
    </row>
    <row r="25" spans="2:5" ht="15.75">
      <c r="B25" s="27" t="s">
        <v>25</v>
      </c>
      <c r="C25" s="418"/>
      <c r="D25" s="418"/>
      <c r="E25" s="32"/>
    </row>
    <row r="26" spans="2:5" ht="15.75">
      <c r="B26" s="38" t="s">
        <v>129</v>
      </c>
      <c r="C26" s="29">
        <v>3833</v>
      </c>
      <c r="D26" s="29">
        <v>7000</v>
      </c>
      <c r="E26" s="34">
        <v>8000</v>
      </c>
    </row>
    <row r="27" spans="2:5" ht="15.75">
      <c r="B27" s="37" t="s">
        <v>106</v>
      </c>
      <c r="C27" s="29">
        <v>254</v>
      </c>
      <c r="D27" s="29">
        <v>1500</v>
      </c>
      <c r="E27" s="34">
        <v>1000</v>
      </c>
    </row>
    <row r="28" spans="2:5" ht="15.75">
      <c r="B28" s="38" t="s">
        <v>131</v>
      </c>
      <c r="C28" s="29">
        <v>7745</v>
      </c>
      <c r="D28" s="29">
        <v>5494</v>
      </c>
      <c r="E28" s="34">
        <v>5500</v>
      </c>
    </row>
    <row r="29" spans="2:5" ht="15.75">
      <c r="B29" s="38" t="s">
        <v>109</v>
      </c>
      <c r="C29" s="29">
        <v>9065</v>
      </c>
      <c r="D29" s="29">
        <v>7000</v>
      </c>
      <c r="E29" s="34">
        <v>7400</v>
      </c>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v>600</v>
      </c>
      <c r="E41" s="34"/>
      <c r="G41" s="537">
        <f>D44</f>
        <v>333</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3895</v>
      </c>
      <c r="H42" s="540" t="str">
        <f>CONCATENATE("",E1," Non-AV Receipts (est.)")</f>
        <v>2012 Non-AV Receipts (est.)</v>
      </c>
      <c r="I42" s="540"/>
      <c r="J42" s="536"/>
    </row>
    <row r="43" spans="2:10" ht="15.75">
      <c r="B43" s="43" t="s">
        <v>26</v>
      </c>
      <c r="C43" s="420">
        <f>SUM(C26:C38,C40:C41)</f>
        <v>20897</v>
      </c>
      <c r="D43" s="420">
        <f>SUM(D26:D38,D40:D41)</f>
        <v>21594</v>
      </c>
      <c r="E43" s="42">
        <f>SUM(E26:E38,E40:E41)</f>
        <v>21900</v>
      </c>
      <c r="G43" s="541">
        <f>E50</f>
        <v>17849</v>
      </c>
      <c r="H43" s="540" t="str">
        <f>CONCATENATE("",E1," Ad Valorem Tax (est.)")</f>
        <v>2012 Ad Valorem Tax (est.)</v>
      </c>
      <c r="I43" s="540"/>
      <c r="J43" s="536"/>
    </row>
    <row r="44" spans="2:10" ht="15.75">
      <c r="B44" s="27" t="s">
        <v>123</v>
      </c>
      <c r="C44" s="413">
        <f>C24-C43</f>
        <v>416</v>
      </c>
      <c r="D44" s="413">
        <f>D24-D43</f>
        <v>333</v>
      </c>
      <c r="E44" s="33" t="s">
        <v>302</v>
      </c>
      <c r="G44" s="537">
        <f>SUM(G41:G43)</f>
        <v>22077</v>
      </c>
      <c r="H44" s="540" t="str">
        <f>CONCATENATE("Total ",E1," Resources Available")</f>
        <v>Total 2012 Resources Available</v>
      </c>
      <c r="I44" s="539"/>
      <c r="J44" s="536"/>
    </row>
    <row r="45" spans="2:10" ht="15.75">
      <c r="B45" s="48" t="str">
        <f>CONCATENATE("",E1-2,"/",E1-1," Budget Authority Amount:")</f>
        <v>2010/2011 Budget Authority Amount:</v>
      </c>
      <c r="C45" s="143">
        <f>inputOth!B48</f>
        <v>20963</v>
      </c>
      <c r="D45" s="172">
        <f>inputPrYr!D18</f>
        <v>21594</v>
      </c>
      <c r="E45" s="33" t="s">
        <v>302</v>
      </c>
      <c r="F45" s="50"/>
      <c r="G45" s="542"/>
      <c r="H45" s="540"/>
      <c r="I45" s="540"/>
      <c r="J45" s="536"/>
    </row>
    <row r="46" spans="2:10" ht="15.75">
      <c r="B46" s="48"/>
      <c r="C46" s="652" t="s">
        <v>646</v>
      </c>
      <c r="D46" s="653"/>
      <c r="E46" s="34"/>
      <c r="F46" s="533">
        <f>IF(E43/0.95-E43&lt;E46,"Exceeds 5%","")</f>
      </c>
      <c r="G46" s="541">
        <f>C43*0.05+C43</f>
        <v>21941.85</v>
      </c>
      <c r="H46" s="540" t="str">
        <f>CONCATENATE("Less ",E1-2," Expenditures + 5%")</f>
        <v>Less 2010 Expenditures + 5%</v>
      </c>
      <c r="I46" s="539"/>
      <c r="J46" s="536"/>
    </row>
    <row r="47" spans="2:10" ht="15.75">
      <c r="B47" s="436" t="str">
        <f>CONCATENATE(C74,"     ",D74)</f>
        <v>     </v>
      </c>
      <c r="C47" s="654" t="s">
        <v>647</v>
      </c>
      <c r="D47" s="655"/>
      <c r="E47" s="32">
        <f>E43+E46</f>
        <v>21900</v>
      </c>
      <c r="G47" s="543">
        <f>G44-G46</f>
        <v>135.15000000000146</v>
      </c>
      <c r="H47" s="544" t="str">
        <f>CONCATENATE("Projected ",E1+1," Carryover (est.)")</f>
        <v>Projected 2013 Carryover (est.)</v>
      </c>
      <c r="I47" s="545"/>
      <c r="J47" s="546"/>
    </row>
    <row r="48" spans="2:5" ht="15.75">
      <c r="B48" s="436" t="str">
        <f>CONCATENATE(C75,"     ",D75)</f>
        <v>     </v>
      </c>
      <c r="C48" s="60"/>
      <c r="D48" s="52" t="s">
        <v>28</v>
      </c>
      <c r="E48" s="46">
        <f>IF(E47-E24&gt;0,E47-E24,0)</f>
        <v>17672</v>
      </c>
    </row>
    <row r="49" spans="2:10" ht="15.75">
      <c r="B49" s="52"/>
      <c r="C49" s="440" t="s">
        <v>648</v>
      </c>
      <c r="D49" s="432">
        <f>inputOth!$E$40</f>
        <v>0.01</v>
      </c>
      <c r="E49" s="32">
        <f>ROUND(IF(D49&gt;0,(E48*D49),0),0)</f>
        <v>177</v>
      </c>
      <c r="G49" s="560">
        <f>IF(inputOth!E7=0,"",ROUND(E50/inputOth!E7*1000,3))</f>
        <v>10.491</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17849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43080.06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4500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47580.06</v>
      </c>
      <c r="D63" s="14"/>
      <c r="E63" s="14"/>
    </row>
    <row r="64" spans="2:5" ht="15.75">
      <c r="B64" s="88" t="s">
        <v>26</v>
      </c>
      <c r="C64" s="600">
        <v>500</v>
      </c>
      <c r="D64" s="14"/>
      <c r="E64" s="14"/>
    </row>
    <row r="65" spans="2:5" ht="15.75">
      <c r="B65" s="88" t="s">
        <v>27</v>
      </c>
      <c r="C65" s="438">
        <f>SUM(C63-C64)</f>
        <v>47080.06</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C56">
      <selection activeCell="C77" sqref="C7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Penn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966</v>
      </c>
      <c r="D6" s="418">
        <f>C33</f>
        <v>998</v>
      </c>
      <c r="E6" s="32">
        <f>D33</f>
        <v>352</v>
      </c>
    </row>
    <row r="7" spans="2:5" ht="15.75">
      <c r="B7" s="27" t="s">
        <v>124</v>
      </c>
      <c r="C7" s="418"/>
      <c r="D7" s="418"/>
      <c r="E7" s="33"/>
    </row>
    <row r="8" spans="2:5" ht="15.75">
      <c r="B8" s="27" t="s">
        <v>16</v>
      </c>
      <c r="C8" s="29">
        <v>815</v>
      </c>
      <c r="D8" s="418">
        <f>inputPrYr!E19</f>
        <v>766</v>
      </c>
      <c r="E8" s="33" t="s">
        <v>302</v>
      </c>
    </row>
    <row r="9" spans="2:5" ht="15.75">
      <c r="B9" s="27" t="s">
        <v>17</v>
      </c>
      <c r="C9" s="29">
        <v>4</v>
      </c>
      <c r="D9" s="29"/>
      <c r="E9" s="34"/>
    </row>
    <row r="10" spans="2:5" ht="15.75">
      <c r="B10" s="27" t="s">
        <v>18</v>
      </c>
      <c r="C10" s="29">
        <v>58</v>
      </c>
      <c r="D10" s="29">
        <v>67</v>
      </c>
      <c r="E10" s="32">
        <f>mvalloc!G14</f>
        <v>69</v>
      </c>
    </row>
    <row r="11" spans="2:5" ht="15.75">
      <c r="B11" s="27" t="s">
        <v>19</v>
      </c>
      <c r="C11" s="29">
        <v>1</v>
      </c>
      <c r="D11" s="29">
        <v>1</v>
      </c>
      <c r="E11" s="32">
        <f>mvalloc!I14</f>
        <v>1</v>
      </c>
    </row>
    <row r="12" spans="2:5" ht="15.75">
      <c r="B12" s="35" t="s">
        <v>72</v>
      </c>
      <c r="C12" s="29">
        <v>14</v>
      </c>
      <c r="D12" s="29">
        <v>20</v>
      </c>
      <c r="E12" s="32">
        <f>mvalloc!J14</f>
        <v>20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892</v>
      </c>
      <c r="D20" s="420">
        <f>SUM(D8:D18)</f>
        <v>854</v>
      </c>
      <c r="E20" s="42">
        <f>SUM(E8:E18)</f>
        <v>90</v>
      </c>
    </row>
    <row r="21" spans="2:5" ht="15.75">
      <c r="B21" s="43" t="s">
        <v>24</v>
      </c>
      <c r="C21" s="420">
        <f>C20+C6</f>
        <v>1858</v>
      </c>
      <c r="D21" s="420">
        <f>D20+D6</f>
        <v>1852</v>
      </c>
      <c r="E21" s="42">
        <f>E20+E6</f>
        <v>442</v>
      </c>
    </row>
    <row r="22" spans="2:5" ht="15.75">
      <c r="B22" s="27" t="s">
        <v>25</v>
      </c>
      <c r="C22" s="418"/>
      <c r="D22" s="418"/>
      <c r="E22" s="32"/>
    </row>
    <row r="23" spans="2:5" ht="15.75">
      <c r="B23" s="38" t="s">
        <v>822</v>
      </c>
      <c r="C23" s="29">
        <v>860</v>
      </c>
      <c r="D23" s="29">
        <v>1500</v>
      </c>
      <c r="E23" s="34">
        <v>1500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860</v>
      </c>
      <c r="D32" s="420">
        <f>SUM(D23:D30)</f>
        <v>1500</v>
      </c>
      <c r="E32" s="42">
        <f>SUM(E23:E30)</f>
        <v>1500</v>
      </c>
    </row>
    <row r="33" spans="2:5" ht="15.75">
      <c r="B33" s="27" t="s">
        <v>123</v>
      </c>
      <c r="C33" s="413">
        <f>C21-C32</f>
        <v>998</v>
      </c>
      <c r="D33" s="413">
        <f>D21-D32</f>
        <v>352</v>
      </c>
      <c r="E33" s="33" t="s">
        <v>302</v>
      </c>
    </row>
    <row r="34" spans="2:6" ht="15.75">
      <c r="B34" s="48" t="str">
        <f>CONCATENATE("",E1-2,"/",E1-1," Budget Authority Amount:")</f>
        <v>2010/2011 Budget Authority Amount:</v>
      </c>
      <c r="C34" s="143">
        <f>inputOth!B49</f>
        <v>1200</v>
      </c>
      <c r="D34" s="172">
        <f>inputPrYr!D19</f>
        <v>1500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1500</v>
      </c>
    </row>
    <row r="37" spans="2:5" ht="15.75">
      <c r="B37" s="436" t="str">
        <f>CONCATENATE(C89,"     ",D89)</f>
        <v>     </v>
      </c>
      <c r="C37" s="60"/>
      <c r="D37" s="52" t="s">
        <v>28</v>
      </c>
      <c r="E37" s="46">
        <f>IF(E36-E21&gt;0,E36-E21,0)</f>
        <v>1058</v>
      </c>
    </row>
    <row r="38" spans="2:5" ht="15.75">
      <c r="B38" s="52"/>
      <c r="C38" s="440" t="s">
        <v>648</v>
      </c>
      <c r="D38" s="432">
        <f>inputOth!$E$40</f>
        <v>0.01</v>
      </c>
      <c r="E38" s="32">
        <f>ROUND(IF(D38&gt;0,(E37*D38),0),0)</f>
        <v>11</v>
      </c>
    </row>
    <row r="39" spans="2:5" ht="15.75">
      <c r="B39" s="14"/>
      <c r="C39" s="650" t="str">
        <f>CONCATENATE("Amount of  ",$E$1-1," Ad Valorem Tax")</f>
        <v>Amount of  2011 Ad Valorem Tax</v>
      </c>
      <c r="D39" s="651"/>
      <c r="E39" s="46">
        <f>E37+E38</f>
        <v>1069</v>
      </c>
    </row>
    <row r="40" spans="2:5" ht="15.75">
      <c r="B40" s="22" t="s">
        <v>10</v>
      </c>
      <c r="C40" s="77"/>
      <c r="D40" s="77"/>
      <c r="E40" s="77"/>
    </row>
    <row r="41" spans="2:5" ht="15.75">
      <c r="B41" s="14"/>
      <c r="C41" s="416" t="s">
        <v>11</v>
      </c>
      <c r="D41" s="419" t="s">
        <v>12</v>
      </c>
      <c r="E41" s="23" t="s">
        <v>13</v>
      </c>
    </row>
    <row r="42" spans="2:5" ht="15.75">
      <c r="B42" s="528" t="str">
        <f>inputPrYr!B20</f>
        <v>Noxious Weed</v>
      </c>
      <c r="C42" s="417" t="str">
        <f>C5</f>
        <v>Actual 2010</v>
      </c>
      <c r="D42" s="417" t="str">
        <f>D5</f>
        <v>Estimate 2011</v>
      </c>
      <c r="E42" s="26" t="str">
        <f>E5</f>
        <v>Year 2012</v>
      </c>
    </row>
    <row r="43" spans="2:5" ht="15.75">
      <c r="B43" s="27" t="s">
        <v>122</v>
      </c>
      <c r="C43" s="29">
        <v>3880</v>
      </c>
      <c r="D43" s="418">
        <f>C70</f>
        <v>3373</v>
      </c>
      <c r="E43" s="32">
        <f>D70</f>
        <v>1837</v>
      </c>
    </row>
    <row r="44" spans="2:5" ht="15.75">
      <c r="B44" s="27" t="s">
        <v>124</v>
      </c>
      <c r="C44" s="418"/>
      <c r="D44" s="418"/>
      <c r="E44" s="33"/>
    </row>
    <row r="45" spans="2:5" ht="15.75">
      <c r="B45" s="27" t="s">
        <v>16</v>
      </c>
      <c r="C45" s="29"/>
      <c r="D45" s="418">
        <f>inputPrYr!E20</f>
        <v>964</v>
      </c>
      <c r="E45" s="33" t="s">
        <v>302</v>
      </c>
    </row>
    <row r="46" spans="2:5" ht="15.75">
      <c r="B46" s="27" t="s">
        <v>17</v>
      </c>
      <c r="C46" s="29"/>
      <c r="D46" s="29"/>
      <c r="E46" s="34"/>
    </row>
    <row r="47" spans="2:5" ht="15.75">
      <c r="B47" s="27" t="s">
        <v>18</v>
      </c>
      <c r="C47" s="29">
        <v>46</v>
      </c>
      <c r="D47" s="29"/>
      <c r="E47" s="32">
        <f>mvalloc!G15</f>
        <v>86</v>
      </c>
    </row>
    <row r="48" spans="2:5" ht="15.75">
      <c r="B48" s="27" t="s">
        <v>19</v>
      </c>
      <c r="C48" s="29"/>
      <c r="D48" s="29"/>
      <c r="E48" s="32">
        <f>mvalloc!I15</f>
        <v>2</v>
      </c>
    </row>
    <row r="49" spans="2:5" ht="15.75">
      <c r="B49" s="27" t="s">
        <v>103</v>
      </c>
      <c r="C49" s="29">
        <v>43</v>
      </c>
      <c r="D49" s="29"/>
      <c r="E49" s="32">
        <f>mvalloc!J15</f>
        <v>25</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89</v>
      </c>
      <c r="D57" s="420">
        <f>SUM(D45:D55)</f>
        <v>964</v>
      </c>
      <c r="E57" s="42">
        <f>SUM(E45:E55)</f>
        <v>113</v>
      </c>
    </row>
    <row r="58" spans="2:5" ht="15.75">
      <c r="B58" s="43" t="s">
        <v>24</v>
      </c>
      <c r="C58" s="420">
        <f>C57+C43</f>
        <v>3969</v>
      </c>
      <c r="D58" s="420">
        <f>D57+D43</f>
        <v>4337</v>
      </c>
      <c r="E58" s="42">
        <f>E57+E43</f>
        <v>1950</v>
      </c>
    </row>
    <row r="59" spans="2:5" ht="15.75">
      <c r="B59" s="27" t="s">
        <v>25</v>
      </c>
      <c r="C59" s="418"/>
      <c r="D59" s="418"/>
      <c r="E59" s="32"/>
    </row>
    <row r="60" spans="2:5" ht="15.75">
      <c r="B60" s="38" t="s">
        <v>823</v>
      </c>
      <c r="C60" s="29">
        <v>596</v>
      </c>
      <c r="D60" s="29">
        <v>2500</v>
      </c>
      <c r="E60" s="34">
        <v>2500</v>
      </c>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596</v>
      </c>
      <c r="D69" s="420">
        <f>SUM(D60:D67)</f>
        <v>2500</v>
      </c>
      <c r="E69" s="42">
        <f>SUM(E60:E67)</f>
        <v>2500</v>
      </c>
    </row>
    <row r="70" spans="2:5" ht="15.75">
      <c r="B70" s="27" t="s">
        <v>123</v>
      </c>
      <c r="C70" s="413">
        <f>C58-C69</f>
        <v>3373</v>
      </c>
      <c r="D70" s="413">
        <f>D58-D69</f>
        <v>1837</v>
      </c>
      <c r="E70" s="33" t="s">
        <v>302</v>
      </c>
    </row>
    <row r="71" spans="2:6" ht="15.75">
      <c r="B71" s="48" t="str">
        <f>CONCATENATE("",E1-2,"/",E1-1," Budget Authority Amount:")</f>
        <v>2010/2011 Budget Authority Amount:</v>
      </c>
      <c r="C71" s="143">
        <f>inputOth!B50</f>
        <v>2500</v>
      </c>
      <c r="D71" s="172">
        <f>inputPrYr!D20</f>
        <v>2500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2500</v>
      </c>
    </row>
    <row r="74" spans="2:5" ht="15.75">
      <c r="B74" s="436" t="str">
        <f>CONCATENATE(C91,"     ",D91)</f>
        <v>     </v>
      </c>
      <c r="C74" s="60"/>
      <c r="D74" s="52" t="s">
        <v>28</v>
      </c>
      <c r="E74" s="46">
        <f>IF(E73-E58&gt;0,E73-E58,0)</f>
        <v>550</v>
      </c>
    </row>
    <row r="75" spans="2:5" ht="15.75">
      <c r="B75" s="52"/>
      <c r="C75" s="440" t="s">
        <v>648</v>
      </c>
      <c r="D75" s="432">
        <f>inputOth!$E$40</f>
        <v>0.01</v>
      </c>
      <c r="E75" s="32">
        <f>ROUND(IF(D75&gt;0,(E74*D75),0),0)</f>
        <v>6</v>
      </c>
    </row>
    <row r="76" spans="2:5" ht="15.75">
      <c r="B76" s="14"/>
      <c r="C76" s="650" t="str">
        <f>CONCATENATE("Amount of  ",$E$1-1," Ad Valorem Tax")</f>
        <v>Amount of  2011 Ad Valorem Tax</v>
      </c>
      <c r="D76" s="651"/>
      <c r="E76" s="46">
        <f>E74+E75</f>
        <v>556</v>
      </c>
    </row>
    <row r="77" spans="2:5" ht="15.75">
      <c r="B77" s="52" t="s">
        <v>9</v>
      </c>
      <c r="C77" s="601">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B58">
      <selection activeCell="E69" sqref="E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Penn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0.01</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0.01</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Penn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0.01</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0.01</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Penn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B28" sqref="B28"/>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Penn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t="str">
        <f>inputPrYr!B33</f>
        <v> </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t="s">
        <v>290</v>
      </c>
      <c r="C7" s="114" t="s">
        <v>346</v>
      </c>
      <c r="D7" s="113"/>
      <c r="E7" s="114" t="s">
        <v>346</v>
      </c>
      <c r="F7" s="113"/>
      <c r="G7" s="114" t="s">
        <v>346</v>
      </c>
      <c r="H7" s="113"/>
      <c r="I7" s="114" t="s">
        <v>346</v>
      </c>
      <c r="J7" s="113"/>
      <c r="K7" s="115" t="e">
        <f>SUM(B7+D7+F7+H7+J7)</f>
        <v>#VALUE!</v>
      </c>
    </row>
    <row r="8" spans="1:11" ht="15.75">
      <c r="A8" s="116" t="s">
        <v>124</v>
      </c>
      <c r="B8" s="117"/>
      <c r="C8" s="116" t="s">
        <v>124</v>
      </c>
      <c r="D8" s="118"/>
      <c r="E8" s="116" t="s">
        <v>124</v>
      </c>
      <c r="F8" s="100"/>
      <c r="G8" s="116" t="s">
        <v>124</v>
      </c>
      <c r="H8" s="101"/>
      <c r="I8" s="116" t="s">
        <v>124</v>
      </c>
      <c r="J8" s="101"/>
      <c r="K8" s="100"/>
    </row>
    <row r="9" spans="1:11" ht="15.75">
      <c r="A9" s="119"/>
      <c r="B9" s="113" t="s">
        <v>290</v>
      </c>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t="e">
        <f>SUM(B7+B17)</f>
        <v>#VALUE!</v>
      </c>
      <c r="C18" s="116" t="s">
        <v>24</v>
      </c>
      <c r="D18" s="115">
        <f>SUM(D7+D17)</f>
        <v>0</v>
      </c>
      <c r="E18" s="116" t="s">
        <v>24</v>
      </c>
      <c r="F18" s="115">
        <f>SUM(F7+F17)</f>
        <v>0</v>
      </c>
      <c r="G18" s="116" t="s">
        <v>24</v>
      </c>
      <c r="H18" s="115">
        <f>SUM(H7+H17)</f>
        <v>0</v>
      </c>
      <c r="I18" s="116" t="s">
        <v>24</v>
      </c>
      <c r="J18" s="115">
        <f>SUM(J7+J17)</f>
        <v>0</v>
      </c>
      <c r="K18" s="115" t="e">
        <f>SUM(B18+D18+F18+H18+J18)</f>
        <v>#VALUE!</v>
      </c>
    </row>
    <row r="19" spans="1:11" ht="15.75">
      <c r="A19" s="116" t="s">
        <v>25</v>
      </c>
      <c r="B19" s="117"/>
      <c r="C19" s="116" t="s">
        <v>25</v>
      </c>
      <c r="D19" s="118"/>
      <c r="E19" s="116" t="s">
        <v>25</v>
      </c>
      <c r="F19" s="100"/>
      <c r="G19" s="116" t="s">
        <v>25</v>
      </c>
      <c r="H19" s="101"/>
      <c r="I19" s="116" t="s">
        <v>25</v>
      </c>
      <c r="J19" s="101"/>
      <c r="K19" s="100"/>
    </row>
    <row r="20" spans="1:11" ht="15.75">
      <c r="A20" s="119" t="s">
        <v>826</v>
      </c>
      <c r="B20" s="113" t="s">
        <v>290</v>
      </c>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t="e">
        <f>SUM(B18-B28)</f>
        <v>#VALUE!</v>
      </c>
      <c r="C29" s="116" t="s">
        <v>347</v>
      </c>
      <c r="D29" s="115">
        <f>SUM(D18-D28)</f>
        <v>0</v>
      </c>
      <c r="E29" s="116" t="s">
        <v>347</v>
      </c>
      <c r="F29" s="115">
        <f>SUM(F18-F28)</f>
        <v>0</v>
      </c>
      <c r="G29" s="116" t="s">
        <v>347</v>
      </c>
      <c r="H29" s="115">
        <f>SUM(H18-H28)</f>
        <v>0</v>
      </c>
      <c r="I29" s="116" t="s">
        <v>347</v>
      </c>
      <c r="J29" s="115">
        <f>SUM(J18-J28)</f>
        <v>0</v>
      </c>
      <c r="K29" s="130" t="e">
        <f>SUM(B29+D29+F29+H29+J29)</f>
        <v>#VALUE!</v>
      </c>
      <c r="L29" s="91" t="s">
        <v>348</v>
      </c>
    </row>
    <row r="30" spans="1:12" ht="15.75">
      <c r="A30" s="116"/>
      <c r="B30" s="135" t="e">
        <f>IF(B29&lt;0,"See Tab B","")</f>
        <v>#VALUE!</v>
      </c>
      <c r="C30" s="116"/>
      <c r="D30" s="135">
        <f>IF(D29&lt;0,"See Tab B","")</f>
      </c>
      <c r="E30" s="116"/>
      <c r="F30" s="135">
        <f>IF(F29&lt;0,"See Tab B","")</f>
      </c>
      <c r="G30" s="101"/>
      <c r="H30" s="135">
        <f>IF(H29&lt;0,"See Tab B","")</f>
      </c>
      <c r="I30" s="101"/>
      <c r="J30" s="135">
        <f>IF(J29&lt;0,"See Tab B","")</f>
      </c>
      <c r="K30" s="130" t="e">
        <f>SUM(K7+K17-K28)</f>
        <v>#VALUE!</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t="s">
        <v>290</v>
      </c>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B33" sqref="B3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5700</v>
      </c>
      <c r="E16" s="200"/>
    </row>
    <row r="17" spans="1:5" ht="15.75">
      <c r="A17" s="14"/>
      <c r="B17" s="83" t="s">
        <v>312</v>
      </c>
      <c r="C17" s="172" t="s">
        <v>157</v>
      </c>
      <c r="D17" s="200"/>
      <c r="E17" s="200"/>
    </row>
    <row r="18" spans="1:5" ht="15.75">
      <c r="A18" s="14"/>
      <c r="B18" s="83" t="s">
        <v>287</v>
      </c>
      <c r="C18" s="192" t="s">
        <v>327</v>
      </c>
      <c r="D18" s="200">
        <v>21594</v>
      </c>
      <c r="E18" s="200">
        <v>17499</v>
      </c>
    </row>
    <row r="19" spans="1:5" ht="15.75">
      <c r="A19" s="14"/>
      <c r="B19" s="410" t="s">
        <v>817</v>
      </c>
      <c r="C19" s="411"/>
      <c r="D19" s="200">
        <v>1500</v>
      </c>
      <c r="E19" s="200">
        <v>766</v>
      </c>
    </row>
    <row r="20" spans="1:5" ht="15.75">
      <c r="A20" s="14"/>
      <c r="B20" s="200" t="s">
        <v>816</v>
      </c>
      <c r="C20" s="429"/>
      <c r="D20" s="200">
        <v>2500</v>
      </c>
      <c r="E20" s="200">
        <v>964</v>
      </c>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19229</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31294</v>
      </c>
      <c r="E30" s="14"/>
    </row>
    <row r="31" spans="1:5" ht="15.75">
      <c r="A31" s="14"/>
      <c r="B31" s="14"/>
      <c r="C31" s="14"/>
      <c r="D31" s="14"/>
      <c r="E31" s="14"/>
    </row>
    <row r="32" spans="1:5" ht="15.75">
      <c r="A32" s="300" t="s">
        <v>350</v>
      </c>
      <c r="B32" s="19"/>
      <c r="C32" s="14"/>
      <c r="D32" s="14"/>
      <c r="E32" s="14"/>
    </row>
    <row r="33" spans="1:5" ht="15.75">
      <c r="A33" s="346">
        <v>1</v>
      </c>
      <c r="B33" s="241" t="s">
        <v>290</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11.016</v>
      </c>
      <c r="E43" s="14"/>
    </row>
    <row r="44" spans="1:5" ht="15.75">
      <c r="A44" s="14"/>
      <c r="B44" s="83" t="str">
        <f t="shared" si="0"/>
        <v>Cemetery</v>
      </c>
      <c r="C44" s="14"/>
      <c r="D44" s="348">
        <v>0.505</v>
      </c>
      <c r="E44" s="14"/>
    </row>
    <row r="45" spans="1:5" ht="15.75">
      <c r="A45" s="14"/>
      <c r="B45" s="83" t="str">
        <f t="shared" si="0"/>
        <v>Noxious Weed</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11.521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18485</v>
      </c>
    </row>
    <row r="53" spans="1:5" ht="15.75">
      <c r="A53" s="353" t="str">
        <f>CONCATENATE("Assessed Valuation (",D5-2," budget column)")</f>
        <v>Assessed Valuation (2010 budget column)</v>
      </c>
      <c r="B53" s="354"/>
      <c r="C53" s="291"/>
      <c r="D53" s="28"/>
      <c r="E53" s="200">
        <v>1604499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2">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Penn Township</v>
      </c>
      <c r="C4" s="679"/>
      <c r="D4" s="679"/>
      <c r="E4" s="679"/>
      <c r="F4" s="679"/>
      <c r="G4" s="679"/>
      <c r="H4" s="679"/>
      <c r="I4" s="679"/>
    </row>
    <row r="5" spans="2:9" ht="15.75">
      <c r="B5" s="679" t="str">
        <f>inputPrYr!D3</f>
        <v>Osborne County</v>
      </c>
      <c r="C5" s="679"/>
      <c r="D5" s="679"/>
      <c r="E5" s="679"/>
      <c r="F5" s="679"/>
      <c r="G5" s="679"/>
      <c r="H5" s="679"/>
      <c r="I5" s="679"/>
    </row>
    <row r="6" spans="2:9" ht="15.75">
      <c r="B6" s="678" t="str">
        <f>CONCATENATE("will meet on ",inputBudSum!B5," at ",inputBudSum!B7," at ",inputBudSum!B9," for the purpose of hearing and")</f>
        <v>will meet on August 1, 2011 at 8:00 p.m. at Wayne Noffsinger Residence - 951 W. 100th Drive- Osborne,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Osborne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5912</v>
      </c>
      <c r="D17" s="592" t="str">
        <f>IF(inputPrYr!D41&gt;0,inputPrYr!D41,"  ")</f>
        <v>  </v>
      </c>
      <c r="E17" s="32">
        <f>IF(gen!$D$50&lt;&gt;0,gen!$D$50,"  ")</f>
        <v>5700</v>
      </c>
      <c r="F17" s="253" t="str">
        <f>IF(inputOth!D17&gt;0,inputOth!D17,"  ")</f>
        <v>  </v>
      </c>
      <c r="G17" s="32">
        <f>IF(gen!$E$50&lt;&gt;0,gen!$E$50,"  ")</f>
        <v>5800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20897</v>
      </c>
      <c r="D19" s="592">
        <f>IF(inputPrYr!D43&gt;0,inputPrYr!D43,"  ")</f>
        <v>11.016</v>
      </c>
      <c r="E19" s="32">
        <f>IF(road!$D$43&lt;&gt;0,road!$D$43,"  ")</f>
        <v>21594</v>
      </c>
      <c r="F19" s="253">
        <f>IF(inputOth!D19&gt;0,inputOth!D19,"  ")</f>
        <v>10.492</v>
      </c>
      <c r="G19" s="32">
        <f>IF(road!$E$43&lt;&gt;0,road!$E$43,"  ")</f>
        <v>21900</v>
      </c>
      <c r="H19" s="32">
        <f>IF(road!$E$50&lt;&gt;0,road!$E$50,"  ")</f>
        <v>17849</v>
      </c>
      <c r="I19" s="594">
        <f>IF(road!E50&gt;0,ROUND(H19/$G$35*1000,3)," ")</f>
        <v>10.491</v>
      </c>
      <c r="K19" s="669" t="str">
        <f>CONCATENATE("Estimated Value Of One Mill For ",I1,"")</f>
        <v>Estimated Value Of One Mill For 2012</v>
      </c>
      <c r="L19" s="674"/>
      <c r="M19" s="674"/>
      <c r="N19" s="675"/>
    </row>
    <row r="20" spans="2:14" ht="15.75">
      <c r="B20" s="96" t="str">
        <f>IF(inputPrYr!$B19&gt;"  ",inputPrYr!$B19,"  ")</f>
        <v>Cemetery</v>
      </c>
      <c r="C20" s="32">
        <f>IF(levypage9!$C$32&lt;&gt;0,levypage9!$C$32,"  ")</f>
        <v>860</v>
      </c>
      <c r="D20" s="592">
        <f>IF(inputPrYr!D44&gt;0,inputPrYr!D44,"  ")</f>
        <v>0.505</v>
      </c>
      <c r="E20" s="32">
        <f>IF(levypage9!$D$32&lt;&gt;0,levypage9!$D$32,"  ")</f>
        <v>1500</v>
      </c>
      <c r="F20" s="253">
        <f>IF(inputOth!D20&gt;0,inputOth!D20,"  ")</f>
        <v>0.459</v>
      </c>
      <c r="G20" s="32">
        <f>IF(levypage9!$E$32&lt;&gt;0,levypage9!$E$32,"  ")</f>
        <v>1500</v>
      </c>
      <c r="H20" s="32">
        <f>IF(levypage9!$E$39&lt;&gt;0,levypage9!$E$39,"  ")</f>
        <v>1069</v>
      </c>
      <c r="I20" s="594">
        <f>IF(levypage9!E39&gt;0,ROUND(H20/$G$35*1000,3)," ")</f>
        <v>0.628</v>
      </c>
      <c r="K20" s="568"/>
      <c r="L20" s="569"/>
      <c r="M20" s="569"/>
      <c r="N20" s="570"/>
    </row>
    <row r="21" spans="2:14" ht="15.75">
      <c r="B21" s="96" t="str">
        <f>IF(inputPrYr!$B20&gt;"  ",inputPrYr!$B20,"  ")</f>
        <v>Noxious Weed</v>
      </c>
      <c r="C21" s="32">
        <f>IF(levypage9!$C$69&lt;&gt;0,levypage9!$C$69,"  ")</f>
        <v>596</v>
      </c>
      <c r="D21" s="592" t="str">
        <f>IF(inputPrYr!D45&gt;0,inputPrYr!D45,"  ")</f>
        <v>  </v>
      </c>
      <c r="E21" s="32">
        <f>IF(levypage9!$D$69&lt;&gt;0,levypage9!$D$69,"  ")</f>
        <v>2500</v>
      </c>
      <c r="F21" s="253">
        <f>IF(inputOth!D21&gt;0,inputOth!D21,"  ")</f>
        <v>0.578</v>
      </c>
      <c r="G21" s="32">
        <f>IF(levypage9!$E$69&lt;&gt;0,levypage9!$E$69,"  ")</f>
        <v>2500</v>
      </c>
      <c r="H21" s="32">
        <f>IF(levypage9!$E$76&lt;&gt;0,levypage9!$E$76,"  ")</f>
        <v>556</v>
      </c>
      <c r="I21" s="594">
        <f>IF(levypage9!E76&gt;0,ROUND(H21/$G$35*1000,3)," ")</f>
        <v>0.327</v>
      </c>
      <c r="K21" s="571" t="s">
        <v>746</v>
      </c>
      <c r="L21" s="572"/>
      <c r="M21" s="572"/>
      <c r="N21" s="573">
        <f>ROUND(G35/1000,0)</f>
        <v>1701</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11.529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142</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f>IF(road!C64&lt;&gt;0,road!C64,"  ")</f>
        <v>500</v>
      </c>
      <c r="D29" s="531"/>
      <c r="E29" s="593"/>
      <c r="F29" s="531"/>
      <c r="G29" s="593"/>
      <c r="H29" s="593"/>
      <c r="I29" s="531"/>
      <c r="K29" s="582"/>
      <c r="L29" s="582"/>
      <c r="M29" s="582"/>
      <c r="N29" s="582"/>
    </row>
    <row r="30" spans="2:14" ht="15.75">
      <c r="B30" s="83" t="s">
        <v>301</v>
      </c>
      <c r="C30" s="595">
        <f aca="true" t="shared" si="0" ref="C30:I30">SUM(C17:C29)</f>
        <v>28765</v>
      </c>
      <c r="D30" s="529">
        <f t="shared" si="0"/>
        <v>11.521</v>
      </c>
      <c r="E30" s="595">
        <f t="shared" si="0"/>
        <v>31294</v>
      </c>
      <c r="F30" s="529">
        <f t="shared" si="0"/>
        <v>11.529</v>
      </c>
      <c r="G30" s="595">
        <f t="shared" si="0"/>
        <v>31700</v>
      </c>
      <c r="H30" s="595">
        <f t="shared" si="0"/>
        <v>19474</v>
      </c>
      <c r="I30" s="598">
        <f t="shared" si="0"/>
        <v>11.446</v>
      </c>
      <c r="K30" s="669" t="str">
        <f>CONCATENATE("Impact On Keeping The Same Mill Rate As For ",I1-1,"")</f>
        <v>Impact On Keeping The Same Mill Rate As For 2011</v>
      </c>
      <c r="L30" s="670"/>
      <c r="M30" s="670"/>
      <c r="N30" s="671"/>
    </row>
    <row r="31" spans="2:14" ht="15.75">
      <c r="B31" s="83" t="s">
        <v>44</v>
      </c>
      <c r="C31" s="32">
        <f>transfer!C29</f>
        <v>4500</v>
      </c>
      <c r="D31" s="14"/>
      <c r="E31" s="32">
        <f>transfer!D29</f>
        <v>3000</v>
      </c>
      <c r="F31" s="62"/>
      <c r="G31" s="32">
        <f>transfer!E29</f>
        <v>3200</v>
      </c>
      <c r="H31" s="14"/>
      <c r="I31" s="14"/>
      <c r="K31" s="575"/>
      <c r="L31" s="569"/>
      <c r="M31" s="569"/>
      <c r="N31" s="576"/>
    </row>
    <row r="32" spans="2:14" ht="16.5" thickBot="1">
      <c r="B32" s="83" t="s">
        <v>45</v>
      </c>
      <c r="C32" s="596">
        <f>C30-C31</f>
        <v>24265</v>
      </c>
      <c r="D32" s="14"/>
      <c r="E32" s="596">
        <f>E30-E31</f>
        <v>28294</v>
      </c>
      <c r="F32" s="14"/>
      <c r="G32" s="596">
        <f>G30-G31</f>
        <v>28500</v>
      </c>
      <c r="H32" s="14"/>
      <c r="I32" s="14"/>
      <c r="K32" s="575" t="str">
        <f>CONCATENATE("",I1," Ad Valorem Tax Revenue:")</f>
        <v>2012 Ad Valorem Tax Revenue:</v>
      </c>
      <c r="L32" s="569"/>
      <c r="M32" s="569"/>
      <c r="N32" s="570">
        <f>H30</f>
        <v>19474</v>
      </c>
    </row>
    <row r="33" spans="2:14" ht="16.5" thickTop="1">
      <c r="B33" s="83" t="s">
        <v>46</v>
      </c>
      <c r="C33" s="597">
        <f>inputPrYr!E52</f>
        <v>18485</v>
      </c>
      <c r="D33" s="62"/>
      <c r="E33" s="597">
        <f>inputPrYr!E25</f>
        <v>19229</v>
      </c>
      <c r="F33" s="14"/>
      <c r="G33" s="588" t="s">
        <v>302</v>
      </c>
      <c r="H33" s="14"/>
      <c r="I33" s="14"/>
      <c r="K33" s="575" t="str">
        <f>CONCATENATE("",I1-1," Ad Valorem Tax Revenue:")</f>
        <v>2011 Ad Valorem Tax Revenue:</v>
      </c>
      <c r="L33" s="569"/>
      <c r="M33" s="569"/>
      <c r="N33" s="583">
        <f>ROUND(G35*N25/1000,0)</f>
        <v>19616</v>
      </c>
    </row>
    <row r="34" spans="2:14" ht="15.75">
      <c r="B34" s="279" t="s">
        <v>47</v>
      </c>
      <c r="C34" s="55"/>
      <c r="D34" s="62"/>
      <c r="E34" s="55"/>
      <c r="F34" s="62"/>
      <c r="G34" s="14"/>
      <c r="H34" s="14"/>
      <c r="I34" s="14"/>
      <c r="K34" s="580" t="s">
        <v>747</v>
      </c>
      <c r="L34" s="581"/>
      <c r="M34" s="581"/>
      <c r="N34" s="573">
        <f>N32-N33</f>
        <v>-142</v>
      </c>
    </row>
    <row r="35" spans="2:14" ht="15.75">
      <c r="B35" s="606" t="s">
        <v>48</v>
      </c>
      <c r="C35" s="31">
        <f>inputPrYr!E53</f>
        <v>1604499</v>
      </c>
      <c r="D35" s="14"/>
      <c r="E35" s="32">
        <f>inputOth!E28</f>
        <v>1665976</v>
      </c>
      <c r="F35" s="14"/>
      <c r="G35" s="32">
        <f>inputOth!E7</f>
        <v>1701430</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11.446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Penn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t="str">
        <f>inputPrYr!B20</f>
        <v>Noxious Weed</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1701430</v>
      </c>
      <c r="E18" s="14"/>
      <c r="F18" s="140"/>
    </row>
    <row r="19" spans="1:6" ht="15.75">
      <c r="A19" s="14"/>
      <c r="B19" s="14"/>
      <c r="C19" s="14"/>
      <c r="D19" s="14"/>
      <c r="E19" s="14"/>
      <c r="F19" s="140"/>
    </row>
    <row r="20" spans="1:6" ht="15.75">
      <c r="A20" s="14"/>
      <c r="B20" s="682" t="s">
        <v>379</v>
      </c>
      <c r="C20" s="682"/>
      <c r="D20" s="148">
        <f>IF(D18&gt;0,(D18*0.001),"")</f>
        <v>1701.43</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Penn Township </v>
      </c>
      <c r="I6">
        <f>CONCATENATE(I7)</f>
      </c>
    </row>
    <row r="7" spans="1:7" ht="15.75">
      <c r="A7" s="692" t="str">
        <f>CONCATENATE("   with respect to financing the ",inputPrYr!D5," annual budget for ",(inputPrYr!D2)," , ",(inputPrYr!D3)," , Kansas.")</f>
        <v>   with respect to financing the 2012 annual budget for Penn Township , Osborne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Penn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Penn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Penn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Penn Township of Osborne County, Kansas that is our desire to notify the public of increased property taxes to finance the 2012 Penn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Penn Township Board, Osborne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Penn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4">
      <selection activeCell="E41" sqref="E4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Penn Township</v>
      </c>
      <c r="B1" s="101"/>
      <c r="C1" s="101"/>
      <c r="D1" s="101"/>
      <c r="E1" s="101">
        <f>inputPrYr!D5</f>
        <v>2012</v>
      </c>
    </row>
    <row r="2" spans="1:5" ht="15.75">
      <c r="A2" s="99" t="str">
        <f>inputPrYr!D3</f>
        <v>Osborne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1701430</v>
      </c>
    </row>
    <row r="8" spans="1:5" ht="15.75">
      <c r="A8" s="22" t="str">
        <f>CONCATENATE("New Improvements for ",E1-1,"")</f>
        <v>New Improvements for 2011</v>
      </c>
      <c r="B8" s="19"/>
      <c r="C8" s="19"/>
      <c r="D8" s="19"/>
      <c r="E8" s="309">
        <v>16290</v>
      </c>
    </row>
    <row r="9" spans="1:5" ht="15.75">
      <c r="A9" s="22" t="str">
        <f>CONCATENATE("Personal Property excluding oil, gas, and mobile homes - ",E1-1,"")</f>
        <v>Personal Property excluding oil, gas, and mobile homes - 2011</v>
      </c>
      <c r="B9" s="19"/>
      <c r="C9" s="19"/>
      <c r="D9" s="19"/>
      <c r="E9" s="309">
        <v>60308</v>
      </c>
    </row>
    <row r="10" spans="1:5" ht="15.75">
      <c r="A10" s="22" t="str">
        <f>CONCATENATE("Property that has changed in use for ",E1-1,"")</f>
        <v>Property that has changed in use for 2011</v>
      </c>
      <c r="B10" s="19"/>
      <c r="C10" s="19"/>
      <c r="D10" s="19"/>
      <c r="E10" s="309">
        <v>1381</v>
      </c>
    </row>
    <row r="11" spans="1:5" ht="15.75">
      <c r="A11" s="22" t="str">
        <f>CONCATENATE("Personal Property excluding oil, gas, and mobile homes- ",E1-2,"")</f>
        <v>Personal Property excluding oil, gas, and mobile homes- 2010</v>
      </c>
      <c r="B11" s="19"/>
      <c r="C11" s="19"/>
      <c r="D11" s="19"/>
      <c r="E11" s="309">
        <v>46622</v>
      </c>
    </row>
    <row r="12" spans="1:5" ht="15.75">
      <c r="A12" s="22" t="str">
        <f>CONCATENATE("Gross earnings (intangible) tax estimate for ",E1,"")</f>
        <v>Gross earnings (intangible) tax estimate for 2012</v>
      </c>
      <c r="B12" s="19"/>
      <c r="C12" s="19"/>
      <c r="D12" s="19"/>
      <c r="E12" s="309">
        <v>5152</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10.492</v>
      </c>
      <c r="E19" s="312"/>
    </row>
    <row r="20" spans="1:5" ht="15.75">
      <c r="A20" s="82" t="str">
        <f>inputPrYr!B19</f>
        <v>Cemetery</v>
      </c>
      <c r="B20" s="291"/>
      <c r="C20" s="19"/>
      <c r="D20" s="315">
        <v>0.459</v>
      </c>
      <c r="E20" s="312"/>
    </row>
    <row r="21" spans="1:5" ht="15.75">
      <c r="A21" s="82" t="str">
        <f>inputPrYr!B20</f>
        <v>Noxious Weed</v>
      </c>
      <c r="B21" s="291"/>
      <c r="C21" s="19"/>
      <c r="D21" s="315">
        <v>0.578</v>
      </c>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11.529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1665976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1720</v>
      </c>
    </row>
    <row r="32" spans="1:5" ht="15.75">
      <c r="A32" s="322" t="s">
        <v>289</v>
      </c>
      <c r="B32" s="291"/>
      <c r="C32" s="291"/>
      <c r="D32" s="31"/>
      <c r="E32" s="34">
        <v>33</v>
      </c>
    </row>
    <row r="33" spans="1:5" ht="15.75">
      <c r="A33" s="322" t="s">
        <v>165</v>
      </c>
      <c r="B33" s="291"/>
      <c r="C33" s="291"/>
      <c r="D33" s="31"/>
      <c r="E33" s="34">
        <v>494</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1500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v>
      </c>
    </row>
    <row r="40" spans="1:5" ht="15.75">
      <c r="A40" s="300" t="s">
        <v>170</v>
      </c>
      <c r="B40" s="300"/>
      <c r="C40" s="19"/>
      <c r="D40" s="19"/>
      <c r="E40" s="431">
        <v>0.01</v>
      </c>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6008</v>
      </c>
      <c r="C46" s="328" t="s">
        <v>222</v>
      </c>
      <c r="D46" s="329"/>
      <c r="E46" s="329"/>
    </row>
    <row r="47" spans="1:5" ht="15.75">
      <c r="A47" s="330" t="str">
        <f>inputPrYr!B17</f>
        <v>Debt Service</v>
      </c>
      <c r="B47" s="36"/>
      <c r="C47" s="328"/>
      <c r="D47" s="329"/>
      <c r="E47" s="329"/>
    </row>
    <row r="48" spans="1:5" ht="15.75">
      <c r="A48" s="330" t="str">
        <f>inputPrYr!B18</f>
        <v>Road</v>
      </c>
      <c r="B48" s="36">
        <v>20963</v>
      </c>
      <c r="C48" s="151"/>
      <c r="D48" s="151"/>
      <c r="E48" s="151"/>
    </row>
    <row r="49" spans="1:5" ht="15.75">
      <c r="A49" s="330" t="str">
        <f>inputPrYr!B19</f>
        <v>Cemetery</v>
      </c>
      <c r="B49" s="36">
        <v>1200</v>
      </c>
      <c r="C49" s="151"/>
      <c r="D49" s="151"/>
      <c r="E49" s="151"/>
    </row>
    <row r="50" spans="1:5" ht="15.75">
      <c r="A50" s="330" t="str">
        <f>inputPrYr!B20</f>
        <v>Noxious Weed</v>
      </c>
      <c r="B50" s="36">
        <v>2500</v>
      </c>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B2">
      <selection activeCell="D8" sqref="D8"/>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824</v>
      </c>
      <c r="C5" s="387"/>
      <c r="D5" s="384" t="s">
        <v>802</v>
      </c>
      <c r="E5" s="383"/>
      <c r="F5" s="383"/>
    </row>
    <row r="6" spans="1:6" ht="15.75">
      <c r="A6" s="384"/>
      <c r="B6" s="388"/>
      <c r="C6" s="389"/>
      <c r="D6" s="384" t="s">
        <v>801</v>
      </c>
      <c r="E6" s="383"/>
      <c r="F6" s="383"/>
    </row>
    <row r="7" spans="1:6" ht="15.75">
      <c r="A7" s="384" t="s">
        <v>387</v>
      </c>
      <c r="B7" s="386" t="s">
        <v>825</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E38" sqref="E3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Osborne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Penn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5800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21900</v>
      </c>
      <c r="F22" s="172">
        <f>IF(road!$E$50&lt;&gt;0,road!$E$50,"  ")</f>
        <v>17849</v>
      </c>
      <c r="G22" s="168">
        <f>IF(AND(road!E50=0,$C$38&gt;=0)," ",IF(AND(F22&gt;0,$C$38=0)," ",IF(AND(F22&gt;0,$C$38&gt;0),ROUND(F22/$C$38*1000,3))))</f>
        <v>10.501</v>
      </c>
    </row>
    <row r="23" spans="2:7" s="14" customFormat="1" ht="15.75">
      <c r="B23" s="96" t="str">
        <f>IF(inputPrYr!$B19&gt;"  ",inputPrYr!$B19,"  ")</f>
        <v>Cemetery</v>
      </c>
      <c r="C23" s="284" t="str">
        <f>IF(inputPrYr!C19&gt;0,inputPrYr!C19,"  ")</f>
        <v>  </v>
      </c>
      <c r="D23" s="285">
        <f>IF(levypage9!C77&gt;0,levypage9!C77,"  ")</f>
        <v>8</v>
      </c>
      <c r="E23" s="172">
        <f>IF(levypage9!$E$32&lt;&gt;0,levypage9!$E$32,"  ")</f>
        <v>1500</v>
      </c>
      <c r="F23" s="172">
        <f>IF(levypage9!$E$39&lt;&gt;0,levypage9!$E$39,"  ")</f>
        <v>1069</v>
      </c>
      <c r="G23" s="168">
        <f>IF(AND(levypage9!E39=0,$C$38&gt;=0)," ",IF(AND(F23&gt;0,$C$38=0)," ",IF(AND(F23&gt;0,$C$38&gt;0),ROUND(F23/$C$38*1000,3))))</f>
        <v>0.629</v>
      </c>
    </row>
    <row r="24" spans="2:7" s="14" customFormat="1" ht="15.75">
      <c r="B24" s="96" t="str">
        <f>IF(inputPrYr!$B20&gt;"  ",inputPrYr!$B20,"  ")</f>
        <v>Noxious Weed</v>
      </c>
      <c r="C24" s="284" t="str">
        <f>IF(inputPrYr!C20&gt;0,inputPrYr!C20,"  ")</f>
        <v>  </v>
      </c>
      <c r="D24" s="285">
        <f>IF(levypage9!C77&gt;0,levypage9!C77,"  ")</f>
        <v>8</v>
      </c>
      <c r="E24" s="172">
        <f>IF(levypage9!$E$69&lt;&gt;0,levypage9!$E$69,"  ")</f>
        <v>2500</v>
      </c>
      <c r="F24" s="172">
        <f>IF(levypage9!$E$76&lt;&gt;0,levypage9!$E$76,"  ")</f>
        <v>556</v>
      </c>
      <c r="G24" s="168">
        <f>IF(AND(levypage9!E76=0,$C$38&gt;=0)," ",IF(AND(F24&gt;0,$C$38=0)," ",IF(AND(F24&gt;0,$C$38&gt;0),ROUND(F24/$C$38*1000,3))))</f>
        <v>0.327</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31700</v>
      </c>
      <c r="F33" s="292">
        <f>SUM(F20:F28)</f>
        <v>19474</v>
      </c>
      <c r="G33" s="293">
        <f>IF(SUM(G20:G28)&gt;0,SUM(G20:G28),"")</f>
        <v>11.456999999999999</v>
      </c>
    </row>
    <row r="34" spans="2:4" s="14" customFormat="1" ht="16.5" thickTop="1">
      <c r="B34" s="27" t="s">
        <v>175</v>
      </c>
      <c r="C34" s="283"/>
      <c r="D34" s="288">
        <f>summ!D47</f>
        <v>9</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1699807</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5">
      <selection activeCell="J5" sqref="J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Penn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19229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19229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16290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60308</v>
      </c>
      <c r="F14" s="270"/>
      <c r="G14" s="55"/>
      <c r="H14" s="55"/>
      <c r="I14" s="53"/>
      <c r="J14" s="55"/>
    </row>
    <row r="15" spans="1:10" ht="15.75">
      <c r="A15" s="269"/>
      <c r="B15" s="14" t="s">
        <v>91</v>
      </c>
      <c r="C15" s="14" t="str">
        <f>CONCATENATE("Personal Property ",J1-2,"")</f>
        <v>Personal Property 2010</v>
      </c>
      <c r="D15" s="269" t="s">
        <v>86</v>
      </c>
      <c r="E15" s="273">
        <f>inputOth!E11</f>
        <v>46622</v>
      </c>
      <c r="F15" s="270"/>
      <c r="G15" s="53"/>
      <c r="H15" s="53"/>
      <c r="I15" s="55"/>
      <c r="J15" s="55"/>
    </row>
    <row r="16" spans="1:10" ht="15.75">
      <c r="A16" s="269"/>
      <c r="B16" s="14" t="s">
        <v>92</v>
      </c>
      <c r="C16" s="14" t="s">
        <v>112</v>
      </c>
      <c r="D16" s="14"/>
      <c r="E16" s="55"/>
      <c r="F16" s="55" t="s">
        <v>15</v>
      </c>
      <c r="G16" s="271">
        <f>IF(E14&gt;E15,E14-E15,0)</f>
        <v>13686</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1381</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31357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1701430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1670073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0.018775825966888874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361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19590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19590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D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Penn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17499</v>
      </c>
      <c r="E13" s="253">
        <f>IF(inputOth!D19&gt;0,inputOth!D19,"  ")</f>
        <v>10.492</v>
      </c>
      <c r="F13" s="254"/>
      <c r="G13" s="96">
        <f>IF(inputPrYr!E18=0,0,ROUND(D13*$G$30,0))</f>
        <v>1565</v>
      </c>
      <c r="H13" s="255"/>
      <c r="I13" s="96">
        <f>IF(inputPrYr!$E$18=0,0,ROUND($D$13*$I$32,0))</f>
        <v>30</v>
      </c>
      <c r="J13" s="96">
        <f>IF(inputPrYr!E18=0,0,ROUND($D13*$J$34,0))</f>
        <v>450</v>
      </c>
      <c r="K13" s="96">
        <f>IF(inputPrYr!E18=0,0,ROUND($D13*$K$36,0))</f>
        <v>0</v>
      </c>
      <c r="L13" s="256" t="e">
        <f>IF(inputOth!D19&gt;0,ROUND(E13*#REF!*-1,0),"")</f>
        <v>#REF!</v>
      </c>
    </row>
    <row r="14" spans="2:12" ht="15.75">
      <c r="B14" s="96" t="str">
        <f>IF(inputPrYr!$B19&gt;"  ",inputPrYr!$B19,"  ")</f>
        <v>Cemetery</v>
      </c>
      <c r="C14" s="252"/>
      <c r="D14" s="96">
        <f>IF(inputPrYr!E19&gt;=0,inputPrYr!E19,"  ")</f>
        <v>766</v>
      </c>
      <c r="E14" s="253">
        <f>IF(inputOth!D20&gt;0,inputOth!D20,"  ")</f>
        <v>0.459</v>
      </c>
      <c r="F14" s="254"/>
      <c r="G14" s="96">
        <f>IF(inputPrYr!E19=0,0,ROUND(D14*$G$30,0))</f>
        <v>69</v>
      </c>
      <c r="H14" s="255"/>
      <c r="I14" s="96">
        <f>IF(inputPrYr!$E$19=0,0,ROUND($D$14*$I$32,0))</f>
        <v>1</v>
      </c>
      <c r="J14" s="96">
        <f>IF(inputPrYr!E19=0,0,ROUND($D14*$J$34,0))</f>
        <v>20</v>
      </c>
      <c r="K14" s="96">
        <f>IF(inputPrYr!E19=0,0,ROUND($D14*$K$36,0))</f>
        <v>0</v>
      </c>
      <c r="L14" s="256" t="e">
        <f>IF(inputOth!D20&gt;0,ROUND(E14*#REF!*-1,0),"")</f>
        <v>#REF!</v>
      </c>
    </row>
    <row r="15" spans="2:12" ht="15.75">
      <c r="B15" s="96" t="str">
        <f>IF(inputPrYr!$B20&gt;"  ",inputPrYr!$B20,"  ")</f>
        <v>Noxious Weed</v>
      </c>
      <c r="C15" s="252"/>
      <c r="D15" s="96">
        <f>IF(inputPrYr!E20&gt;=0,inputPrYr!E20,"  ")</f>
        <v>964</v>
      </c>
      <c r="E15" s="253">
        <f>IF(inputOth!D21&gt;0,inputOth!D21,"  ")</f>
        <v>0.578</v>
      </c>
      <c r="F15" s="254"/>
      <c r="G15" s="96">
        <f>IF(inputPrYr!E20=0,0,ROUND(D15*$G$30,0))</f>
        <v>86</v>
      </c>
      <c r="H15" s="255"/>
      <c r="I15" s="96">
        <f>IF(inputPrYr!$E$20=0,0,ROUND($D$15*$I$32,0))</f>
        <v>2</v>
      </c>
      <c r="J15" s="96">
        <f>IF(inputPrYr!E20=0,0,ROUND($D15*$J$34,0))</f>
        <v>25</v>
      </c>
      <c r="K15" s="96">
        <f>IF(inputPrYr!E20=0,0,ROUND($D15*$K$36,0))</f>
        <v>0</v>
      </c>
      <c r="L15" s="256" t="e">
        <f>IF(inputOth!D21&gt;0,ROUND(E15*#REF!*-1,0),"")</f>
        <v>#REF!</v>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19229</v>
      </c>
      <c r="E20" s="259">
        <f>SUM(E11:E19)</f>
        <v>11.529</v>
      </c>
      <c r="F20" s="260"/>
      <c r="G20" s="258">
        <f>SUM(G11:G19)</f>
        <v>1720</v>
      </c>
      <c r="H20" s="258"/>
      <c r="I20" s="258">
        <f>SUM(I11:I19)</f>
        <v>33</v>
      </c>
      <c r="J20" s="258">
        <f>SUM(J11:J19)</f>
        <v>495</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1720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494</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0.08944822923708981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0.0017161578865255603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0.025690363513443237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Penn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4500</v>
      </c>
      <c r="D11" s="240">
        <f>gen!$D$43</f>
        <v>3000</v>
      </c>
      <c r="E11" s="240">
        <f>gen!$E$43</f>
        <v>3200</v>
      </c>
      <c r="F11" s="84" t="str">
        <f>IF(C11+D11+E11&gt;0,"80-1406b","")</f>
        <v>80-1406b</v>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4500</v>
      </c>
      <c r="D27" s="245">
        <f>SUM(D10:D26)</f>
        <v>3000</v>
      </c>
      <c r="E27" s="245">
        <f>SUM(E10:E26)</f>
        <v>3200</v>
      </c>
      <c r="F27" s="140"/>
    </row>
    <row r="28" spans="1:6" ht="15.75">
      <c r="A28" s="140"/>
      <c r="B28" s="244" t="s">
        <v>633</v>
      </c>
      <c r="C28" s="140"/>
      <c r="D28" s="241"/>
      <c r="E28" s="241"/>
      <c r="F28" s="140"/>
    </row>
    <row r="29" spans="1:6" ht="15.75">
      <c r="A29" s="140"/>
      <c r="B29" s="192" t="s">
        <v>184</v>
      </c>
      <c r="C29" s="246">
        <f>C27</f>
        <v>4500</v>
      </c>
      <c r="D29" s="246">
        <f>SUM(D27-D28)</f>
        <v>3000</v>
      </c>
      <c r="E29" s="246">
        <f>SUM(E27-E28)</f>
        <v>3200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2011-07-01T21:02:28Z</cp:lastPrinted>
  <dcterms:created xsi:type="dcterms:W3CDTF">1998-08-26T16:30:41Z</dcterms:created>
  <dcterms:modified xsi:type="dcterms:W3CDTF">2011-12-01T19:40:49Z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