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131" windowWidth="15360" windowHeight="8805" tabRatio="850" firstSheet="4" activeTab="4"/>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 sheetId="8" state="hidden" r:id="rId8"/>
    <sheet name="TransferStatutes" sheetId="9" state="hidden" r:id="rId9"/>
    <sheet name="debt-lease" sheetId="10" state="hidden" r:id="rId10"/>
    <sheet name="gen" sheetId="11" r:id="rId11"/>
    <sheet name="DebtService" sheetId="12" state="hidden" r:id="rId12"/>
    <sheet name="road" sheetId="13" state="hidden" r:id="rId13"/>
    <sheet name="levypage9" sheetId="14" state="hidden" r:id="rId14"/>
    <sheet name="levypage10" sheetId="15" state="hidden" r:id="rId15"/>
    <sheet name="levypage11" sheetId="16" state="hidden" r:id="rId16"/>
    <sheet name="nolevypage12" sheetId="17" state="hidden" r:id="rId17"/>
    <sheet name="nonbud" sheetId="18" state="hidden" r:id="rId18"/>
    <sheet name="NonBudFunds" sheetId="19" state="hidden" r:id="rId19"/>
    <sheet name="summ" sheetId="20" r:id="rId20"/>
    <sheet name="Publication" sheetId="21" state="hidden" r:id="rId21"/>
    <sheet name="pub" sheetId="22" r:id="rId22"/>
    <sheet name="nhood" sheetId="23" r:id="rId23"/>
    <sheet name="Resolution" sheetId="24" state="hidden" r:id="rId24"/>
    <sheet name="Tab A" sheetId="25" state="hidden" r:id="rId25"/>
    <sheet name="Tab B" sheetId="26" state="hidden" r:id="rId26"/>
    <sheet name="Tab C" sheetId="27" state="hidden" r:id="rId27"/>
    <sheet name="Tab D" sheetId="28" state="hidden" r:id="rId28"/>
    <sheet name="Tab E" sheetId="29" state="hidden" r:id="rId29"/>
    <sheet name="Mill Rate Computation" sheetId="30" state="hidden" r:id="rId30"/>
    <sheet name="Helpful Links" sheetId="31" state="hidden" r:id="rId31"/>
    <sheet name="legend" sheetId="32" state="hidden" r:id="rId32"/>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<sst xmlns="http://schemas.openxmlformats.org/spreadsheetml/2006/main" count="1378" uniqueCount="830">
  <si>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</si>
  <si>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</si>
  <si>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</si>
  <si>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</si>
  <si>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</si>
  <si>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</si>
  <si>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</si>
  <si>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</si>
  <si>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</si>
  <si>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</si>
  <si>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</si>
  <si>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</si>
  <si>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</si>
  <si>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</si>
  <si>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</si>
  <si>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</si>
  <si>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</si>
  <si>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</si>
  <si>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</si>
  <si>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</si>
  <si>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</si>
  <si>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</si>
  <si>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</si>
  <si>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</si>
  <si>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</si>
  <si>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</si>
  <si>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</si>
  <si>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</si>
  <si>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</si>
  <si>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</si>
  <si>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</si>
  <si>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</si>
  <si>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</si>
  <si>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</si>
  <si>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</si>
  <si>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</si>
  <si>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</si>
  <si>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</si>
  <si>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</si>
  <si>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</si>
  <si>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</si>
  <si>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</si>
  <si>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</si>
  <si>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</si>
  <si>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</si>
  <si>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</si>
  <si>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</si>
  <si>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</si>
  <si>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</si>
  <si>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</si>
  <si>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</si>
  <si>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</si>
  <si>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</si>
  <si>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</si>
  <si>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</si>
  <si>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</si>
  <si>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</si>
  <si>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</si>
  <si>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</si>
  <si>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</si>
  <si>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</si>
  <si>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</si>
  <si>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</si>
  <si>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</si>
  <si>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</si>
  <si>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</si>
  <si>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</si>
  <si>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</si>
  <si>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</si>
  <si>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</si>
  <si>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</si>
  <si>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</si>
  <si>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</si>
  <si>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</si>
  <si>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</si>
  <si>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</si>
  <si>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</si>
  <si>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</si>
  <si>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</si>
  <si>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</si>
  <si>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</si>
  <si>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</si>
  <si>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</si>
  <si>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</si>
  <si>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</si>
  <si>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</si>
  <si>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</si>
  <si>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</si>
  <si>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</si>
  <si>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</si>
  <si>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</si>
  <si>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</si>
  <si>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</si>
  <si>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</si>
  <si>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</si>
  <si>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</si>
  <si>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</si>
  <si>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</si>
  <si>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</si>
  <si>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</si>
  <si>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</si>
  <si>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</si>
  <si>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</si>
  <si>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</si>
  <si>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</si>
  <si>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</si>
  <si>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</si>
  <si>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</si>
  <si>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</si>
  <si>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</si>
  <si>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</si>
  <si>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</si>
  <si>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</si>
  <si>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</si>
  <si>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</si>
  <si>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</si>
  <si>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</si>
  <si>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</si>
  <si>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</si>
  <si>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</si>
  <si>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</si>
  <si>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</si>
  <si>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</si>
  <si>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</si>
  <si>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</si>
  <si>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</si>
  <si>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</si>
  <si>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</si>
  <si>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</si>
  <si>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</si>
  <si>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</si>
  <si>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</si>
  <si>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</si>
  <si>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</si>
  <si>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</si>
  <si>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</si>
  <si>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</si>
  <si>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August 9, 2011</t>
  </si>
  <si>
    <t>7:00 p.m.</t>
  </si>
  <si>
    <t>Morris County Clerk</t>
  </si>
  <si>
    <t>501 W Main St</t>
  </si>
  <si>
    <t>Council Grove, Ks 66846</t>
  </si>
  <si>
    <t>X</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</si>
  <si>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</si>
  <si>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</si>
  <si>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</si>
  <si>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</si>
  <si>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</si>
  <si>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</si>
  <si>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</si>
  <si>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</si>
  <si>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</si>
  <si>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</si>
  <si>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</si>
  <si>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</si>
  <si>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</si>
  <si>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</si>
  <si>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</si>
  <si>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</si>
  <si>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</si>
  <si>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</si>
  <si>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</si>
  <si>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</si>
  <si>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</si>
  <si>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</si>
  <si>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</si>
  <si>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</si>
  <si>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</si>
  <si>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</si>
  <si>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</si>
  <si>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</si>
  <si>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</si>
  <si>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</si>
  <si>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</si>
  <si>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</si>
  <si>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</si>
  <si>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</si>
  <si>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</si>
  <si>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</si>
  <si>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</si>
  <si>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</si>
  <si>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</si>
  <si>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</si>
  <si>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</si>
  <si>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</si>
  <si>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</si>
  <si>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</si>
  <si>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</si>
  <si>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</si>
  <si>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</si>
  <si>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</si>
  <si>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</si>
  <si>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</si>
  <si>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</si>
  <si>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</si>
  <si>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</si>
  <si>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</si>
  <si>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</si>
  <si>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</si>
  <si>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</si>
  <si>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</si>
  <si>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</si>
  <si>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</si>
  <si>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</si>
  <si>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</si>
  <si>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</si>
  <si>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</si>
  <si>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</si>
  <si>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</si>
  <si>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</si>
  <si>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</si>
  <si>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</si>
  <si>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</si>
  <si>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</si>
  <si>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</si>
  <si>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</si>
  <si>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</si>
  <si>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</si>
  <si>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</si>
  <si>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</si>
  <si>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</si>
  <si>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</si>
  <si>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</si>
  <si>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</si>
  <si>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</si>
  <si>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</si>
  <si>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</si>
  <si>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SEVEN TOWNSHIP</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</si>
  <si>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</si>
  <si>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</si>
  <si>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</si>
  <si>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</si>
  <si>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</si>
  <si>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</si>
  <si>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</si>
  <si>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</si>
  <si>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</si>
  <si>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</si>
  <si>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</si>
  <si>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</si>
  <si>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</si>
  <si>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</si>
  <si>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</si>
  <si>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</si>
  <si>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</si>
  <si>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</si>
  <si>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</si>
  <si>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</si>
  <si>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</si>
  <si>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</si>
  <si>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</si>
  <si>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</si>
  <si>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</si>
  <si>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</si>
  <si>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</si>
  <si>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</si>
  <si>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</si>
  <si>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</si>
  <si>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</si>
  <si>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</si>
  <si>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</si>
  <si>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</si>
  <si>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</si>
  <si>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</si>
  <si>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</si>
  <si>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</si>
  <si>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</si>
  <si>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</si>
  <si>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</si>
  <si>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</si>
  <si>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</si>
  <si>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</si>
  <si>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</si>
  <si>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</si>
  <si>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</si>
  <si>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</si>
  <si>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</si>
  <si>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</si>
  <si>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</si>
  <si>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</si>
  <si>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</si>
  <si>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</si>
  <si>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</si>
  <si>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</si>
  <si>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</si>
  <si>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</si>
  <si>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</si>
  <si>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</si>
  <si>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</si>
  <si>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</si>
  <si>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</si>
  <si>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</si>
  <si>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</si>
  <si>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</si>
  <si>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</si>
  <si>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</si>
  <si>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</si>
  <si>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</si>
  <si>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</si>
  <si>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</si>
  <si>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</si>
  <si>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</si>
  <si>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</si>
  <si>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</si>
  <si>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</si>
  <si>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</si>
  <si>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</si>
  <si>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</si>
  <si>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</si>
  <si>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</si>
  <si>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</si>
  <si>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</si>
  <si>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</si>
  <si>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</si>
  <si>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</si>
  <si>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</si>
  <si>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</si>
  <si>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</si>
  <si>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</si>
  <si>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</si>
  <si>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</si>
  <si>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</si>
  <si>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</si>
  <si>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</si>
  <si>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</si>
  <si>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</si>
  <si>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</si>
  <si>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</si>
  <si>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</si>
  <si>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</si>
  <si>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</si>
  <si>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</si>
  <si>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</si>
  <si>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</si>
  <si>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</si>
  <si>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</si>
  <si>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</si>
  <si>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</si>
  <si>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</si>
  <si>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</si>
  <si>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</si>
  <si>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</si>
  <si>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</si>
  <si>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</si>
  <si>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</si>
  <si>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</si>
  <si>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</si>
  <si>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</si>
  <si>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</si>
  <si>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</si>
  <si>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</si>
  <si>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</si>
  <si>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</si>
  <si>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</si>
  <si>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</si>
  <si>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</si>
  <si>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</si>
  <si>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</si>
  <si>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</si>
  <si>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</si>
  <si>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</si>
  <si>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</si>
  <si>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</si>
  <si>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</si>
  <si>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</si>
  <si>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</si>
  <si>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</si>
  <si>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</si>
  <si>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</si>
  <si>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</si>
  <si>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</si>
  <si>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</si>
  <si>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</si>
  <si>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</si>
  <si>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</si>
  <si>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</si>
  <si>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</si>
  <si>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</si>
  <si>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</si>
  <si>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</si>
  <si>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</si>
  <si>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</si>
  <si>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</si>
  <si>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</si>
  <si>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</si>
  <si>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</si>
  <si>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</si>
  <si>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</si>
  <si>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</si>
  <si>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</si>
  <si>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</si>
  <si>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</si>
  <si>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</si>
  <si>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</si>
  <si>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</si>
  <si>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</si>
  <si>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</si>
  <si>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</si>
  <si>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</si>
  <si>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</si>
  <si>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</si>
  <si>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</si>
  <si>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</si>
  <si>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</si>
  <si>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</si>
  <si>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</si>
  <si>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</si>
  <si>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</si>
  <si>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</si>
  <si>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</si>
  <si>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</si>
  <si>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</si>
  <si>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</si>
  <si>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</si>
  <si>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</si>
  <si>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</si>
  <si>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</si>
  <si>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</si>
  <si>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</si>
  <si>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</si>
  <si>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</si>
  <si>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</si>
  <si>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</si>
  <si>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</si>
  <si>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</si>
  <si>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</si>
  <si>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</si>
  <si>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</si>
  <si>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</si>
  <si>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</si>
  <si>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</si>
  <si>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</si>
  <si>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</si>
  <si>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</si>
  <si>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</si>
  <si>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</si>
  <si>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</si>
  <si>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</si>
  <si>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</si>
  <si>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</si>
  <si>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</si>
  <si>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</si>
  <si>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</si>
  <si>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</si>
  <si>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</si>
  <si>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</si>
  <si>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</si>
  <si>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</si>
  <si>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</si>
  <si>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</si>
  <si>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</si>
  <si>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</si>
  <si>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</si>
  <si>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</si>
  <si>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</si>
  <si>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</si>
  <si>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</si>
  <si>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</si>
  <si>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</si>
  <si>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</si>
  <si>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</si>
  <si>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</si>
  <si>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</si>
  <si>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</si>
  <si>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</si>
  <si>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</si>
  <si>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</si>
  <si>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</si>
  <si>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</si>
  <si>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</si>
  <si>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</si>
  <si>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</si>
  <si>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</si>
  <si>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</si>
  <si>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</si>
  <si>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</si>
  <si>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</si>
  <si>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</si>
  <si>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</si>
  <si>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</si>
  <si>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</si>
  <si>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</si>
  <si>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</si>
  <si>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</si>
  <si>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</si>
  <si>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</si>
  <si>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</si>
  <si>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</si>
  <si>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</si>
  <si>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</si>
  <si>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</si>
  <si>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</si>
  <si>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</si>
  <si>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</si>
  <si>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</si>
  <si>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</si>
  <si>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</si>
  <si>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</si>
  <si>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</si>
  <si>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</si>
  <si>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</si>
  <si>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</si>
  <si>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</si>
  <si>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</si>
  <si>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</si>
  <si>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</si>
  <si>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</si>
  <si>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</si>
  <si>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</si>
  <si>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</si>
  <si>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</si>
  <si>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</si>
  <si>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</si>
  <si>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</si>
  <si>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</si>
  <si>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</si>
  <si>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</si>
  <si>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</si>
  <si>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</si>
  <si>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</si>
  <si>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</si>
  <si>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</si>
  <si>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</si>
  <si>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</si>
  <si>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</si>
  <si>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</si>
  <si>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</si>
  <si>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</si>
  <si>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</si>
  <si>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</si>
  <si>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</si>
  <si>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</si>
  <si>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</si>
  <si>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</si>
  <si>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</si>
  <si>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</si>
  <si>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</si>
  <si>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</si>
  <si>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</si>
  <si>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</si>
  <si>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</si>
  <si>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</si>
  <si>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</si>
  <si>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</si>
  <si>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</si>
  <si>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</si>
  <si>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</si>
  <si>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</si>
  <si>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</si>
  <si>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</si>
  <si>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</si>
  <si>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</si>
  <si>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</si>
  <si>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</si>
  <si>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</si>
  <si>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</si>
  <si>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</si>
  <si>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</si>
  <si>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</si>
  <si>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</si>
  <si>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</si>
  <si>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</si>
  <si>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</si>
  <si>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</si>
  <si>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</si>
  <si>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</si>
  <si>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</si>
  <si>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</si>
  <si>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</si>
  <si>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</si>
  <si>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</si>
  <si>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</si>
  <si>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</si>
  <si>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</si>
  <si>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</si>
  <si>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</si>
  <si>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</si>
  <si>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</si>
  <si>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</si>
  <si>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</si>
  <si>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</si>
  <si>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</si>
  <si>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</si>
  <si>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</si>
  <si>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</si>
  <si>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</si>
  <si>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</si>
  <si>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</si>
  <si>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</si>
  <si>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</si>
  <si>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</si>
  <si>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</si>
  <si>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Grandview Community Building</t>
  </si>
  <si>
    <t>Co Treas Balance Jan 1</t>
  </si>
  <si>
    <t>Co Treas Balance Dec 31</t>
  </si>
  <si>
    <t>xxxxxxxxxxxxxxxxxxxxxxxxxxxxxxxxxxxxxxxxx</t>
  </si>
  <si>
    <t>Insurance Refund</t>
  </si>
  <si>
    <t>Building Rent</t>
  </si>
  <si>
    <t>Utilities</t>
  </si>
  <si>
    <t>William B Smithson</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</si>
  <si>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</si>
  <si>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</si>
  <si>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</si>
  <si>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</si>
  <si>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</si>
  <si>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</si>
  <si>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</si>
  <si>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</si>
  <si>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</si>
  <si>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</si>
  <si>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</si>
  <si>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</si>
  <si>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</si>
  <si>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</si>
  <si>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</si>
  <si>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</si>
  <si>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</si>
  <si>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</si>
  <si>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</si>
  <si>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</si>
  <si>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</si>
  <si>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</si>
  <si>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</si>
  <si>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</si>
  <si>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</si>
  <si>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</si>
  <si>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</si>
  <si>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</si>
  <si>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</si>
  <si>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</si>
  <si>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</si>
  <si>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</si>
  <si>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</si>
  <si>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</si>
  <si>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</si>
  <si>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</si>
  <si>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</si>
  <si>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</si>
  <si>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</si>
  <si>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</si>
  <si>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</si>
  <si>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</si>
  <si>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</si>
  <si>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</si>
  <si>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</si>
  <si>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</si>
  <si>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</si>
  <si>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</si>
  <si>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</si>
  <si>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</si>
  <si>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</si>
  <si>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</si>
  <si>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</si>
  <si>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</si>
  <si>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</si>
  <si>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</si>
  <si>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</si>
  <si>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</si>
  <si>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</si>
  <si>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</si>
  <si>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</si>
  <si>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</si>
  <si>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</si>
  <si>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</si>
  <si>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</si>
  <si>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</si>
  <si>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</si>
  <si>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</si>
  <si>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</si>
  <si>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</si>
  <si>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</si>
  <si>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</si>
  <si>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</si>
  <si>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</si>
  <si>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</si>
  <si>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</si>
  <si>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</si>
  <si>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</si>
  <si>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</si>
  <si>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</si>
  <si>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</si>
  <si>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</si>
  <si>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</si>
  <si>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</si>
  <si>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</si>
  <si>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</si>
  <si>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</si>
  <si>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</si>
  <si>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</si>
  <si>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</si>
  <si>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</si>
  <si>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</si>
  <si>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</si>
  <si>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</si>
  <si>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</si>
  <si>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</si>
  <si>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</si>
  <si>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</si>
  <si>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</si>
  <si>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</si>
  <si>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</si>
  <si>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</si>
  <si>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</si>
  <si>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</si>
  <si>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</si>
  <si>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</si>
  <si>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</si>
  <si>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</si>
  <si>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</si>
  <si>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</si>
  <si>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</si>
  <si>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</si>
  <si>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</si>
  <si>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</si>
  <si>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Morris County</t>
  </si>
  <si>
    <t>Morris County Clerk's Office</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</si>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</sst>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17</xdr:col>
      <xdr:colOff>676275</xdr:colOff>
      <xdr:row>104</xdr:row>
      <xdr:rowOff>123825</xdr:rowOff>
    </xdr:to>
    <xdr:pic>
      <xdr:nvPicPr>
        <xdr:cNvPr id="1" name="Picture 1"/>
        <xdr:cNvPicPr preferRelativeResize="1">
          <a:picLocks noChangeAspect="1"/>
        </xdr:cNvPicPr>
      </xdr:nvPicPr>
      <xdr:blipFill>
        <a:blip r:embed="rId1"/>
        <a:stretch>
          <a:fillRect/>
        </a:stretch>
      </xdr:blipFill>
      <xdr:spPr>
        <a:xfrm>
          <a:off x="83820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429</v>
      </c>
    </row>
    <row r="3" ht="34.5" customHeight="1">
      <c r="A3" s="361" t="s">
        <v>419</v>
      </c>
    </row>
    <row r="4" ht="15.75">
      <c r="A4" s="364"/>
    </row>
    <row r="5" ht="52.5" customHeight="1">
      <c r="A5" s="360" t="s">
        <v>560</v>
      </c>
    </row>
    <row r="6" ht="15.75">
      <c r="A6" s="360"/>
    </row>
    <row r="7" ht="34.5" customHeight="1">
      <c r="A7" s="360" t="s">
        <v>578</v>
      </c>
    </row>
    <row r="8" ht="15.75">
      <c r="A8" s="360"/>
    </row>
    <row r="9" ht="15.75">
      <c r="A9" s="360" t="s">
        <v>420</v>
      </c>
    </row>
    <row r="12" ht="15.75">
      <c r="A12" s="362" t="s">
        <v>467</v>
      </c>
    </row>
    <row r="13" ht="15.75">
      <c r="A13" s="362"/>
    </row>
    <row r="14" ht="18.75" customHeight="1">
      <c r="A14" s="364" t="s">
        <v>469</v>
      </c>
    </row>
    <row r="16" ht="39" customHeight="1">
      <c r="A16" s="365" t="s">
        <v>125</v>
      </c>
    </row>
    <row r="17" ht="9.75" customHeight="1">
      <c r="A17" s="365"/>
    </row>
    <row r="20" ht="15.75">
      <c r="A20" s="362" t="s">
        <v>421</v>
      </c>
    </row>
    <row r="22" ht="34.5" customHeight="1">
      <c r="A22" s="360" t="s">
        <v>470</v>
      </c>
    </row>
    <row r="23" ht="9.75" customHeight="1">
      <c r="A23" s="360"/>
    </row>
    <row r="24" ht="15.75">
      <c r="A24" s="366" t="s">
        <v>422</v>
      </c>
    </row>
    <row r="25" ht="15.75">
      <c r="A25" s="360"/>
    </row>
    <row r="26" ht="17.25" customHeight="1">
      <c r="A26" s="367" t="s">
        <v>423</v>
      </c>
    </row>
    <row r="27" ht="17.25" customHeight="1">
      <c r="A27" s="368"/>
    </row>
    <row r="28" ht="87.75" customHeight="1">
      <c r="A28" s="369" t="s">
        <v>445</v>
      </c>
    </row>
    <row r="30" ht="15.75">
      <c r="A30" s="370" t="s">
        <v>424</v>
      </c>
    </row>
    <row r="32" ht="15.75">
      <c r="A32" s="132" t="s">
        <v>468</v>
      </c>
    </row>
    <row r="34" ht="15.75">
      <c r="A34" s="360" t="s">
        <v>425</v>
      </c>
    </row>
    <row r="37" ht="15.75">
      <c r="A37" s="362" t="s">
        <v>426</v>
      </c>
    </row>
    <row r="39" ht="68.25" customHeight="1">
      <c r="A39" s="360" t="s">
        <v>143</v>
      </c>
    </row>
    <row r="40" ht="57.75" customHeight="1">
      <c r="A40" s="371" t="s">
        <v>427</v>
      </c>
    </row>
    <row r="41" ht="10.5" customHeight="1">
      <c r="A41" s="360"/>
    </row>
    <row r="42" ht="65.25" customHeight="1">
      <c r="A42" s="360" t="s">
        <v>144</v>
      </c>
    </row>
    <row r="43" ht="59.25" customHeight="1">
      <c r="A43" s="360" t="s">
        <v>428</v>
      </c>
    </row>
    <row r="44" ht="84.75" customHeight="1">
      <c r="A44" s="360" t="s">
        <v>18</v>
      </c>
    </row>
    <row r="45" ht="12" customHeight="1">
      <c r="A45" s="360"/>
    </row>
    <row r="46" ht="67.5" customHeight="1">
      <c r="A46" s="399" t="s">
        <v>794</v>
      </c>
    </row>
    <row r="47" ht="69.75" customHeight="1">
      <c r="A47" s="395" t="s">
        <v>795</v>
      </c>
    </row>
    <row r="48" ht="12" customHeight="1">
      <c r="A48" s="360"/>
    </row>
    <row r="49" ht="68.25" customHeight="1">
      <c r="A49" s="360" t="s">
        <v>796</v>
      </c>
    </row>
    <row r="50" ht="74.25" customHeight="1">
      <c r="A50" s="360" t="s">
        <v>797</v>
      </c>
    </row>
    <row r="51" ht="50.25" customHeight="1">
      <c r="A51" s="360" t="s">
        <v>798</v>
      </c>
    </row>
    <row r="52" ht="15.75" customHeight="1"/>
    <row r="53" ht="80.25" customHeight="1">
      <c r="A53" s="360" t="s">
        <v>799</v>
      </c>
    </row>
    <row r="54" ht="40.5" customHeight="1">
      <c r="A54" s="360" t="s">
        <v>800</v>
      </c>
    </row>
    <row r="55" ht="45" customHeight="1">
      <c r="A55" s="360" t="s">
        <v>801</v>
      </c>
    </row>
    <row r="56" ht="15.75">
      <c r="A56" s="360"/>
    </row>
    <row r="57" ht="68.25" customHeight="1">
      <c r="A57" s="360" t="s">
        <v>802</v>
      </c>
    </row>
    <row r="58" ht="15.75">
      <c r="A58" s="360"/>
    </row>
    <row r="59" ht="40.5" customHeight="1">
      <c r="A59" s="360" t="s">
        <v>803</v>
      </c>
    </row>
    <row r="60" ht="34.5" customHeight="1">
      <c r="A60" s="360" t="s">
        <v>818</v>
      </c>
    </row>
    <row r="61" ht="77.25" customHeight="1">
      <c r="A61" s="360" t="s">
        <v>819</v>
      </c>
    </row>
    <row r="62" ht="41.25" customHeight="1">
      <c r="A62" s="360" t="s">
        <v>816</v>
      </c>
    </row>
    <row r="63" ht="41.25" customHeight="1">
      <c r="A63" s="360" t="s">
        <v>817</v>
      </c>
    </row>
    <row r="64" ht="9" customHeight="1">
      <c r="A64" s="360"/>
    </row>
    <row r="65" ht="58.5" customHeight="1">
      <c r="A65" s="360" t="s">
        <v>804</v>
      </c>
    </row>
    <row r="66" ht="9.75" customHeight="1"/>
    <row r="67" s="360" customFormat="1" ht="69" customHeight="1">
      <c r="A67" s="360" t="s">
        <v>805</v>
      </c>
    </row>
    <row r="68" ht="6.75" customHeight="1"/>
    <row r="69" ht="70.5" customHeight="1">
      <c r="A69" s="360" t="s">
        <v>145</v>
      </c>
    </row>
    <row r="70" ht="63" customHeight="1">
      <c r="A70" s="604" t="s">
        <v>146</v>
      </c>
    </row>
    <row r="71" ht="57" customHeight="1">
      <c r="A71" s="604" t="s">
        <v>147</v>
      </c>
    </row>
    <row r="72" ht="60" customHeight="1">
      <c r="A72" s="360" t="s">
        <v>148</v>
      </c>
    </row>
    <row r="73" ht="117.75" customHeight="1">
      <c r="A73" s="360" t="s">
        <v>149</v>
      </c>
    </row>
    <row r="74" ht="59.25" customHeight="1">
      <c r="A74" s="360" t="s">
        <v>150</v>
      </c>
    </row>
    <row r="75" ht="59.25" customHeight="1">
      <c r="A75" s="604" t="s">
        <v>151</v>
      </c>
    </row>
    <row r="76" ht="84.75" customHeight="1">
      <c r="A76" s="360" t="s">
        <v>152</v>
      </c>
    </row>
    <row r="77" ht="102.75" customHeight="1">
      <c r="A77" s="360" t="s">
        <v>586</v>
      </c>
    </row>
    <row r="78" ht="102.75" customHeight="1">
      <c r="A78" s="372" t="s">
        <v>587</v>
      </c>
    </row>
    <row r="79" ht="54" customHeight="1">
      <c r="A79" s="363" t="s">
        <v>588</v>
      </c>
    </row>
    <row r="80" ht="115.5" customHeight="1">
      <c r="A80" s="360" t="s">
        <v>589</v>
      </c>
    </row>
    <row r="81" ht="78" customHeight="1">
      <c r="A81" s="372" t="s">
        <v>590</v>
      </c>
    </row>
    <row r="82" ht="124.5" customHeight="1">
      <c r="A82" s="372" t="s">
        <v>591</v>
      </c>
    </row>
    <row r="83" ht="138" customHeight="1">
      <c r="A83" s="360" t="s">
        <v>228</v>
      </c>
    </row>
    <row r="84" ht="147" customHeight="1">
      <c r="A84" s="360" t="s">
        <v>229</v>
      </c>
    </row>
    <row r="85" ht="101.25" customHeight="1">
      <c r="A85" s="360" t="s">
        <v>230</v>
      </c>
    </row>
    <row r="87" ht="102.75" customHeight="1">
      <c r="A87" s="360" t="s">
        <v>806</v>
      </c>
    </row>
    <row r="88" ht="89.25" customHeight="1">
      <c r="A88" s="372" t="s">
        <v>807</v>
      </c>
    </row>
    <row r="89" ht="57" customHeight="1">
      <c r="A89" s="372" t="s">
        <v>808</v>
      </c>
    </row>
    <row r="90" ht="20.25" customHeight="1">
      <c r="A90" s="360" t="s">
        <v>809</v>
      </c>
    </row>
    <row r="92" ht="53.25" customHeight="1">
      <c r="A92" s="360" t="s">
        <v>810</v>
      </c>
    </row>
    <row r="93" ht="21" customHeight="1">
      <c r="A93" s="360" t="s">
        <v>812</v>
      </c>
    </row>
    <row r="94" ht="72.75" customHeight="1">
      <c r="A94" s="604" t="s">
        <v>231</v>
      </c>
    </row>
    <row r="95" ht="75" customHeight="1">
      <c r="A95" s="604" t="s">
        <v>232</v>
      </c>
    </row>
    <row r="96" ht="33.75" customHeight="1">
      <c r="A96" s="360" t="s">
        <v>233</v>
      </c>
    </row>
    <row r="97" ht="51.75" customHeight="1">
      <c r="A97" s="360" t="s">
        <v>234</v>
      </c>
    </row>
    <row r="98" ht="14.25" customHeight="1"/>
    <row r="99" ht="69.75" customHeight="1">
      <c r="A99" s="360" t="s">
        <v>811</v>
      </c>
    </row>
    <row r="101" ht="54" customHeight="1">
      <c r="A101" s="604" t="s">
        <v>674</v>
      </c>
    </row>
    <row r="102" ht="85.5" customHeight="1">
      <c r="A102" s="604" t="s">
        <v>675</v>
      </c>
    </row>
    <row r="103" ht="99" customHeight="1">
      <c r="A103" s="604" t="s">
        <v>676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SEVEN TOWNSHIP</v>
      </c>
      <c r="B1" s="179"/>
      <c r="C1" s="179"/>
      <c r="D1" s="179"/>
      <c r="E1" s="179"/>
      <c r="F1" s="179"/>
      <c r="G1" s="179"/>
      <c r="H1" s="179"/>
      <c r="I1" s="14"/>
      <c r="J1" s="14"/>
      <c r="K1" s="15">
        <f>inputPrYr!D5</f>
        <v>2012</v>
      </c>
    </row>
    <row r="2" spans="1:11" ht="15.75">
      <c r="A2" s="178" t="str">
        <f>inputPrYr!$D$3</f>
        <v>Morris County</v>
      </c>
      <c r="B2" s="179"/>
      <c r="C2" s="179"/>
      <c r="D2" s="179"/>
      <c r="E2" s="179"/>
      <c r="F2" s="179"/>
      <c r="G2" s="179"/>
      <c r="H2" s="179"/>
      <c r="I2" s="14"/>
      <c r="J2" s="14"/>
      <c r="K2" s="52"/>
    </row>
    <row r="3" spans="1:11" ht="15.75">
      <c r="A3" s="181" t="s">
        <v>311</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289</v>
      </c>
      <c r="C5" s="183" t="s">
        <v>297</v>
      </c>
      <c r="D5" s="183"/>
      <c r="E5" s="183" t="s">
        <v>239</v>
      </c>
      <c r="F5" s="184"/>
      <c r="G5" s="185"/>
      <c r="H5" s="184" t="s">
        <v>290</v>
      </c>
      <c r="I5" s="185"/>
      <c r="J5" s="184" t="s">
        <v>290</v>
      </c>
      <c r="K5" s="185"/>
    </row>
    <row r="6" spans="1:11" ht="15.75">
      <c r="A6" s="14"/>
      <c r="B6" s="186" t="s">
        <v>291</v>
      </c>
      <c r="C6" s="186" t="s">
        <v>238</v>
      </c>
      <c r="D6" s="186" t="s">
        <v>239</v>
      </c>
      <c r="E6" s="186" t="s">
        <v>360</v>
      </c>
      <c r="F6" s="187" t="s">
        <v>292</v>
      </c>
      <c r="G6" s="188"/>
      <c r="H6" s="187">
        <f>K1-1</f>
        <v>2011</v>
      </c>
      <c r="I6" s="188"/>
      <c r="J6" s="187">
        <f>K1</f>
        <v>2012</v>
      </c>
      <c r="K6" s="188"/>
    </row>
    <row r="7" spans="1:11" ht="15.75">
      <c r="A7" s="189" t="s">
        <v>293</v>
      </c>
      <c r="B7" s="190" t="s">
        <v>294</v>
      </c>
      <c r="C7" s="190" t="s">
        <v>263</v>
      </c>
      <c r="D7" s="190" t="s">
        <v>295</v>
      </c>
      <c r="E7" s="191" t="str">
        <f>CONCATENATE("Jan 1,",K1-1,"")</f>
        <v>Jan 1,2011</v>
      </c>
      <c r="F7" s="192" t="s">
        <v>297</v>
      </c>
      <c r="G7" s="192" t="s">
        <v>298</v>
      </c>
      <c r="H7" s="192" t="s">
        <v>297</v>
      </c>
      <c r="I7" s="192" t="s">
        <v>298</v>
      </c>
      <c r="J7" s="192" t="s">
        <v>297</v>
      </c>
      <c r="K7" s="192" t="s">
        <v>298</v>
      </c>
    </row>
    <row r="8" spans="1:11" ht="15.75">
      <c r="A8" s="193" t="s">
        <v>285</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393</v>
      </c>
      <c r="B11" s="202"/>
      <c r="C11" s="203"/>
      <c r="D11" s="32"/>
      <c r="E11" s="169">
        <f>SUM(E9:E10)</f>
        <v>0</v>
      </c>
      <c r="F11" s="204"/>
      <c r="G11" s="204"/>
      <c r="H11" s="169">
        <f>SUM(H9:H10)</f>
        <v>0</v>
      </c>
      <c r="I11" s="169">
        <f>SUM(I9:I10)</f>
        <v>0</v>
      </c>
      <c r="J11" s="169">
        <f>SUM(J9:J10)</f>
        <v>0</v>
      </c>
      <c r="K11" s="169">
        <f>SUM(K9:K10)</f>
        <v>0</v>
      </c>
    </row>
    <row r="12" spans="1:11" ht="15.75">
      <c r="A12" s="84" t="s">
        <v>255</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394</v>
      </c>
      <c r="B15" s="202"/>
      <c r="C15" s="203"/>
      <c r="D15" s="32"/>
      <c r="E15" s="169">
        <f>SUM(E13:E14)</f>
        <v>0</v>
      </c>
      <c r="F15" s="204"/>
      <c r="G15" s="204"/>
      <c r="H15" s="169">
        <f>SUM(H13:H14)</f>
        <v>0</v>
      </c>
      <c r="I15" s="169">
        <f>SUM(I13:I14)</f>
        <v>0</v>
      </c>
      <c r="J15" s="169">
        <f>SUM(J13:J14)</f>
        <v>0</v>
      </c>
      <c r="K15" s="169">
        <f>SUM(K13:K14)</f>
        <v>0</v>
      </c>
    </row>
    <row r="16" spans="1:11" ht="15.75">
      <c r="A16" s="205" t="s">
        <v>313</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310</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296</v>
      </c>
      <c r="D20" s="166"/>
      <c r="E20" s="183" t="s">
        <v>32</v>
      </c>
      <c r="F20" s="166"/>
      <c r="G20" s="166"/>
      <c r="H20" s="166"/>
      <c r="I20" s="216"/>
      <c r="J20" s="217"/>
      <c r="K20" s="212"/>
    </row>
    <row r="21" spans="1:11" s="213" customFormat="1" ht="15.75">
      <c r="A21" s="218"/>
      <c r="B21" s="186"/>
      <c r="C21" s="186" t="s">
        <v>291</v>
      </c>
      <c r="D21" s="186" t="s">
        <v>297</v>
      </c>
      <c r="E21" s="186" t="s">
        <v>239</v>
      </c>
      <c r="F21" s="186" t="s">
        <v>298</v>
      </c>
      <c r="G21" s="186" t="s">
        <v>299</v>
      </c>
      <c r="H21" s="186" t="s">
        <v>299</v>
      </c>
      <c r="I21" s="212"/>
      <c r="J21" s="212"/>
      <c r="K21" s="212"/>
    </row>
    <row r="22" spans="1:11" s="213" customFormat="1" ht="15.75">
      <c r="A22" s="218"/>
      <c r="B22" s="186" t="s">
        <v>300</v>
      </c>
      <c r="C22" s="186" t="s">
        <v>301</v>
      </c>
      <c r="D22" s="186" t="s">
        <v>238</v>
      </c>
      <c r="E22" s="186" t="s">
        <v>302</v>
      </c>
      <c r="F22" s="186" t="s">
        <v>344</v>
      </c>
      <c r="G22" s="186" t="s">
        <v>303</v>
      </c>
      <c r="H22" s="186" t="s">
        <v>303</v>
      </c>
      <c r="I22" s="212"/>
      <c r="J22" s="212"/>
      <c r="K22" s="212"/>
    </row>
    <row r="23" spans="1:11" s="213" customFormat="1" ht="15.75">
      <c r="A23" s="219" t="s">
        <v>304</v>
      </c>
      <c r="B23" s="190" t="s">
        <v>289</v>
      </c>
      <c r="C23" s="220" t="s">
        <v>305</v>
      </c>
      <c r="D23" s="190" t="s">
        <v>263</v>
      </c>
      <c r="E23" s="220" t="s">
        <v>361</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313</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7">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SEVEN TOWNSHIP</v>
      </c>
      <c r="C1" s="14"/>
      <c r="D1" s="14"/>
      <c r="E1" s="15">
        <f>inputPrYr!D5</f>
        <v>2012</v>
      </c>
    </row>
    <row r="2" spans="2:5" ht="15.75">
      <c r="B2" s="17"/>
      <c r="C2" s="14"/>
      <c r="D2" s="14"/>
      <c r="E2" s="18"/>
    </row>
    <row r="3" spans="2:5" ht="15.75">
      <c r="B3" s="603" t="s">
        <v>533</v>
      </c>
      <c r="C3" s="20"/>
      <c r="D3" s="20"/>
      <c r="E3" s="21"/>
    </row>
    <row r="4" spans="2:5" ht="15.75">
      <c r="B4" s="22" t="s">
        <v>245</v>
      </c>
      <c r="C4" s="416" t="s">
        <v>246</v>
      </c>
      <c r="D4" s="419" t="s">
        <v>247</v>
      </c>
      <c r="E4" s="23" t="s">
        <v>248</v>
      </c>
    </row>
    <row r="5" spans="2:5" ht="15.75">
      <c r="B5" s="437" t="str">
        <f>inputPrYr!B16</f>
        <v>General</v>
      </c>
      <c r="C5" s="417" t="str">
        <f>CONCATENATE("Actual ",$E$1-2,"")</f>
        <v>Actual 2010</v>
      </c>
      <c r="D5" s="417" t="str">
        <f>CONCATENATE("Estimate ",$E$1-1,"")</f>
        <v>Estimate 2011</v>
      </c>
      <c r="E5" s="26" t="str">
        <f>CONCATENATE("Year ",$E$1,"")</f>
        <v>Year 2012</v>
      </c>
    </row>
    <row r="6" spans="2:5" ht="15.75">
      <c r="B6" s="27" t="s">
        <v>356</v>
      </c>
      <c r="C6" s="29">
        <v>26201</v>
      </c>
      <c r="D6" s="418">
        <f>C51</f>
        <v>29503</v>
      </c>
      <c r="E6" s="32">
        <f>D51</f>
        <v>30647</v>
      </c>
    </row>
    <row r="7" spans="2:5" ht="15.75">
      <c r="B7" s="27" t="s">
        <v>358</v>
      </c>
      <c r="C7" s="418"/>
      <c r="D7" s="418"/>
      <c r="E7" s="33"/>
    </row>
    <row r="8" spans="2:5" ht="15.75">
      <c r="B8" s="27" t="s">
        <v>251</v>
      </c>
      <c r="C8" s="29">
        <v>5380</v>
      </c>
      <c r="D8" s="418">
        <f>inputPrYr!E16</f>
        <v>5243</v>
      </c>
      <c r="E8" s="33" t="s">
        <v>46</v>
      </c>
    </row>
    <row r="9" spans="2:5" ht="15.75">
      <c r="B9" s="27" t="s">
        <v>252</v>
      </c>
      <c r="C9" s="29">
        <v>115</v>
      </c>
      <c r="D9" s="29">
        <v>203</v>
      </c>
      <c r="E9" s="34"/>
    </row>
    <row r="10" spans="2:5" ht="15.75">
      <c r="B10" s="27" t="s">
        <v>253</v>
      </c>
      <c r="C10" s="29">
        <v>774</v>
      </c>
      <c r="D10" s="29">
        <v>554</v>
      </c>
      <c r="E10" s="32">
        <f>mvalloc!G11</f>
        <v>461</v>
      </c>
    </row>
    <row r="11" spans="2:5" ht="15.75">
      <c r="B11" s="27" t="s">
        <v>254</v>
      </c>
      <c r="C11" s="29">
        <v>52</v>
      </c>
      <c r="D11" s="29">
        <v>23</v>
      </c>
      <c r="E11" s="32">
        <f>mvalloc!I11</f>
        <v>29</v>
      </c>
    </row>
    <row r="12" spans="2:5" ht="15.75">
      <c r="B12" s="35" t="s">
        <v>306</v>
      </c>
      <c r="C12" s="29">
        <v>54</v>
      </c>
      <c r="D12" s="29">
        <v>47</v>
      </c>
      <c r="E12" s="32">
        <f>mvalloc!J11</f>
        <v>25</v>
      </c>
    </row>
    <row r="13" spans="2:5" ht="15.75">
      <c r="B13" s="35" t="s">
        <v>400</v>
      </c>
      <c r="C13" s="29"/>
      <c r="D13" s="29"/>
      <c r="E13" s="32">
        <f>inputOth!E34</f>
        <v>0</v>
      </c>
    </row>
    <row r="14" spans="2:5" ht="15.75">
      <c r="B14" s="35" t="s">
        <v>593</v>
      </c>
      <c r="C14" s="29">
        <v>74</v>
      </c>
      <c r="D14" s="29">
        <v>74</v>
      </c>
      <c r="E14" s="32">
        <f>mvalloc!K11</f>
        <v>0</v>
      </c>
    </row>
    <row r="15" spans="2:5" ht="15.75">
      <c r="B15" s="35" t="s">
        <v>594</v>
      </c>
      <c r="C15" s="29">
        <v>0</v>
      </c>
      <c r="D15" s="29" t="s">
        <v>595</v>
      </c>
      <c r="E15" s="36"/>
    </row>
    <row r="16" spans="2:5" ht="15.75">
      <c r="B16" s="27"/>
      <c r="C16" s="29"/>
      <c r="D16" s="29"/>
      <c r="E16" s="32">
        <f>inputOth!E12</f>
        <v>0</v>
      </c>
    </row>
    <row r="17" spans="2:5" ht="15.75">
      <c r="B17" s="37" t="s">
        <v>596</v>
      </c>
      <c r="C17" s="29">
        <v>442</v>
      </c>
      <c r="D17" s="29"/>
      <c r="E17" s="34"/>
    </row>
    <row r="18" spans="2:5" ht="15.75">
      <c r="B18" s="37" t="s">
        <v>597</v>
      </c>
      <c r="C18" s="29">
        <v>325</v>
      </c>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256</v>
      </c>
      <c r="C23" s="29"/>
      <c r="D23" s="29"/>
      <c r="E23" s="34"/>
    </row>
    <row r="24" spans="2:5" ht="15.75">
      <c r="B24" s="39" t="s">
        <v>458</v>
      </c>
      <c r="C24" s="29"/>
      <c r="D24" s="29"/>
      <c r="E24" s="34"/>
    </row>
    <row r="25" spans="2:5" ht="15.75">
      <c r="B25" s="39" t="s">
        <v>459</v>
      </c>
      <c r="C25" s="415">
        <f>IF(C26*0.1&lt;C24,"Exceed 10% Rule","")</f>
      </c>
      <c r="D25" s="415">
        <f>IF(D26*0.1&lt;D24,"Exceed 10% Rule","")</f>
      </c>
      <c r="E25" s="45">
        <f>IF(E26*0.1+E57&lt;E24,"Exceed 10% Rule","")</f>
      </c>
    </row>
    <row r="26" spans="2:5" ht="15.75">
      <c r="B26" s="41" t="s">
        <v>257</v>
      </c>
      <c r="C26" s="420">
        <f>SUM(C8:C24)</f>
        <v>7216</v>
      </c>
      <c r="D26" s="420">
        <f>SUM(D8:D24)</f>
        <v>6144</v>
      </c>
      <c r="E26" s="42">
        <f>SUM(E8:E24)</f>
        <v>515</v>
      </c>
    </row>
    <row r="27" spans="2:5" ht="15.75">
      <c r="B27" s="43" t="s">
        <v>258</v>
      </c>
      <c r="C27" s="420">
        <f>C26+C6</f>
        <v>33417</v>
      </c>
      <c r="D27" s="420">
        <f>D26+D6</f>
        <v>35647</v>
      </c>
      <c r="E27" s="42">
        <f>E26+E6</f>
        <v>31162</v>
      </c>
    </row>
    <row r="28" spans="2:5" ht="15.75">
      <c r="B28" s="27" t="s">
        <v>259</v>
      </c>
      <c r="C28" s="418"/>
      <c r="D28" s="418"/>
      <c r="E28" s="32"/>
    </row>
    <row r="29" spans="2:5" ht="15.75">
      <c r="B29" s="37"/>
      <c r="C29" s="29"/>
      <c r="D29" s="29"/>
      <c r="E29" s="34"/>
    </row>
    <row r="30" spans="2:5" ht="15.75">
      <c r="B30" s="38" t="s">
        <v>339</v>
      </c>
      <c r="C30" s="29">
        <v>300</v>
      </c>
      <c r="D30" s="29">
        <v>300</v>
      </c>
      <c r="E30" s="34">
        <v>300</v>
      </c>
    </row>
    <row r="31" spans="2:5" ht="15.75">
      <c r="B31" s="38" t="s">
        <v>366</v>
      </c>
      <c r="C31" s="29">
        <v>836</v>
      </c>
      <c r="D31" s="29">
        <v>1000</v>
      </c>
      <c r="E31" s="34">
        <v>1500</v>
      </c>
    </row>
    <row r="32" spans="2:5" ht="15.75">
      <c r="B32" s="38" t="s">
        <v>598</v>
      </c>
      <c r="C32" s="29">
        <v>954</v>
      </c>
      <c r="D32" s="29">
        <v>1200</v>
      </c>
      <c r="E32" s="34">
        <v>1500</v>
      </c>
    </row>
    <row r="33" spans="2:5" ht="15.75">
      <c r="B33" s="38" t="s">
        <v>270</v>
      </c>
      <c r="C33" s="29">
        <v>231</v>
      </c>
      <c r="D33" s="29">
        <v>500</v>
      </c>
      <c r="E33" s="34">
        <v>1000</v>
      </c>
    </row>
    <row r="34" spans="2:5" ht="15.75">
      <c r="B34" s="37" t="s">
        <v>364</v>
      </c>
      <c r="C34" s="29">
        <v>1593</v>
      </c>
      <c r="D34" s="29">
        <v>2000</v>
      </c>
      <c r="E34" s="34">
        <v>32000</v>
      </c>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24</v>
      </c>
      <c r="C43" s="29"/>
      <c r="D43" s="29"/>
      <c r="E43" s="34"/>
    </row>
    <row r="44" spans="2:5" ht="15.75">
      <c r="B44" s="35" t="s">
        <v>21</v>
      </c>
      <c r="C44" s="414">
        <f>IF(AND($C$43&gt;0,$C$8&gt;0),"Not Authorized","")</f>
      </c>
      <c r="D44" s="414">
        <f>IF(AND($D$43&gt;0,$D$8&gt;0),"Not Authorized","")</f>
      </c>
      <c r="E44" s="44">
        <f>IF(AND(cert!F20&gt;0,$E$43&gt;0),"Not Authorized","")</f>
      </c>
    </row>
    <row r="45" spans="2:5" ht="15.75">
      <c r="B45" s="27" t="s">
        <v>25</v>
      </c>
      <c r="C45" s="29"/>
      <c r="D45" s="29"/>
      <c r="E45" s="34"/>
    </row>
    <row r="46" spans="2:6" ht="15.75">
      <c r="B46" s="27" t="s">
        <v>709</v>
      </c>
      <c r="C46" s="415">
        <f>IF(C27*0.25&lt;C45,"Exceeds 25%","")</f>
      </c>
      <c r="D46" s="415">
        <f>IF(D27*0.25&lt;D45,"Exceeds 25%","")</f>
      </c>
      <c r="E46" s="45">
        <f>IF(E27*0.25+E57&lt;E45,"Exceeds 25%","")</f>
      </c>
      <c r="F46" s="16">
        <f>IF(G28*0.25&lt;G46,"Exceeds 25%","")</f>
      </c>
    </row>
    <row r="47" spans="2:5" ht="15.75">
      <c r="B47" s="35" t="s">
        <v>460</v>
      </c>
      <c r="C47" s="29"/>
      <c r="D47" s="29"/>
      <c r="E47" s="46">
        <f>nhood!E6</f>
      </c>
    </row>
    <row r="48" spans="2:5" ht="15.75">
      <c r="B48" s="35" t="s">
        <v>458</v>
      </c>
      <c r="C48" s="29"/>
      <c r="D48" s="29"/>
      <c r="E48" s="34"/>
    </row>
    <row r="49" spans="2:10" ht="15.75">
      <c r="B49" s="35" t="s">
        <v>57</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260</v>
      </c>
      <c r="C50" s="412">
        <f>SUM(C29:C48)</f>
        <v>3914</v>
      </c>
      <c r="D50" s="412">
        <f>SUM(D29:D48)</f>
        <v>5000</v>
      </c>
      <c r="E50" s="47">
        <f>SUM(E29:E43,E45,E47:E48)</f>
        <v>36300</v>
      </c>
      <c r="G50" s="534"/>
      <c r="H50" s="535"/>
      <c r="I50" s="535"/>
      <c r="J50" s="536"/>
    </row>
    <row r="51" spans="2:10" ht="15.75">
      <c r="B51" s="27" t="s">
        <v>357</v>
      </c>
      <c r="C51" s="413">
        <f>C27-C50</f>
        <v>29503</v>
      </c>
      <c r="D51" s="413">
        <f>SUM(D27-D50)</f>
        <v>30647</v>
      </c>
      <c r="E51" s="33" t="s">
        <v>46</v>
      </c>
      <c r="G51" s="537">
        <f>D51</f>
        <v>30647</v>
      </c>
      <c r="H51" s="538" t="str">
        <f>CONCATENATE("",E1-1," Ending Cash Balance (est.)")</f>
        <v>2011 Ending Cash Balance (est.)</v>
      </c>
      <c r="I51" s="539"/>
      <c r="J51" s="536"/>
    </row>
    <row r="52" spans="2:10" ht="15.75">
      <c r="B52" s="48" t="str">
        <f>CONCATENATE("",E1-2,"/",E1-1," Budget Authority Amount:")</f>
        <v>2010/2011 Budget Authority Amount:</v>
      </c>
      <c r="C52" s="143">
        <f>inputOth!B46</f>
        <v>26000</v>
      </c>
      <c r="D52" s="172">
        <f>inputPrYr!D16</f>
        <v>25300</v>
      </c>
      <c r="E52" s="33" t="s">
        <v>46</v>
      </c>
      <c r="F52" s="50"/>
      <c r="G52" s="537">
        <f>E26</f>
        <v>515</v>
      </c>
      <c r="H52" s="540" t="str">
        <f>CONCATENATE("",E1," Non-AV Receipts (est.)")</f>
        <v>2012 Non-AV Receipts (est.)</v>
      </c>
      <c r="I52" s="540"/>
      <c r="J52" s="536"/>
    </row>
    <row r="53" spans="2:10" ht="15.75">
      <c r="B53" s="48"/>
      <c r="C53" s="655" t="s">
        <v>58</v>
      </c>
      <c r="D53" s="656"/>
      <c r="E53" s="34"/>
      <c r="F53" s="533">
        <f>IF(E50/0.95-E50&lt;E53,"Exceeds 5%","")</f>
      </c>
      <c r="G53" s="541">
        <f>E57</f>
        <v>5138</v>
      </c>
      <c r="H53" s="540" t="str">
        <f>CONCATENATE("",E1," Ad Valorem Tax (est.)")</f>
        <v>2012 Ad Valorem Tax (est.)</v>
      </c>
      <c r="I53" s="540"/>
      <c r="J53" s="536"/>
    </row>
    <row r="54" spans="2:10" ht="15.75">
      <c r="B54" s="436" t="str">
        <f>CONCATENATE(C72,"     ",D72)</f>
        <v>     </v>
      </c>
      <c r="C54" s="657" t="s">
        <v>59</v>
      </c>
      <c r="D54" s="658"/>
      <c r="E54" s="32">
        <f>E50+E53</f>
        <v>36300</v>
      </c>
      <c r="G54" s="537">
        <f>SUM(G51:G53)</f>
        <v>36300</v>
      </c>
      <c r="H54" s="540" t="str">
        <f>CONCATENATE("Total ",E1," Resources Available")</f>
        <v>Total 2012 Resources Available</v>
      </c>
      <c r="I54" s="539"/>
      <c r="J54" s="536"/>
    </row>
    <row r="55" spans="2:10" ht="15.75">
      <c r="B55" s="436" t="str">
        <f>CONCATENATE(C73,"     ",D73)</f>
        <v>     </v>
      </c>
      <c r="C55" s="60"/>
      <c r="D55" s="52" t="s">
        <v>262</v>
      </c>
      <c r="E55" s="46">
        <f>IF(E54-E27&gt;0,E54-E27,0)</f>
        <v>5138</v>
      </c>
      <c r="G55" s="542"/>
      <c r="H55" s="540"/>
      <c r="I55" s="540"/>
      <c r="J55" s="536"/>
    </row>
    <row r="56" spans="2:10" ht="15.75">
      <c r="B56" s="52"/>
      <c r="C56" s="440" t="s">
        <v>60</v>
      </c>
      <c r="D56" s="432">
        <f>inputOth!$E$40</f>
        <v>0</v>
      </c>
      <c r="E56" s="32">
        <f>ROUND(IF(D56&gt;0,(E55*D56),0),0)</f>
        <v>0</v>
      </c>
      <c r="G56" s="541">
        <f>C50*0.05+C50</f>
        <v>4109.7</v>
      </c>
      <c r="H56" s="540" t="str">
        <f>CONCATENATE("Less ",E1-2," Expenditures + 5%")</f>
        <v>Less 2010 Expenditures + 5%</v>
      </c>
      <c r="I56" s="539"/>
      <c r="J56" s="536"/>
    </row>
    <row r="57" spans="2:10" ht="15.75">
      <c r="B57" s="14"/>
      <c r="C57" s="612" t="str">
        <f>CONCATENATE("Amount of  ",$E$1-1," Ad Valorem Tax")</f>
        <v>Amount of  2011 Ad Valorem Tax</v>
      </c>
      <c r="D57" s="613"/>
      <c r="E57" s="46">
        <f>E55+E56</f>
        <v>5138</v>
      </c>
      <c r="G57" s="543">
        <f>G54-G56</f>
        <v>32190.3</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1.432</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244</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527</v>
      </c>
      <c r="H63" s="540"/>
      <c r="I63" s="540"/>
      <c r="J63" s="554">
        <v>0</v>
      </c>
    </row>
    <row r="64" spans="7:10" ht="15.75">
      <c r="G64" s="551" t="s">
        <v>528</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SEVEN TOWNSHIP</v>
      </c>
      <c r="C1" s="14"/>
      <c r="D1" s="14"/>
      <c r="E1" s="61">
        <f>inputPrYr!$D$5</f>
        <v>2012</v>
      </c>
    </row>
    <row r="2" spans="2:5" ht="15.75">
      <c r="B2" s="14"/>
      <c r="C2" s="14"/>
      <c r="D2" s="14"/>
      <c r="E2" s="52"/>
    </row>
    <row r="3" spans="2:5" ht="15.75">
      <c r="B3" s="17"/>
      <c r="C3" s="62"/>
      <c r="D3" s="62"/>
      <c r="E3" s="63"/>
    </row>
    <row r="4" spans="2:5" ht="15.75">
      <c r="B4" s="603" t="s">
        <v>533</v>
      </c>
      <c r="C4" s="64"/>
      <c r="D4" s="64"/>
      <c r="E4" s="64"/>
    </row>
    <row r="5" spans="2:5" ht="15.75">
      <c r="B5" s="22" t="s">
        <v>245</v>
      </c>
      <c r="C5" s="416" t="s">
        <v>246</v>
      </c>
      <c r="D5" s="419" t="s">
        <v>247</v>
      </c>
      <c r="E5" s="23" t="s">
        <v>248</v>
      </c>
    </row>
    <row r="6" spans="2:5" ht="15.75">
      <c r="B6" s="24" t="s">
        <v>535</v>
      </c>
      <c r="C6" s="417" t="str">
        <f>CONCATENATE("Actual ",$E$1-2,"")</f>
        <v>Actual 2010</v>
      </c>
      <c r="D6" s="417" t="str">
        <f>CONCATENATE("Estimate ",$E$1-1,"")</f>
        <v>Estimate 2011</v>
      </c>
      <c r="E6" s="26" t="str">
        <f>CONCATENATE("Year ",$E$1,"")</f>
        <v>Year 2012</v>
      </c>
    </row>
    <row r="7" spans="2:5" ht="15.75">
      <c r="B7" s="27" t="s">
        <v>382</v>
      </c>
      <c r="C7" s="423"/>
      <c r="D7" s="421">
        <f>C54</f>
        <v>0</v>
      </c>
      <c r="E7" s="65">
        <f>D54</f>
        <v>0</v>
      </c>
    </row>
    <row r="8" spans="2:5" ht="15.75">
      <c r="B8" s="27" t="s">
        <v>358</v>
      </c>
      <c r="C8" s="422"/>
      <c r="D8" s="421"/>
      <c r="E8" s="65"/>
    </row>
    <row r="9" spans="2:5" ht="15.75">
      <c r="B9" s="27" t="s">
        <v>251</v>
      </c>
      <c r="C9" s="29"/>
      <c r="D9" s="422">
        <f>inputPrYr!E17</f>
        <v>0</v>
      </c>
      <c r="E9" s="33" t="s">
        <v>46</v>
      </c>
    </row>
    <row r="10" spans="2:5" ht="15.75">
      <c r="B10" s="27" t="s">
        <v>252</v>
      </c>
      <c r="C10" s="29"/>
      <c r="D10" s="29"/>
      <c r="E10" s="66"/>
    </row>
    <row r="11" spans="2:5" ht="15.75">
      <c r="B11" s="27" t="s">
        <v>253</v>
      </c>
      <c r="C11" s="29"/>
      <c r="D11" s="29"/>
      <c r="E11" s="67">
        <f>mvalloc!G12</f>
        <v>0</v>
      </c>
    </row>
    <row r="12" spans="2:5" ht="15.75">
      <c r="B12" s="27" t="s">
        <v>254</v>
      </c>
      <c r="C12" s="29"/>
      <c r="D12" s="29"/>
      <c r="E12" s="67">
        <f>mvalloc!I12</f>
        <v>0</v>
      </c>
    </row>
    <row r="13" spans="2:5" ht="15.75">
      <c r="B13" s="68" t="s">
        <v>337</v>
      </c>
      <c r="C13" s="29"/>
      <c r="D13" s="29"/>
      <c r="E13" s="67">
        <f>mvalloc!J12</f>
        <v>0</v>
      </c>
    </row>
    <row r="14" spans="2:5" ht="15.75">
      <c r="B14" s="68" t="s">
        <v>401</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392</v>
      </c>
      <c r="C25" s="29"/>
      <c r="D25" s="29"/>
      <c r="E25" s="66"/>
    </row>
    <row r="26" spans="2:5" ht="15.75">
      <c r="B26" s="71" t="s">
        <v>256</v>
      </c>
      <c r="C26" s="29"/>
      <c r="D26" s="29"/>
      <c r="E26" s="66"/>
    </row>
    <row r="27" spans="2:5" ht="15.75">
      <c r="B27" s="39" t="s">
        <v>458</v>
      </c>
      <c r="C27" s="423"/>
      <c r="D27" s="423"/>
      <c r="E27" s="66"/>
    </row>
    <row r="28" spans="2:5" ht="15.75">
      <c r="B28" s="39" t="s">
        <v>459</v>
      </c>
      <c r="C28" s="415">
        <f>IF(C29*0.1&lt;C27,"Exceed 10% Rule","")</f>
      </c>
      <c r="D28" s="415">
        <f>IF(D29*0.1&lt;D27,"Exceed 10% Rule","")</f>
      </c>
      <c r="E28" s="45">
        <f>IF(E29*0.1+E60&lt;E27,"Exceed 10% Rule","")</f>
      </c>
    </row>
    <row r="29" spans="2:5" ht="15.75">
      <c r="B29" s="43" t="s">
        <v>257</v>
      </c>
      <c r="C29" s="424">
        <f>SUM(C9:C27)</f>
        <v>0</v>
      </c>
      <c r="D29" s="424">
        <f>SUM(D9:D27)</f>
        <v>0</v>
      </c>
      <c r="E29" s="72">
        <f>SUM(E9:E27)</f>
        <v>0</v>
      </c>
    </row>
    <row r="30" spans="2:5" ht="15.75">
      <c r="B30" s="43" t="s">
        <v>258</v>
      </c>
      <c r="C30" s="424">
        <f>C7+C29</f>
        <v>0</v>
      </c>
      <c r="D30" s="424">
        <f>D7+D29</f>
        <v>0</v>
      </c>
      <c r="E30" s="73">
        <f>E7+E29</f>
        <v>0</v>
      </c>
    </row>
    <row r="31" spans="2:5" ht="15.75">
      <c r="B31" s="74" t="s">
        <v>259</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460</v>
      </c>
      <c r="C50" s="29"/>
      <c r="D50" s="29"/>
      <c r="E50" s="75">
        <f>nhood!E7</f>
      </c>
    </row>
    <row r="51" spans="2:5" ht="15.75">
      <c r="B51" s="35" t="s">
        <v>458</v>
      </c>
      <c r="C51" s="423"/>
      <c r="D51" s="423"/>
      <c r="E51" s="66"/>
    </row>
    <row r="52" spans="2:9" ht="15.75">
      <c r="B52" s="35" t="s">
        <v>57</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260</v>
      </c>
      <c r="C53" s="424">
        <f>SUM(C32:C51)</f>
        <v>0</v>
      </c>
      <c r="D53" s="424">
        <f>SUM(D32:D51)</f>
        <v>0</v>
      </c>
      <c r="E53" s="72">
        <f>SUM(E32:E51)</f>
        <v>0</v>
      </c>
      <c r="G53" s="534"/>
      <c r="H53" s="535"/>
      <c r="I53" s="536"/>
    </row>
    <row r="54" spans="2:9" ht="15.75">
      <c r="B54" s="27" t="s">
        <v>357</v>
      </c>
      <c r="C54" s="425">
        <f>C30-C53</f>
        <v>0</v>
      </c>
      <c r="D54" s="425">
        <f>D30-D53</f>
        <v>0</v>
      </c>
      <c r="E54" s="33" t="s">
        <v>46</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46</v>
      </c>
      <c r="F55" s="50"/>
      <c r="G55" s="561">
        <f>E29</f>
        <v>0</v>
      </c>
      <c r="H55" s="563" t="str">
        <f>CONCATENATE("",E1," Non-AV Receipts (est.)")</f>
        <v>2012 Non-AV Receipts (est.)</v>
      </c>
      <c r="I55" s="536"/>
    </row>
    <row r="56" spans="2:9" ht="15.75">
      <c r="B56" s="48"/>
      <c r="C56" s="655" t="s">
        <v>58</v>
      </c>
      <c r="D56" s="656"/>
      <c r="E56" s="34"/>
      <c r="F56" s="533">
        <f>IF(E53/0.95-E53&lt;E56,"Exceeds 5%","")</f>
      </c>
      <c r="G56" s="564">
        <f>E60</f>
        <v>0</v>
      </c>
      <c r="H56" s="563" t="str">
        <f>CONCATENATE("",E1," Ad Valorem Tax (est.)")</f>
        <v>2012 Ad Valorem Tax (est.)</v>
      </c>
      <c r="I56" s="536"/>
    </row>
    <row r="57" spans="2:9" ht="15.75">
      <c r="B57" s="436" t="str">
        <f>CONCATENATE(C72,"     ",D72)</f>
        <v>     </v>
      </c>
      <c r="C57" s="657" t="s">
        <v>59</v>
      </c>
      <c r="D57" s="658"/>
      <c r="E57" s="32">
        <f>E53+E56</f>
        <v>0</v>
      </c>
      <c r="G57" s="561">
        <f>SUM(G54:G56)</f>
        <v>0</v>
      </c>
      <c r="H57" s="563" t="str">
        <f>CONCATENATE("Total ",E1," Resources Available")</f>
        <v>Total 2012 Resources Available</v>
      </c>
      <c r="I57" s="536"/>
    </row>
    <row r="58" spans="2:9" ht="15.75">
      <c r="B58" s="436" t="str">
        <f>CONCATENATE(C73,"     ",D73)</f>
        <v>     </v>
      </c>
      <c r="C58" s="60"/>
      <c r="D58" s="52" t="s">
        <v>262</v>
      </c>
      <c r="E58" s="46">
        <f>IF(E57-E30&gt;0,E57-E30,0)</f>
        <v>0</v>
      </c>
      <c r="G58" s="565"/>
      <c r="H58" s="563"/>
      <c r="I58" s="536"/>
    </row>
    <row r="59" spans="2:9" ht="15.75">
      <c r="B59" s="52"/>
      <c r="C59" s="440" t="s">
        <v>60</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244</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SEVEN TOWNSHIP</v>
      </c>
      <c r="C1" s="14"/>
      <c r="D1" s="14"/>
      <c r="E1" s="15">
        <f>inputPrYr!D5</f>
        <v>2012</v>
      </c>
    </row>
    <row r="2" spans="2:5" ht="15.75">
      <c r="B2" s="17"/>
      <c r="C2" s="14"/>
      <c r="D2" s="62"/>
      <c r="E2" s="63"/>
    </row>
    <row r="3" spans="2:5" ht="15.75">
      <c r="B3" s="603" t="s">
        <v>533</v>
      </c>
      <c r="C3" s="77"/>
      <c r="D3" s="77"/>
      <c r="E3" s="77"/>
    </row>
    <row r="4" spans="2:5" ht="15.75">
      <c r="B4" s="22" t="s">
        <v>245</v>
      </c>
      <c r="C4" s="416" t="s">
        <v>246</v>
      </c>
      <c r="D4" s="419" t="s">
        <v>247</v>
      </c>
      <c r="E4" s="23" t="s">
        <v>248</v>
      </c>
    </row>
    <row r="5" spans="2:5" ht="15.75">
      <c r="B5" s="437" t="str">
        <f>inputPrYr!B18</f>
        <v>Road</v>
      </c>
      <c r="C5" s="417" t="str">
        <f>gen!C5</f>
        <v>Actual 2010</v>
      </c>
      <c r="D5" s="417" t="str">
        <f>gen!D5</f>
        <v>Estimate 2011</v>
      </c>
      <c r="E5" s="26" t="str">
        <f>gen!E5</f>
        <v>Year 2012</v>
      </c>
    </row>
    <row r="6" spans="2:5" ht="15.75">
      <c r="B6" s="27" t="s">
        <v>356</v>
      </c>
      <c r="C6" s="29"/>
      <c r="D6" s="418">
        <f>C44</f>
        <v>0</v>
      </c>
      <c r="E6" s="32">
        <f>D44</f>
        <v>0</v>
      </c>
    </row>
    <row r="7" spans="2:5" ht="15.75">
      <c r="B7" s="27" t="s">
        <v>358</v>
      </c>
      <c r="C7" s="418"/>
      <c r="D7" s="418"/>
      <c r="E7" s="33"/>
    </row>
    <row r="8" spans="2:5" ht="15.75">
      <c r="B8" s="27" t="s">
        <v>251</v>
      </c>
      <c r="C8" s="29"/>
      <c r="D8" s="418">
        <f>inputPrYr!E18</f>
        <v>0</v>
      </c>
      <c r="E8" s="33" t="s">
        <v>46</v>
      </c>
    </row>
    <row r="9" spans="2:5" ht="15.75">
      <c r="B9" s="27" t="s">
        <v>252</v>
      </c>
      <c r="C9" s="29"/>
      <c r="D9" s="29"/>
      <c r="E9" s="34"/>
    </row>
    <row r="10" spans="2:5" ht="15.75">
      <c r="B10" s="27" t="s">
        <v>253</v>
      </c>
      <c r="C10" s="29"/>
      <c r="D10" s="29"/>
      <c r="E10" s="32">
        <f>mvalloc!G13</f>
        <v>0</v>
      </c>
    </row>
    <row r="11" spans="2:5" ht="15.75">
      <c r="B11" s="27" t="s">
        <v>254</v>
      </c>
      <c r="C11" s="29"/>
      <c r="D11" s="29"/>
      <c r="E11" s="32">
        <f>mvalloc!I13</f>
        <v>0</v>
      </c>
    </row>
    <row r="12" spans="2:5" ht="15.75">
      <c r="B12" s="27" t="s">
        <v>337</v>
      </c>
      <c r="C12" s="29"/>
      <c r="D12" s="29"/>
      <c r="E12" s="32">
        <f>mvalloc!J13</f>
        <v>0</v>
      </c>
    </row>
    <row r="13" spans="2:5" ht="15.75">
      <c r="B13" s="27" t="s">
        <v>401</v>
      </c>
      <c r="C13" s="29"/>
      <c r="D13" s="29"/>
      <c r="E13" s="32">
        <f>mvalloc!K13</f>
        <v>0</v>
      </c>
    </row>
    <row r="14" spans="2:5" ht="15.75">
      <c r="B14" s="27" t="s">
        <v>338</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256</v>
      </c>
      <c r="C20" s="29"/>
      <c r="D20" s="29"/>
      <c r="E20" s="34"/>
    </row>
    <row r="21" spans="2:5" ht="15.75">
      <c r="B21" s="39" t="s">
        <v>458</v>
      </c>
      <c r="C21" s="29"/>
      <c r="D21" s="29"/>
      <c r="E21" s="34"/>
    </row>
    <row r="22" spans="2:5" ht="15.75">
      <c r="B22" s="39" t="s">
        <v>459</v>
      </c>
      <c r="C22" s="415">
        <f>IF(C23*0.1&lt;C21,"Exceed 10% Rule","")</f>
      </c>
      <c r="D22" s="415">
        <f>IF(D23*0.1&lt;D21,"Exceed 10% Rule","")</f>
      </c>
      <c r="E22" s="45">
        <f>IF(E23*0.1+E50&lt;E21,"Exceed 10% Rule","")</f>
      </c>
    </row>
    <row r="23" spans="2:5" ht="15.75">
      <c r="B23" s="41" t="s">
        <v>257</v>
      </c>
      <c r="C23" s="420">
        <f>SUM(C8:C21)</f>
        <v>0</v>
      </c>
      <c r="D23" s="420">
        <f>SUM(D8:D21)</f>
        <v>0</v>
      </c>
      <c r="E23" s="42">
        <f>SUM(E8:E21)</f>
        <v>0</v>
      </c>
    </row>
    <row r="24" spans="2:5" ht="15.75">
      <c r="B24" s="43" t="s">
        <v>258</v>
      </c>
      <c r="C24" s="420">
        <f>C23+C6</f>
        <v>0</v>
      </c>
      <c r="D24" s="420">
        <f>D23+D6</f>
        <v>0</v>
      </c>
      <c r="E24" s="42">
        <f>E23+E6</f>
        <v>0</v>
      </c>
    </row>
    <row r="25" spans="2:5" ht="15.75">
      <c r="B25" s="27" t="s">
        <v>259</v>
      </c>
      <c r="C25" s="418"/>
      <c r="D25" s="418"/>
      <c r="E25" s="32"/>
    </row>
    <row r="26" spans="2:5" ht="15.75">
      <c r="B26" s="38" t="s">
        <v>363</v>
      </c>
      <c r="C26" s="29"/>
      <c r="D26" s="29"/>
      <c r="E26" s="34"/>
    </row>
    <row r="27" spans="2:5" ht="15.75">
      <c r="B27" s="37" t="s">
        <v>340</v>
      </c>
      <c r="C27" s="29"/>
      <c r="D27" s="29"/>
      <c r="E27" s="34"/>
    </row>
    <row r="28" spans="2:5" ht="15.75">
      <c r="B28" s="38" t="s">
        <v>365</v>
      </c>
      <c r="C28" s="29"/>
      <c r="D28" s="29"/>
      <c r="E28" s="34"/>
    </row>
    <row r="29" spans="2:5" ht="15.75">
      <c r="B29" s="38" t="s">
        <v>343</v>
      </c>
      <c r="C29" s="29"/>
      <c r="D29" s="29"/>
      <c r="E29" s="34"/>
    </row>
    <row r="30" spans="2:5" ht="15.75">
      <c r="B30" s="38" t="s">
        <v>341</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342</v>
      </c>
      <c r="C38" s="29"/>
      <c r="D38" s="29"/>
      <c r="E38" s="34"/>
    </row>
    <row r="39" spans="2:10" ht="15.75">
      <c r="B39" s="27" t="s">
        <v>61</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460</v>
      </c>
      <c r="C40" s="29"/>
      <c r="D40" s="29"/>
      <c r="E40" s="46">
        <f>nhood!E8</f>
      </c>
      <c r="G40" s="534"/>
      <c r="H40" s="535"/>
      <c r="I40" s="535"/>
      <c r="J40" s="536"/>
    </row>
    <row r="41" spans="2:10" ht="15.75">
      <c r="B41" s="35" t="s">
        <v>458</v>
      </c>
      <c r="C41" s="29"/>
      <c r="D41" s="29"/>
      <c r="E41" s="34"/>
      <c r="G41" s="537">
        <f>D44</f>
        <v>0</v>
      </c>
      <c r="H41" s="538" t="str">
        <f>CONCATENATE("",E1-1," Ending Cash Balance (est.)")</f>
        <v>2011 Ending Cash Balance (est.)</v>
      </c>
      <c r="I41" s="539"/>
      <c r="J41" s="536"/>
    </row>
    <row r="42" spans="2:10" ht="15.75">
      <c r="B42" s="35" t="s">
        <v>57</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260</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357</v>
      </c>
      <c r="C44" s="413">
        <f>C24-C43</f>
        <v>0</v>
      </c>
      <c r="D44" s="413">
        <f>D24-D43</f>
        <v>0</v>
      </c>
      <c r="E44" s="33" t="s">
        <v>46</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46</v>
      </c>
      <c r="F45" s="50"/>
      <c r="G45" s="542"/>
      <c r="H45" s="540"/>
      <c r="I45" s="540"/>
      <c r="J45" s="536"/>
    </row>
    <row r="46" spans="2:10" ht="15.75">
      <c r="B46" s="48"/>
      <c r="C46" s="655" t="s">
        <v>58</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59</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262</v>
      </c>
      <c r="E48" s="46">
        <f>IF(E47-E24&gt;0,E47-E24,0)</f>
        <v>0</v>
      </c>
    </row>
    <row r="49" spans="2:10" ht="15.75">
      <c r="B49" s="52"/>
      <c r="C49" s="440" t="s">
        <v>60</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264</v>
      </c>
      <c r="C53" s="81"/>
      <c r="D53" s="14"/>
      <c r="E53" s="14"/>
      <c r="G53" s="553" t="s">
        <v>527</v>
      </c>
      <c r="H53" s="540"/>
      <c r="I53" s="540"/>
      <c r="J53" s="554">
        <v>0</v>
      </c>
    </row>
    <row r="54" spans="2:10" ht="15.75">
      <c r="B54" s="82" t="s">
        <v>265</v>
      </c>
      <c r="C54" s="441" t="str">
        <f>CONCATENATE("",E1-2," Actual Year")</f>
        <v>2010 Actual Year</v>
      </c>
      <c r="D54" s="14"/>
      <c r="E54" s="14"/>
      <c r="G54" s="551" t="s">
        <v>528</v>
      </c>
      <c r="H54" s="535"/>
      <c r="I54" s="535"/>
      <c r="J54" s="555">
        <f>IF(J53=0,"",ROUND((J53+E50-G47)/inputOth!E7*1000,3)-G49)</f>
      </c>
    </row>
    <row r="55" spans="2:10" ht="15.75">
      <c r="B55" s="83" t="s">
        <v>249</v>
      </c>
      <c r="C55" s="600"/>
      <c r="D55" s="14"/>
      <c r="E55" s="14"/>
      <c r="G55" s="556" t="str">
        <f>CONCATENATE("",E1," Total Expenditures Must Be:")</f>
        <v>2012 Total Expenditures Must Be:</v>
      </c>
      <c r="H55" s="557"/>
      <c r="I55" s="558"/>
      <c r="J55" s="559">
        <f>IF((J53&gt;0),(E43+J53-G47),0)</f>
        <v>0</v>
      </c>
    </row>
    <row r="56" spans="2:5" ht="15.75">
      <c r="B56" s="83" t="s">
        <v>267</v>
      </c>
      <c r="C56" s="143"/>
      <c r="D56" s="14"/>
      <c r="E56" s="14"/>
    </row>
    <row r="57" spans="2:5" ht="15.75">
      <c r="B57" s="83" t="s">
        <v>268</v>
      </c>
      <c r="C57" s="439">
        <f>C38</f>
        <v>0</v>
      </c>
      <c r="D57" s="85"/>
      <c r="E57" s="14"/>
    </row>
    <row r="58" spans="2:5" ht="15.75">
      <c r="B58" s="83" t="s">
        <v>3</v>
      </c>
      <c r="C58" s="439">
        <f>gen!C43</f>
        <v>0</v>
      </c>
      <c r="D58" s="662">
        <f>IF(AND(C58&gt;0,C59&gt;0),"Not Auth. Two General Transfers - Only One","")</f>
      </c>
      <c r="E58" s="663"/>
    </row>
    <row r="59" spans="2:5" ht="15.75">
      <c r="B59" s="86" t="s">
        <v>4</v>
      </c>
      <c r="C59" s="439">
        <f>gen!C45</f>
        <v>0</v>
      </c>
      <c r="D59" s="664"/>
      <c r="E59" s="663"/>
    </row>
    <row r="60" spans="2:5" ht="15.75">
      <c r="B60" s="87"/>
      <c r="C60" s="600"/>
      <c r="D60" s="14"/>
      <c r="E60" s="14"/>
    </row>
    <row r="61" spans="2:5" ht="15.75">
      <c r="B61" s="87" t="s">
        <v>256</v>
      </c>
      <c r="C61" s="600"/>
      <c r="D61" s="14"/>
      <c r="E61" s="14"/>
    </row>
    <row r="62" spans="2:5" ht="15.75">
      <c r="B62" s="87" t="s">
        <v>255</v>
      </c>
      <c r="C62" s="600"/>
      <c r="D62" s="14"/>
      <c r="E62" s="14"/>
    </row>
    <row r="63" spans="2:5" ht="15.75">
      <c r="B63" s="88" t="s">
        <v>258</v>
      </c>
      <c r="C63" s="143">
        <f>SUM(C55:C62)</f>
        <v>0</v>
      </c>
      <c r="D63" s="14"/>
      <c r="E63" s="14"/>
    </row>
    <row r="64" spans="2:5" ht="15.75">
      <c r="B64" s="88" t="s">
        <v>260</v>
      </c>
      <c r="C64" s="600"/>
      <c r="D64" s="14"/>
      <c r="E64" s="14"/>
    </row>
    <row r="65" spans="2:5" ht="15.75">
      <c r="B65" s="88" t="s">
        <v>261</v>
      </c>
      <c r="C65" s="438">
        <f>SUM(C63-C64)</f>
        <v>0</v>
      </c>
      <c r="D65" s="14"/>
      <c r="E65" s="14"/>
    </row>
    <row r="66" spans="2:5" ht="15.75">
      <c r="B66" s="14"/>
      <c r="C66" s="14"/>
      <c r="D66" s="14"/>
      <c r="E66" s="14"/>
    </row>
    <row r="67" spans="2:5" ht="15.75">
      <c r="B67" s="52" t="s">
        <v>244</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SEVEN TOWNSHIP</v>
      </c>
      <c r="C1" s="22" t="s">
        <v>269</v>
      </c>
      <c r="D1" s="14"/>
      <c r="E1" s="15">
        <f>inputPrYr!D5</f>
        <v>2012</v>
      </c>
    </row>
    <row r="2" spans="2:5" ht="15.75">
      <c r="B2" s="17"/>
      <c r="C2" s="14"/>
      <c r="D2" s="14"/>
      <c r="E2" s="89"/>
    </row>
    <row r="3" spans="2:5" ht="15.75">
      <c r="B3" s="603" t="s">
        <v>533</v>
      </c>
      <c r="C3" s="77"/>
      <c r="D3" s="77"/>
      <c r="E3" s="14"/>
    </row>
    <row r="4" spans="2:5" ht="15.75">
      <c r="B4" s="22" t="s">
        <v>245</v>
      </c>
      <c r="C4" s="416" t="s">
        <v>246</v>
      </c>
      <c r="D4" s="419" t="s">
        <v>247</v>
      </c>
      <c r="E4" s="23" t="s">
        <v>248</v>
      </c>
    </row>
    <row r="5" spans="2:5" ht="15.75">
      <c r="B5" s="437">
        <f>inputPrYr!B19</f>
        <v>0</v>
      </c>
      <c r="C5" s="417" t="str">
        <f>gen!C5</f>
        <v>Actual 2010</v>
      </c>
      <c r="D5" s="417" t="str">
        <f>gen!D5</f>
        <v>Estimate 2011</v>
      </c>
      <c r="E5" s="26" t="str">
        <f>gen!E5</f>
        <v>Year 2012</v>
      </c>
    </row>
    <row r="6" spans="2:5" ht="15.75">
      <c r="B6" s="27" t="s">
        <v>356</v>
      </c>
      <c r="C6" s="29"/>
      <c r="D6" s="418">
        <f>C33</f>
        <v>0</v>
      </c>
      <c r="E6" s="32">
        <f>D33</f>
        <v>0</v>
      </c>
    </row>
    <row r="7" spans="2:5" ht="15.75">
      <c r="B7" s="27" t="s">
        <v>358</v>
      </c>
      <c r="C7" s="418"/>
      <c r="D7" s="418"/>
      <c r="E7" s="33"/>
    </row>
    <row r="8" spans="2:5" ht="15.75">
      <c r="B8" s="27" t="s">
        <v>251</v>
      </c>
      <c r="C8" s="29"/>
      <c r="D8" s="418">
        <f>inputPrYr!E19</f>
        <v>0</v>
      </c>
      <c r="E8" s="33" t="s">
        <v>46</v>
      </c>
    </row>
    <row r="9" spans="2:5" ht="15.75">
      <c r="B9" s="27" t="s">
        <v>252</v>
      </c>
      <c r="C9" s="29"/>
      <c r="D9" s="29"/>
      <c r="E9" s="34"/>
    </row>
    <row r="10" spans="2:5" ht="15.75">
      <c r="B10" s="27" t="s">
        <v>253</v>
      </c>
      <c r="C10" s="29"/>
      <c r="D10" s="29"/>
      <c r="E10" s="32">
        <f>mvalloc!G14</f>
        <v>0</v>
      </c>
    </row>
    <row r="11" spans="2:5" ht="15.75">
      <c r="B11" s="27" t="s">
        <v>254</v>
      </c>
      <c r="C11" s="29"/>
      <c r="D11" s="29"/>
      <c r="E11" s="32">
        <f>mvalloc!I14</f>
        <v>0</v>
      </c>
    </row>
    <row r="12" spans="2:5" ht="15.75">
      <c r="B12" s="35" t="s">
        <v>306</v>
      </c>
      <c r="C12" s="29"/>
      <c r="D12" s="29"/>
      <c r="E12" s="32">
        <f>mvalloc!J14</f>
        <v>0</v>
      </c>
    </row>
    <row r="13" spans="2:5" ht="15.75">
      <c r="B13" s="35" t="s">
        <v>401</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256</v>
      </c>
      <c r="C17" s="29"/>
      <c r="D17" s="29"/>
      <c r="E17" s="34"/>
    </row>
    <row r="18" spans="2:5" ht="15.75">
      <c r="B18" s="39" t="s">
        <v>458</v>
      </c>
      <c r="C18" s="29"/>
      <c r="D18" s="29"/>
      <c r="E18" s="34"/>
    </row>
    <row r="19" spans="2:5" ht="15.75">
      <c r="B19" s="39" t="s">
        <v>459</v>
      </c>
      <c r="C19" s="415">
        <f>IF(C20*0.1&lt;C18,"Exceed 10% Rule","")</f>
      </c>
      <c r="D19" s="415">
        <f>IF(D20*0.1&lt;D18,"Exceed 10% Rule","")</f>
      </c>
      <c r="E19" s="45">
        <f>IF(E20*0.1+E39&lt;E18,"Exceed 10% Rule","")</f>
      </c>
    </row>
    <row r="20" spans="2:5" ht="15.75">
      <c r="B20" s="41" t="s">
        <v>257</v>
      </c>
      <c r="C20" s="420">
        <f>SUM(C8:C18)</f>
        <v>0</v>
      </c>
      <c r="D20" s="420">
        <f>SUM(D8:D18)</f>
        <v>0</v>
      </c>
      <c r="E20" s="42">
        <f>SUM(E8:E18)</f>
        <v>0</v>
      </c>
    </row>
    <row r="21" spans="2:5" ht="15.75">
      <c r="B21" s="43" t="s">
        <v>258</v>
      </c>
      <c r="C21" s="420">
        <f>C20+C6</f>
        <v>0</v>
      </c>
      <c r="D21" s="420">
        <f>D20+D6</f>
        <v>0</v>
      </c>
      <c r="E21" s="42">
        <f>E20+E6</f>
        <v>0</v>
      </c>
    </row>
    <row r="22" spans="2:5" ht="15.75">
      <c r="B22" s="27" t="s">
        <v>259</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460</v>
      </c>
      <c r="C29" s="29"/>
      <c r="D29" s="29"/>
      <c r="E29" s="46">
        <f>nhood!E9</f>
      </c>
    </row>
    <row r="30" spans="2:5" ht="15.75">
      <c r="B30" s="35" t="s">
        <v>458</v>
      </c>
      <c r="C30" s="29"/>
      <c r="D30" s="29"/>
      <c r="E30" s="34"/>
    </row>
    <row r="31" spans="2:5" ht="15.75">
      <c r="B31" s="35" t="s">
        <v>57</v>
      </c>
      <c r="C31" s="415">
        <f>IF(C32*0.1&lt;C30,"Exceed 10% Rule","")</f>
      </c>
      <c r="D31" s="415">
        <f>IF(D32*0.1&lt;D30,"Exceed 10% Rule","")</f>
      </c>
      <c r="E31" s="45">
        <f>IF(E32*0.1&lt;E30,"Exceed 10% Rule","")</f>
      </c>
    </row>
    <row r="32" spans="2:5" ht="15.75">
      <c r="B32" s="43" t="s">
        <v>260</v>
      </c>
      <c r="C32" s="420">
        <f>SUM(C23:C30)</f>
        <v>0</v>
      </c>
      <c r="D32" s="420">
        <f>SUM(D23:D30)</f>
        <v>0</v>
      </c>
      <c r="E32" s="42">
        <f>SUM(E23:E30)</f>
        <v>0</v>
      </c>
    </row>
    <row r="33" spans="2:5" ht="15.75">
      <c r="B33" s="27" t="s">
        <v>357</v>
      </c>
      <c r="C33" s="413">
        <f>C21-C32</f>
        <v>0</v>
      </c>
      <c r="D33" s="413">
        <f>D21-D32</f>
        <v>0</v>
      </c>
      <c r="E33" s="33" t="s">
        <v>46</v>
      </c>
    </row>
    <row r="34" spans="2:6" ht="15.75">
      <c r="B34" s="48" t="str">
        <f>CONCATENATE("",E1-2,"/",E1-1," Budget Authority Amount:")</f>
        <v>2010/2011 Budget Authority Amount:</v>
      </c>
      <c r="C34" s="143">
        <f>inputOth!B49</f>
        <v>0</v>
      </c>
      <c r="D34" s="172">
        <f>inputPrYr!D19</f>
        <v>0</v>
      </c>
      <c r="E34" s="33" t="s">
        <v>46</v>
      </c>
      <c r="F34" s="50"/>
    </row>
    <row r="35" spans="2:6" ht="15.75">
      <c r="B35" s="48"/>
      <c r="C35" s="655" t="s">
        <v>58</v>
      </c>
      <c r="D35" s="656"/>
      <c r="E35" s="34"/>
      <c r="F35" s="50">
        <f>IF(E32/0.95-E32&lt;E35,"Exceeds 5%","")</f>
      </c>
    </row>
    <row r="36" spans="2:5" ht="15.75">
      <c r="B36" s="436" t="str">
        <f>CONCATENATE(C88,"     ",D88)</f>
        <v>     </v>
      </c>
      <c r="C36" s="657" t="s">
        <v>59</v>
      </c>
      <c r="D36" s="658"/>
      <c r="E36" s="32">
        <f>E32+E35</f>
        <v>0</v>
      </c>
    </row>
    <row r="37" spans="2:5" ht="15.75">
      <c r="B37" s="436" t="str">
        <f>CONCATENATE(C89,"     ",D89)</f>
        <v>     </v>
      </c>
      <c r="C37" s="60"/>
      <c r="D37" s="52" t="s">
        <v>262</v>
      </c>
      <c r="E37" s="46">
        <f>IF(E36-E21&gt;0,E36-E21,0)</f>
        <v>0</v>
      </c>
    </row>
    <row r="38" spans="2:5" ht="15.75">
      <c r="B38" s="52"/>
      <c r="C38" s="440" t="s">
        <v>60</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245</v>
      </c>
      <c r="C40" s="77"/>
      <c r="D40" s="77"/>
      <c r="E40" s="77"/>
    </row>
    <row r="41" spans="2:5" ht="15.75">
      <c r="B41" s="14"/>
      <c r="C41" s="416" t="s">
        <v>246</v>
      </c>
      <c r="D41" s="419" t="s">
        <v>247</v>
      </c>
      <c r="E41" s="23" t="s">
        <v>248</v>
      </c>
    </row>
    <row r="42" spans="2:5" ht="15.75">
      <c r="B42" s="528">
        <f>inputPrYr!B20</f>
        <v>0</v>
      </c>
      <c r="C42" s="417" t="str">
        <f>C5</f>
        <v>Actual 2010</v>
      </c>
      <c r="D42" s="417" t="str">
        <f>D5</f>
        <v>Estimate 2011</v>
      </c>
      <c r="E42" s="26" t="str">
        <f>E5</f>
        <v>Year 2012</v>
      </c>
    </row>
    <row r="43" spans="2:5" ht="15.75">
      <c r="B43" s="27" t="s">
        <v>356</v>
      </c>
      <c r="C43" s="29"/>
      <c r="D43" s="418">
        <f>C70</f>
        <v>0</v>
      </c>
      <c r="E43" s="32">
        <f>D70</f>
        <v>0</v>
      </c>
    </row>
    <row r="44" spans="2:5" ht="15.75">
      <c r="B44" s="27" t="s">
        <v>358</v>
      </c>
      <c r="C44" s="418"/>
      <c r="D44" s="418"/>
      <c r="E44" s="33"/>
    </row>
    <row r="45" spans="2:5" ht="15.75">
      <c r="B45" s="27" t="s">
        <v>251</v>
      </c>
      <c r="C45" s="29"/>
      <c r="D45" s="418">
        <f>inputPrYr!E20</f>
        <v>0</v>
      </c>
      <c r="E45" s="33" t="s">
        <v>46</v>
      </c>
    </row>
    <row r="46" spans="2:5" ht="15.75">
      <c r="B46" s="27" t="s">
        <v>252</v>
      </c>
      <c r="C46" s="29"/>
      <c r="D46" s="29"/>
      <c r="E46" s="34"/>
    </row>
    <row r="47" spans="2:5" ht="15.75">
      <c r="B47" s="27" t="s">
        <v>253</v>
      </c>
      <c r="C47" s="29"/>
      <c r="D47" s="29"/>
      <c r="E47" s="32">
        <f>mvalloc!G15</f>
        <v>0</v>
      </c>
    </row>
    <row r="48" spans="2:5" ht="15.75">
      <c r="B48" s="27" t="s">
        <v>254</v>
      </c>
      <c r="C48" s="29"/>
      <c r="D48" s="29"/>
      <c r="E48" s="32">
        <f>mvalloc!I15</f>
        <v>0</v>
      </c>
    </row>
    <row r="49" spans="2:5" ht="15.75">
      <c r="B49" s="27" t="s">
        <v>337</v>
      </c>
      <c r="C49" s="29"/>
      <c r="D49" s="29"/>
      <c r="E49" s="32">
        <f>mvalloc!J15</f>
        <v>0</v>
      </c>
    </row>
    <row r="50" spans="2:5" ht="15.75">
      <c r="B50" s="27" t="s">
        <v>401</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256</v>
      </c>
      <c r="C54" s="29"/>
      <c r="D54" s="29"/>
      <c r="E54" s="34"/>
    </row>
    <row r="55" spans="2:5" ht="15.75">
      <c r="B55" s="39" t="s">
        <v>458</v>
      </c>
      <c r="C55" s="29"/>
      <c r="D55" s="29"/>
      <c r="E55" s="34"/>
    </row>
    <row r="56" spans="2:5" ht="15.75">
      <c r="B56" s="39" t="s">
        <v>459</v>
      </c>
      <c r="C56" s="415">
        <f>IF(C57*0.1&lt;C55,"Exceed 10% Rule","")</f>
      </c>
      <c r="D56" s="415">
        <f>IF(D57*0.1&lt;D55,"Exceed 10% Rule","")</f>
      </c>
      <c r="E56" s="45">
        <f>IF(E57*0.1+E76&lt;E55,"Exceed 10% Rule","")</f>
      </c>
    </row>
    <row r="57" spans="2:5" ht="15.75">
      <c r="B57" s="41" t="s">
        <v>257</v>
      </c>
      <c r="C57" s="420">
        <f>SUM(C45:C55)</f>
        <v>0</v>
      </c>
      <c r="D57" s="420">
        <f>SUM(D45:D55)</f>
        <v>0</v>
      </c>
      <c r="E57" s="42">
        <f>SUM(E45:E55)</f>
        <v>0</v>
      </c>
    </row>
    <row r="58" spans="2:5" ht="15.75">
      <c r="B58" s="43" t="s">
        <v>258</v>
      </c>
      <c r="C58" s="420">
        <f>C57+C43</f>
        <v>0</v>
      </c>
      <c r="D58" s="420">
        <f>D57+D43</f>
        <v>0</v>
      </c>
      <c r="E58" s="42">
        <f>E57+E43</f>
        <v>0</v>
      </c>
    </row>
    <row r="59" spans="2:5" ht="15.75">
      <c r="B59" s="27" t="s">
        <v>259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460</v>
      </c>
      <c r="C66" s="29"/>
      <c r="D66" s="29"/>
      <c r="E66" s="46">
        <f>nhood!E10</f>
      </c>
    </row>
    <row r="67" spans="2:5" ht="15.75">
      <c r="B67" s="35" t="s">
        <v>458</v>
      </c>
      <c r="C67" s="29"/>
      <c r="D67" s="29"/>
      <c r="E67" s="34"/>
    </row>
    <row r="68" spans="2:5" ht="15.75">
      <c r="B68" s="35" t="s">
        <v>57</v>
      </c>
      <c r="C68" s="415">
        <f>IF(C69*0.1&lt;C67,"Exceed 10% Rule","")</f>
      </c>
      <c r="D68" s="415">
        <f>IF(D69*0.1&lt;D67,"Exceed 10% Rule","")</f>
      </c>
      <c r="E68" s="45">
        <f>IF(E69*0.1&lt;E67,"Exceed 10% Rule","")</f>
      </c>
    </row>
    <row r="69" spans="2:5" ht="15.75">
      <c r="B69" s="43" t="s">
        <v>260</v>
      </c>
      <c r="C69" s="420">
        <f>SUM(C60:C67)</f>
        <v>0</v>
      </c>
      <c r="D69" s="420">
        <f>SUM(D60:D67)</f>
        <v>0</v>
      </c>
      <c r="E69" s="42">
        <f>SUM(E60:E67)</f>
        <v>0</v>
      </c>
    </row>
    <row r="70" spans="2:5" ht="15.75">
      <c r="B70" s="27" t="s">
        <v>357</v>
      </c>
      <c r="C70" s="413">
        <f>C58-C69</f>
        <v>0</v>
      </c>
      <c r="D70" s="413">
        <f>D58-D69</f>
        <v>0</v>
      </c>
      <c r="E70" s="33" t="s">
        <v>46</v>
      </c>
    </row>
    <row r="71" spans="2:6" ht="15.75">
      <c r="B71" s="48" t="str">
        <f>CONCATENATE("",E1-2,"/",E1-1," Budget Authority Amount:")</f>
        <v>2010/2011 Budget Authority Amount:</v>
      </c>
      <c r="C71" s="143">
        <f>inputOth!B50</f>
        <v>0</v>
      </c>
      <c r="D71" s="172">
        <f>inputPrYr!D20</f>
        <v>0</v>
      </c>
      <c r="E71" s="33" t="s">
        <v>46</v>
      </c>
      <c r="F71" s="50"/>
    </row>
    <row r="72" spans="2:6" ht="15.75">
      <c r="B72" s="48"/>
      <c r="C72" s="655" t="s">
        <v>58</v>
      </c>
      <c r="D72" s="656"/>
      <c r="E72" s="34"/>
      <c r="F72" s="50">
        <f>IF(E69/0.95-E69&lt;E72,"Exceeds 5%","")</f>
      </c>
    </row>
    <row r="73" spans="2:5" ht="15.75">
      <c r="B73" s="436" t="str">
        <f>CONCATENATE(C90,"     ",D90)</f>
        <v>     </v>
      </c>
      <c r="C73" s="657" t="s">
        <v>59</v>
      </c>
      <c r="D73" s="658"/>
      <c r="E73" s="32">
        <f>E69+E72</f>
        <v>0</v>
      </c>
    </row>
    <row r="74" spans="2:5" ht="15.75">
      <c r="B74" s="436" t="str">
        <f>CONCATENATE(C91,"     ",D91)</f>
        <v>     </v>
      </c>
      <c r="C74" s="60"/>
      <c r="D74" s="52" t="s">
        <v>262</v>
      </c>
      <c r="E74" s="46">
        <f>IF(E73-E58&gt;0,E73-E58,0)</f>
        <v>0</v>
      </c>
    </row>
    <row r="75" spans="2:5" ht="15.75">
      <c r="B75" s="52"/>
      <c r="C75" s="440" t="s">
        <v>60</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SEVEN TOWNSHIP</v>
      </c>
      <c r="C1" s="14"/>
      <c r="D1" s="14"/>
      <c r="E1" s="15">
        <f>inputPrYr!D5</f>
        <v>2012</v>
      </c>
    </row>
    <row r="2" spans="2:5" ht="15.75">
      <c r="B2" s="17"/>
      <c r="C2" s="14"/>
      <c r="D2" s="62"/>
      <c r="E2" s="93"/>
    </row>
    <row r="3" spans="2:5" ht="15.75">
      <c r="B3" s="603" t="s">
        <v>533</v>
      </c>
      <c r="C3" s="77"/>
      <c r="D3" s="77"/>
      <c r="E3" s="77"/>
    </row>
    <row r="4" spans="2:5" ht="15.75">
      <c r="B4" s="22" t="s">
        <v>245</v>
      </c>
      <c r="C4" s="416" t="s">
        <v>246</v>
      </c>
      <c r="D4" s="419" t="s">
        <v>247</v>
      </c>
      <c r="E4" s="23" t="s">
        <v>248</v>
      </c>
    </row>
    <row r="5" spans="2:5" ht="15.75">
      <c r="B5" s="437">
        <f>inputPrYr!B21</f>
        <v>0</v>
      </c>
      <c r="C5" s="417" t="str">
        <f>gen!C5</f>
        <v>Actual 2010</v>
      </c>
      <c r="D5" s="417" t="str">
        <f>gen!D5</f>
        <v>Estimate 2011</v>
      </c>
      <c r="E5" s="26" t="str">
        <f>gen!E5</f>
        <v>Year 2012</v>
      </c>
    </row>
    <row r="6" spans="2:5" ht="15.75">
      <c r="B6" s="27" t="s">
        <v>356</v>
      </c>
      <c r="C6" s="29"/>
      <c r="D6" s="418">
        <f>C33</f>
        <v>0</v>
      </c>
      <c r="E6" s="32">
        <f>D33</f>
        <v>0</v>
      </c>
    </row>
    <row r="7" spans="2:5" ht="15.75">
      <c r="B7" s="27" t="s">
        <v>358</v>
      </c>
      <c r="C7" s="418"/>
      <c r="D7" s="418"/>
      <c r="E7" s="33"/>
    </row>
    <row r="8" spans="2:5" ht="15.75">
      <c r="B8" s="27" t="s">
        <v>251</v>
      </c>
      <c r="C8" s="29"/>
      <c r="D8" s="418">
        <f>inputPrYr!E21</f>
        <v>0</v>
      </c>
      <c r="E8" s="33" t="s">
        <v>46</v>
      </c>
    </row>
    <row r="9" spans="2:5" ht="15.75">
      <c r="B9" s="27" t="s">
        <v>252</v>
      </c>
      <c r="C9" s="29"/>
      <c r="D9" s="29"/>
      <c r="E9" s="34"/>
    </row>
    <row r="10" spans="2:5" ht="15.75">
      <c r="B10" s="27" t="s">
        <v>253</v>
      </c>
      <c r="C10" s="29"/>
      <c r="D10" s="29"/>
      <c r="E10" s="32">
        <f>mvalloc!G16</f>
        <v>0</v>
      </c>
    </row>
    <row r="11" spans="2:5" ht="15.75">
      <c r="B11" s="27" t="s">
        <v>254</v>
      </c>
      <c r="C11" s="29"/>
      <c r="D11" s="29"/>
      <c r="E11" s="32">
        <f>mvalloc!I16</f>
        <v>0</v>
      </c>
    </row>
    <row r="12" spans="2:5" ht="15.75">
      <c r="B12" s="27" t="s">
        <v>337</v>
      </c>
      <c r="C12" s="29"/>
      <c r="D12" s="29"/>
      <c r="E12" s="32">
        <f>mvalloc!J16</f>
        <v>0</v>
      </c>
    </row>
    <row r="13" spans="2:5" ht="15.75">
      <c r="B13" s="27" t="s">
        <v>401</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256</v>
      </c>
      <c r="C17" s="29"/>
      <c r="D17" s="29"/>
      <c r="E17" s="34"/>
    </row>
    <row r="18" spans="2:5" ht="15.75">
      <c r="B18" s="39" t="s">
        <v>458</v>
      </c>
      <c r="C18" s="29"/>
      <c r="D18" s="29"/>
      <c r="E18" s="34"/>
    </row>
    <row r="19" spans="2:5" ht="15.75">
      <c r="B19" s="39" t="s">
        <v>459</v>
      </c>
      <c r="C19" s="415">
        <f>IF(C20*0.1&lt;C18,"Exceed 10% Rule","")</f>
      </c>
      <c r="D19" s="415">
        <f>IF(D20*0.1&lt;D18,"Exceed 10% Rule","")</f>
      </c>
      <c r="E19" s="45">
        <f>IF(E20*0.1+E39&lt;E18,"Exceed 10% Rule","")</f>
      </c>
    </row>
    <row r="20" spans="2:5" ht="15.75">
      <c r="B20" s="41" t="s">
        <v>257</v>
      </c>
      <c r="C20" s="420">
        <f>SUM(C8:C18)</f>
        <v>0</v>
      </c>
      <c r="D20" s="420">
        <f>SUM(D8:D18)</f>
        <v>0</v>
      </c>
      <c r="E20" s="42">
        <f>SUM(E8:E18)</f>
        <v>0</v>
      </c>
    </row>
    <row r="21" spans="2:5" ht="15.75">
      <c r="B21" s="43" t="s">
        <v>258</v>
      </c>
      <c r="C21" s="420">
        <f>C20+C6</f>
        <v>0</v>
      </c>
      <c r="D21" s="420">
        <f>D20+D6</f>
        <v>0</v>
      </c>
      <c r="E21" s="42">
        <f>E20+E6</f>
        <v>0</v>
      </c>
    </row>
    <row r="22" spans="2:5" ht="15.75">
      <c r="B22" s="27" t="s">
        <v>259</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460</v>
      </c>
      <c r="C29" s="29"/>
      <c r="D29" s="29"/>
      <c r="E29" s="46">
        <f>nhood!E11</f>
      </c>
    </row>
    <row r="30" spans="2:5" ht="15.75">
      <c r="B30" s="35" t="s">
        <v>458</v>
      </c>
      <c r="C30" s="29"/>
      <c r="D30" s="29"/>
      <c r="E30" s="34"/>
    </row>
    <row r="31" spans="2:5" ht="15.75">
      <c r="B31" s="35" t="s">
        <v>57</v>
      </c>
      <c r="C31" s="415">
        <f>IF(C32*0.1&lt;C30,"Exceed 10% Rule","")</f>
      </c>
      <c r="D31" s="415">
        <f>IF(D32*0.1&lt;D30,"Exceed 10% Rule","")</f>
      </c>
      <c r="E31" s="45">
        <f>IF(E32*0.1&lt;E30,"Exceed 10% Rule","")</f>
      </c>
    </row>
    <row r="32" spans="2:5" ht="15.75">
      <c r="B32" s="43" t="s">
        <v>260</v>
      </c>
      <c r="C32" s="420">
        <f>SUM(C23:C30)</f>
        <v>0</v>
      </c>
      <c r="D32" s="420">
        <f>SUM(D23:D30)</f>
        <v>0</v>
      </c>
      <c r="E32" s="42">
        <f>SUM(E23:E30)</f>
        <v>0</v>
      </c>
    </row>
    <row r="33" spans="2:5" ht="15.75">
      <c r="B33" s="27" t="s">
        <v>357</v>
      </c>
      <c r="C33" s="413">
        <f>C21-C32</f>
        <v>0</v>
      </c>
      <c r="D33" s="413">
        <f>D21-D32</f>
        <v>0</v>
      </c>
      <c r="E33" s="33" t="s">
        <v>46</v>
      </c>
    </row>
    <row r="34" spans="2:6" ht="15.75">
      <c r="B34" s="48" t="str">
        <f>CONCATENATE("",E1-2,"/",E1-1," Budget Authority Amount:")</f>
        <v>2010/2011 Budget Authority Amount:</v>
      </c>
      <c r="C34" s="143">
        <f>inputOth!B51</f>
        <v>0</v>
      </c>
      <c r="D34" s="172">
        <f>inputPrYr!D21</f>
        <v>0</v>
      </c>
      <c r="E34" s="33" t="s">
        <v>46</v>
      </c>
      <c r="F34" s="50"/>
    </row>
    <row r="35" spans="2:6" ht="15.75">
      <c r="B35" s="48"/>
      <c r="C35" s="655" t="s">
        <v>58</v>
      </c>
      <c r="D35" s="656"/>
      <c r="E35" s="34"/>
      <c r="F35" s="50">
        <f>IF(E32/0.95-E32&lt;E35,"Exceeds 5%","")</f>
      </c>
    </row>
    <row r="36" spans="2:5" ht="15.75">
      <c r="B36" s="436" t="str">
        <f>CONCATENATE(C88,"     ",D88)</f>
        <v>     </v>
      </c>
      <c r="C36" s="657" t="s">
        <v>59</v>
      </c>
      <c r="D36" s="658"/>
      <c r="E36" s="32">
        <f>E32+E35</f>
        <v>0</v>
      </c>
    </row>
    <row r="37" spans="2:5" ht="15.75">
      <c r="B37" s="436" t="str">
        <f>CONCATENATE(C89,"     ",D89)</f>
        <v>     </v>
      </c>
      <c r="C37" s="60"/>
      <c r="D37" s="52" t="s">
        <v>262</v>
      </c>
      <c r="E37" s="46">
        <f>IF(E36-E21&gt;0,E36-E21,0)</f>
        <v>0</v>
      </c>
    </row>
    <row r="38" spans="2:5" ht="15.75">
      <c r="B38" s="52"/>
      <c r="C38" s="440" t="s">
        <v>60</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245</v>
      </c>
      <c r="C40" s="77"/>
      <c r="D40" s="77"/>
      <c r="E40" s="77"/>
    </row>
    <row r="41" spans="2:5" ht="15.75">
      <c r="B41" s="14"/>
      <c r="C41" s="416" t="s">
        <v>246</v>
      </c>
      <c r="D41" s="419" t="s">
        <v>247</v>
      </c>
      <c r="E41" s="23" t="s">
        <v>248</v>
      </c>
    </row>
    <row r="42" spans="2:5" ht="15.75">
      <c r="B42" s="528">
        <f>inputPrYr!B22</f>
        <v>0</v>
      </c>
      <c r="C42" s="417" t="str">
        <f>C5</f>
        <v>Actual 2010</v>
      </c>
      <c r="D42" s="417" t="str">
        <f>D5</f>
        <v>Estimate 2011</v>
      </c>
      <c r="E42" s="26" t="str">
        <f>E5</f>
        <v>Year 2012</v>
      </c>
    </row>
    <row r="43" spans="2:5" ht="15.75">
      <c r="B43" s="27" t="s">
        <v>356</v>
      </c>
      <c r="C43" s="29"/>
      <c r="D43" s="418">
        <f>C70</f>
        <v>0</v>
      </c>
      <c r="E43" s="32">
        <f>D70</f>
        <v>0</v>
      </c>
    </row>
    <row r="44" spans="2:5" ht="15.75">
      <c r="B44" s="27" t="s">
        <v>358</v>
      </c>
      <c r="C44" s="418"/>
      <c r="D44" s="418"/>
      <c r="E44" s="33"/>
    </row>
    <row r="45" spans="2:5" ht="15.75">
      <c r="B45" s="27" t="s">
        <v>251</v>
      </c>
      <c r="C45" s="29"/>
      <c r="D45" s="418">
        <f>inputPrYr!E22</f>
        <v>0</v>
      </c>
      <c r="E45" s="33" t="s">
        <v>46</v>
      </c>
    </row>
    <row r="46" spans="2:5" ht="15.75">
      <c r="B46" s="27" t="s">
        <v>252</v>
      </c>
      <c r="C46" s="29"/>
      <c r="D46" s="29"/>
      <c r="E46" s="34"/>
    </row>
    <row r="47" spans="2:5" ht="15.75">
      <c r="B47" s="27" t="s">
        <v>253</v>
      </c>
      <c r="C47" s="29"/>
      <c r="D47" s="29"/>
      <c r="E47" s="32">
        <f>mvalloc!G17</f>
        <v>0</v>
      </c>
    </row>
    <row r="48" spans="2:5" ht="15.75">
      <c r="B48" s="27" t="s">
        <v>254</v>
      </c>
      <c r="C48" s="29"/>
      <c r="D48" s="29"/>
      <c r="E48" s="32">
        <f>mvalloc!I17</f>
        <v>0</v>
      </c>
    </row>
    <row r="49" spans="2:5" ht="15.75">
      <c r="B49" s="27" t="s">
        <v>337</v>
      </c>
      <c r="C49" s="29"/>
      <c r="D49" s="29"/>
      <c r="E49" s="32">
        <f>mvalloc!J17</f>
        <v>0</v>
      </c>
    </row>
    <row r="50" spans="2:5" ht="15.75">
      <c r="B50" s="27" t="s">
        <v>401</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256</v>
      </c>
      <c r="C54" s="29"/>
      <c r="D54" s="29"/>
      <c r="E54" s="34"/>
    </row>
    <row r="55" spans="2:5" ht="15.75">
      <c r="B55" s="39" t="s">
        <v>458</v>
      </c>
      <c r="C55" s="29"/>
      <c r="D55" s="29"/>
      <c r="E55" s="34"/>
    </row>
    <row r="56" spans="2:5" ht="15.75">
      <c r="B56" s="39" t="s">
        <v>459</v>
      </c>
      <c r="C56" s="415">
        <f>IF(C57*0.1&lt;C55,"Exceed 10% Rule","")</f>
      </c>
      <c r="D56" s="415">
        <f>IF(D57*0.1&lt;D55,"Exceed 10% Rule","")</f>
      </c>
      <c r="E56" s="45">
        <f>IF(E57*0.1+E76&lt;E55,"Exceed 10% Rule","")</f>
      </c>
    </row>
    <row r="57" spans="2:5" ht="15.75">
      <c r="B57" s="41" t="s">
        <v>257</v>
      </c>
      <c r="C57" s="420">
        <f>SUM(C45:C55)</f>
        <v>0</v>
      </c>
      <c r="D57" s="420">
        <f>SUM(D45:D55)</f>
        <v>0</v>
      </c>
      <c r="E57" s="42">
        <f>SUM(E45:E55)</f>
        <v>0</v>
      </c>
    </row>
    <row r="58" spans="2:5" ht="15.75">
      <c r="B58" s="43" t="s">
        <v>258</v>
      </c>
      <c r="C58" s="420">
        <f>C57+C43</f>
        <v>0</v>
      </c>
      <c r="D58" s="420">
        <f>D57+D43</f>
        <v>0</v>
      </c>
      <c r="E58" s="42">
        <f>E57+E43</f>
        <v>0</v>
      </c>
    </row>
    <row r="59" spans="2:5" ht="15.75">
      <c r="B59" s="27" t="s">
        <v>259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460</v>
      </c>
      <c r="C66" s="29"/>
      <c r="D66" s="29"/>
      <c r="E66" s="46">
        <f>nhood!E12</f>
      </c>
    </row>
    <row r="67" spans="2:5" ht="15.75">
      <c r="B67" s="35" t="s">
        <v>458</v>
      </c>
      <c r="C67" s="29"/>
      <c r="D67" s="29"/>
      <c r="E67" s="34"/>
    </row>
    <row r="68" spans="2:5" ht="15.75">
      <c r="B68" s="35" t="s">
        <v>57</v>
      </c>
      <c r="C68" s="415">
        <f>IF(C69*0.1&lt;C67,"Exceed 10% Rule","")</f>
      </c>
      <c r="D68" s="415">
        <f>IF(D69*0.1&lt;D67,"Exceed 10% Rule","")</f>
      </c>
      <c r="E68" s="45">
        <f>IF(E69*0.1&lt;E67,"Exceed 10% Rule","")</f>
      </c>
    </row>
    <row r="69" spans="2:5" ht="15.75">
      <c r="B69" s="43" t="s">
        <v>260</v>
      </c>
      <c r="C69" s="420">
        <f>SUM(C60:C67)</f>
        <v>0</v>
      </c>
      <c r="D69" s="420">
        <f>SUM(D60:D67)</f>
        <v>0</v>
      </c>
      <c r="E69" s="42">
        <f>SUM(E60:E67)</f>
        <v>0</v>
      </c>
    </row>
    <row r="70" spans="2:5" ht="15.75">
      <c r="B70" s="27" t="s">
        <v>357</v>
      </c>
      <c r="C70" s="413">
        <f>C58-C69</f>
        <v>0</v>
      </c>
      <c r="D70" s="413">
        <f>D58-D69</f>
        <v>0</v>
      </c>
      <c r="E70" s="33" t="s">
        <v>46</v>
      </c>
    </row>
    <row r="71" spans="2:6" ht="15.75">
      <c r="B71" s="48" t="str">
        <f>CONCATENATE("",E1-2,"/",E1-1," Budget Authority Amount:")</f>
        <v>2010/2011 Budget Authority Amount:</v>
      </c>
      <c r="C71" s="143">
        <f>inputOth!B52</f>
        <v>0</v>
      </c>
      <c r="D71" s="172">
        <f>inputPrYr!D22</f>
        <v>0</v>
      </c>
      <c r="E71" s="33" t="s">
        <v>46</v>
      </c>
      <c r="F71" s="50"/>
    </row>
    <row r="72" spans="2:6" ht="15.75">
      <c r="B72" s="48"/>
      <c r="C72" s="655" t="s">
        <v>58</v>
      </c>
      <c r="D72" s="656"/>
      <c r="E72" s="602"/>
      <c r="F72" s="50">
        <f>IF(E69/0.95-E69&lt;E72,"Exceeds 5%","")</f>
      </c>
    </row>
    <row r="73" spans="2:6" ht="15.75">
      <c r="B73" s="436" t="str">
        <f>CONCATENATE(C90,"     ",D90)</f>
        <v>     </v>
      </c>
      <c r="C73" s="657" t="s">
        <v>59</v>
      </c>
      <c r="D73" s="658"/>
      <c r="E73" s="32">
        <f>E69+E72</f>
        <v>0</v>
      </c>
      <c r="F73" s="50"/>
    </row>
    <row r="74" spans="2:5" ht="15.75">
      <c r="B74" s="436" t="str">
        <f>CONCATENATE(C91,"     ",D91)</f>
        <v>     </v>
      </c>
      <c r="C74" s="60"/>
      <c r="D74" s="52" t="s">
        <v>262</v>
      </c>
      <c r="E74" s="46">
        <f>IF(E73-E58&gt;0,E73-E58,0)</f>
        <v>0</v>
      </c>
    </row>
    <row r="75" spans="2:5" ht="15.75">
      <c r="B75" s="52"/>
      <c r="C75" s="440" t="s">
        <v>60</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SEVEN TOWNSHIP</v>
      </c>
      <c r="C1" s="14"/>
      <c r="D1" s="14"/>
      <c r="E1" s="15">
        <f>inputPrYr!D5</f>
        <v>2012</v>
      </c>
    </row>
    <row r="2" spans="2:5" ht="15.75">
      <c r="B2" s="17"/>
      <c r="C2" s="14"/>
      <c r="D2" s="62"/>
      <c r="E2" s="63"/>
    </row>
    <row r="3" spans="2:5" ht="15.75">
      <c r="B3" s="603" t="s">
        <v>533</v>
      </c>
      <c r="C3" s="77"/>
      <c r="D3" s="77"/>
      <c r="E3" s="77"/>
    </row>
    <row r="4" spans="2:5" ht="15.75">
      <c r="B4" s="22" t="s">
        <v>245</v>
      </c>
      <c r="C4" s="416" t="s">
        <v>246</v>
      </c>
      <c r="D4" s="419" t="s">
        <v>247</v>
      </c>
      <c r="E4" s="23" t="s">
        <v>248</v>
      </c>
    </row>
    <row r="5" spans="2:5" ht="15.75">
      <c r="B5" s="437">
        <f>inputPrYr!B23</f>
        <v>0</v>
      </c>
      <c r="C5" s="417" t="str">
        <f>gen!C5</f>
        <v>Actual 2010</v>
      </c>
      <c r="D5" s="417" t="str">
        <f>gen!D5</f>
        <v>Estimate 2011</v>
      </c>
      <c r="E5" s="26" t="str">
        <f>gen!E5</f>
        <v>Year 2012</v>
      </c>
    </row>
    <row r="6" spans="2:5" ht="15.75">
      <c r="B6" s="27" t="s">
        <v>356</v>
      </c>
      <c r="C6" s="29"/>
      <c r="D6" s="418">
        <f>C33</f>
        <v>0</v>
      </c>
      <c r="E6" s="32">
        <f>D33</f>
        <v>0</v>
      </c>
    </row>
    <row r="7" spans="2:5" ht="15.75">
      <c r="B7" s="27" t="s">
        <v>358</v>
      </c>
      <c r="C7" s="418"/>
      <c r="D7" s="418"/>
      <c r="E7" s="33"/>
    </row>
    <row r="8" spans="2:5" ht="15.75">
      <c r="B8" s="27" t="s">
        <v>251</v>
      </c>
      <c r="C8" s="29"/>
      <c r="D8" s="418">
        <f>inputPrYr!E23</f>
        <v>0</v>
      </c>
      <c r="E8" s="33" t="s">
        <v>46</v>
      </c>
    </row>
    <row r="9" spans="2:5" ht="15.75">
      <c r="B9" s="27" t="s">
        <v>252</v>
      </c>
      <c r="C9" s="29"/>
      <c r="D9" s="29"/>
      <c r="E9" s="34"/>
    </row>
    <row r="10" spans="2:5" ht="15.75">
      <c r="B10" s="27" t="s">
        <v>253</v>
      </c>
      <c r="C10" s="29"/>
      <c r="D10" s="29"/>
      <c r="E10" s="32">
        <f>mvalloc!G18</f>
        <v>0</v>
      </c>
    </row>
    <row r="11" spans="2:5" ht="15.75">
      <c r="B11" s="27" t="s">
        <v>254</v>
      </c>
      <c r="C11" s="29"/>
      <c r="D11" s="29"/>
      <c r="E11" s="32">
        <f>mvalloc!I18</f>
        <v>0</v>
      </c>
    </row>
    <row r="12" spans="2:5" ht="15.75">
      <c r="B12" s="27" t="s">
        <v>337</v>
      </c>
      <c r="C12" s="29"/>
      <c r="D12" s="29"/>
      <c r="E12" s="32">
        <f>mvalloc!J18</f>
        <v>0</v>
      </c>
    </row>
    <row r="13" spans="2:5" ht="15.75">
      <c r="B13" s="27" t="s">
        <v>401</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256</v>
      </c>
      <c r="C17" s="29"/>
      <c r="D17" s="29"/>
      <c r="E17" s="34"/>
    </row>
    <row r="18" spans="2:5" ht="15.75">
      <c r="B18" s="39" t="s">
        <v>458</v>
      </c>
      <c r="C18" s="29"/>
      <c r="D18" s="29"/>
      <c r="E18" s="34"/>
    </row>
    <row r="19" spans="2:5" ht="15.75">
      <c r="B19" s="39" t="s">
        <v>459</v>
      </c>
      <c r="C19" s="415">
        <f>IF(C20*0.1&lt;C18,"Exceed 10% Rule","")</f>
      </c>
      <c r="D19" s="415">
        <f>IF(D20*0.1&lt;D18,"Exceed 10% Rule","")</f>
      </c>
      <c r="E19" s="45">
        <f>IF(E20*0.1+E39&lt;E18,"Exceed 10% Rule","")</f>
      </c>
    </row>
    <row r="20" spans="2:5" ht="15.75">
      <c r="B20" s="41" t="s">
        <v>257</v>
      </c>
      <c r="C20" s="420">
        <f>SUM(C8:C18)</f>
        <v>0</v>
      </c>
      <c r="D20" s="420">
        <f>SUM(D8:D18)</f>
        <v>0</v>
      </c>
      <c r="E20" s="42">
        <f>SUM(E8:E18)</f>
        <v>0</v>
      </c>
    </row>
    <row r="21" spans="2:5" ht="15.75">
      <c r="B21" s="43" t="s">
        <v>258</v>
      </c>
      <c r="C21" s="420">
        <f>C20+C6</f>
        <v>0</v>
      </c>
      <c r="D21" s="420">
        <f>D20+D6</f>
        <v>0</v>
      </c>
      <c r="E21" s="42">
        <f>E20+E6</f>
        <v>0</v>
      </c>
    </row>
    <row r="22" spans="2:5" ht="15.75">
      <c r="B22" s="27" t="s">
        <v>259</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460</v>
      </c>
      <c r="C29" s="29"/>
      <c r="D29" s="29"/>
      <c r="E29" s="46">
        <f>nhood!E13</f>
      </c>
    </row>
    <row r="30" spans="2:5" ht="15.75">
      <c r="B30" s="35" t="s">
        <v>458</v>
      </c>
      <c r="C30" s="29"/>
      <c r="D30" s="29"/>
      <c r="E30" s="34"/>
    </row>
    <row r="31" spans="2:5" ht="15.75">
      <c r="B31" s="35" t="s">
        <v>57</v>
      </c>
      <c r="C31" s="415">
        <f>IF(C32*0.1&lt;C30,"Exceed 10% Rule","")</f>
      </c>
      <c r="D31" s="415">
        <f>IF(D32*0.1&lt;D30,"Exceed 10% Rule","")</f>
      </c>
      <c r="E31" s="45">
        <f>IF(E32*0.1&lt;E30,"Exceed 10% Rule","")</f>
      </c>
    </row>
    <row r="32" spans="2:5" ht="15.75">
      <c r="B32" s="43" t="s">
        <v>260</v>
      </c>
      <c r="C32" s="420">
        <f>SUM(C23:C30)</f>
        <v>0</v>
      </c>
      <c r="D32" s="420">
        <f>SUM(D23:D30)</f>
        <v>0</v>
      </c>
      <c r="E32" s="42">
        <f>SUM(E23:E30)</f>
        <v>0</v>
      </c>
    </row>
    <row r="33" spans="2:5" ht="15.75">
      <c r="B33" s="27" t="s">
        <v>357</v>
      </c>
      <c r="C33" s="413">
        <f>C21-C32</f>
        <v>0</v>
      </c>
      <c r="D33" s="413">
        <f>D21-D32</f>
        <v>0</v>
      </c>
      <c r="E33" s="33" t="s">
        <v>46</v>
      </c>
    </row>
    <row r="34" spans="2:6" ht="15.75">
      <c r="B34" s="48" t="str">
        <f>CONCATENATE("",E1-2,"/",E1-1," Budget Authority Amount:")</f>
        <v>2010/2011 Budget Authority Amount:</v>
      </c>
      <c r="C34" s="143">
        <f>inputOth!B53</f>
        <v>0</v>
      </c>
      <c r="D34" s="172">
        <f>inputPrYr!D23</f>
        <v>0</v>
      </c>
      <c r="E34" s="33" t="s">
        <v>46</v>
      </c>
      <c r="F34" s="50"/>
    </row>
    <row r="35" spans="2:6" ht="15.75">
      <c r="B35" s="48"/>
      <c r="C35" s="655" t="s">
        <v>58</v>
      </c>
      <c r="D35" s="656"/>
      <c r="E35" s="34"/>
      <c r="F35" s="50">
        <f>IF(E32/0.95-E32&lt;E35,"Exceeds 5%","")</f>
      </c>
    </row>
    <row r="36" spans="2:5" ht="15.75">
      <c r="B36" s="436" t="str">
        <f>CONCATENATE(C88,"     ",D88)</f>
        <v>     </v>
      </c>
      <c r="C36" s="657" t="s">
        <v>59</v>
      </c>
      <c r="D36" s="658"/>
      <c r="E36" s="32">
        <f>E32+E35</f>
        <v>0</v>
      </c>
    </row>
    <row r="37" spans="2:5" ht="15.75">
      <c r="B37" s="436" t="str">
        <f>CONCATENATE(C89,"     ",D89)</f>
        <v>     </v>
      </c>
      <c r="C37" s="60"/>
      <c r="D37" s="52" t="s">
        <v>262</v>
      </c>
      <c r="E37" s="46">
        <f>IF(E36-E21&gt;0,E36-E21,0)</f>
        <v>0</v>
      </c>
    </row>
    <row r="38" spans="2:5" ht="15.75">
      <c r="B38" s="52"/>
      <c r="C38" s="440" t="s">
        <v>60</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245</v>
      </c>
      <c r="C40" s="77"/>
      <c r="D40" s="77"/>
      <c r="E40" s="77"/>
    </row>
    <row r="41" spans="2:5" ht="15.75">
      <c r="B41" s="14"/>
      <c r="C41" s="416" t="s">
        <v>246</v>
      </c>
      <c r="D41" s="419" t="s">
        <v>247</v>
      </c>
      <c r="E41" s="23" t="s">
        <v>248</v>
      </c>
    </row>
    <row r="42" spans="2:5" ht="15.75">
      <c r="B42" s="528">
        <f>inputPrYr!B24</f>
        <v>0</v>
      </c>
      <c r="C42" s="417" t="str">
        <f>C5</f>
        <v>Actual 2010</v>
      </c>
      <c r="D42" s="417" t="str">
        <f>D5</f>
        <v>Estimate 2011</v>
      </c>
      <c r="E42" s="26" t="str">
        <f>E5</f>
        <v>Year 2012</v>
      </c>
    </row>
    <row r="43" spans="2:5" ht="15.75">
      <c r="B43" s="27" t="s">
        <v>356</v>
      </c>
      <c r="C43" s="29"/>
      <c r="D43" s="418">
        <f>C70</f>
        <v>0</v>
      </c>
      <c r="E43" s="32">
        <f>D70</f>
        <v>0</v>
      </c>
    </row>
    <row r="44" spans="2:5" ht="15.75">
      <c r="B44" s="27" t="s">
        <v>358</v>
      </c>
      <c r="C44" s="418"/>
      <c r="D44" s="418"/>
      <c r="E44" s="33"/>
    </row>
    <row r="45" spans="2:5" ht="15.75">
      <c r="B45" s="27" t="s">
        <v>251</v>
      </c>
      <c r="C45" s="29"/>
      <c r="D45" s="418">
        <f>inputPrYr!E24</f>
        <v>0</v>
      </c>
      <c r="E45" s="33" t="s">
        <v>46</v>
      </c>
    </row>
    <row r="46" spans="2:5" ht="15.75">
      <c r="B46" s="27" t="s">
        <v>252</v>
      </c>
      <c r="C46" s="29"/>
      <c r="D46" s="29"/>
      <c r="E46" s="34"/>
    </row>
    <row r="47" spans="2:5" ht="15.75">
      <c r="B47" s="27" t="s">
        <v>253</v>
      </c>
      <c r="C47" s="29"/>
      <c r="D47" s="29"/>
      <c r="E47" s="32">
        <f>mvalloc!G19</f>
        <v>0</v>
      </c>
    </row>
    <row r="48" spans="2:5" ht="15.75">
      <c r="B48" s="27" t="s">
        <v>254</v>
      </c>
      <c r="C48" s="29"/>
      <c r="D48" s="29"/>
      <c r="E48" s="32">
        <f>mvalloc!I19</f>
        <v>0</v>
      </c>
    </row>
    <row r="49" spans="2:5" ht="15.75">
      <c r="B49" s="27" t="s">
        <v>337</v>
      </c>
      <c r="C49" s="29"/>
      <c r="D49" s="29"/>
      <c r="E49" s="32">
        <f>mvalloc!J19</f>
        <v>0</v>
      </c>
    </row>
    <row r="50" spans="2:5" ht="15.75">
      <c r="B50" s="27" t="s">
        <v>401</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256</v>
      </c>
      <c r="C54" s="29"/>
      <c r="D54" s="29"/>
      <c r="E54" s="34"/>
    </row>
    <row r="55" spans="2:5" ht="15.75">
      <c r="B55" s="39" t="s">
        <v>458</v>
      </c>
      <c r="C55" s="29"/>
      <c r="D55" s="29"/>
      <c r="E55" s="34"/>
    </row>
    <row r="56" spans="2:5" ht="15.75">
      <c r="B56" s="39" t="s">
        <v>459</v>
      </c>
      <c r="C56" s="415">
        <f>IF(C57*0.1&lt;C55,"Exceed 10% Rule","")</f>
      </c>
      <c r="D56" s="415">
        <f>IF(D57*0.1&lt;D55,"Exceed 10% Rule","")</f>
      </c>
      <c r="E56" s="45">
        <f>IF(E57*0.1+E76&lt;E55,"Exceed 10% Rule","")</f>
      </c>
    </row>
    <row r="57" spans="2:5" ht="15.75">
      <c r="B57" s="41" t="s">
        <v>257</v>
      </c>
      <c r="C57" s="420">
        <f>SUM(C45:C55)</f>
        <v>0</v>
      </c>
      <c r="D57" s="420">
        <f>SUM(D45:D55)</f>
        <v>0</v>
      </c>
      <c r="E57" s="42">
        <f>SUM(E45:E55)</f>
        <v>0</v>
      </c>
    </row>
    <row r="58" spans="2:5" ht="15.75">
      <c r="B58" s="43" t="s">
        <v>258</v>
      </c>
      <c r="C58" s="420">
        <f>C57+C43</f>
        <v>0</v>
      </c>
      <c r="D58" s="420">
        <f>D57+D43</f>
        <v>0</v>
      </c>
      <c r="E58" s="42">
        <f>E57+E43</f>
        <v>0</v>
      </c>
    </row>
    <row r="59" spans="2:5" ht="15.75">
      <c r="B59" s="27" t="s">
        <v>259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460</v>
      </c>
      <c r="C66" s="29"/>
      <c r="D66" s="29"/>
      <c r="E66" s="46">
        <f>nhood!E14</f>
      </c>
    </row>
    <row r="67" spans="2:5" ht="15.75">
      <c r="B67" s="35" t="s">
        <v>458</v>
      </c>
      <c r="C67" s="29"/>
      <c r="D67" s="29"/>
      <c r="E67" s="34"/>
    </row>
    <row r="68" spans="2:5" ht="15.75">
      <c r="B68" s="35" t="s">
        <v>57</v>
      </c>
      <c r="C68" s="415">
        <f>IF(C69*0.1&lt;C67,"Exceed 10% Rule","")</f>
      </c>
      <c r="D68" s="415">
        <f>IF(D69*0.1&lt;D67,"Exceed 10% Rule","")</f>
      </c>
      <c r="E68" s="45">
        <f>IF(E69*0.1&lt;E67,"Exceed 10% Rule","")</f>
      </c>
    </row>
    <row r="69" spans="2:5" ht="15.75">
      <c r="B69" s="43" t="s">
        <v>260</v>
      </c>
      <c r="C69" s="420">
        <f>SUM(C60:C67)</f>
        <v>0</v>
      </c>
      <c r="D69" s="420">
        <f>SUM(D60:D67)</f>
        <v>0</v>
      </c>
      <c r="E69" s="42">
        <f>SUM(E60:E67)</f>
        <v>0</v>
      </c>
    </row>
    <row r="70" spans="2:5" ht="15.75">
      <c r="B70" s="27" t="s">
        <v>357</v>
      </c>
      <c r="C70" s="413">
        <f>C58-C69</f>
        <v>0</v>
      </c>
      <c r="D70" s="413">
        <f>D58-D69</f>
        <v>0</v>
      </c>
      <c r="E70" s="33" t="s">
        <v>46</v>
      </c>
    </row>
    <row r="71" spans="2:6" ht="15.75">
      <c r="B71" s="48" t="str">
        <f>CONCATENATE("",E1-2,"/",E1-1," Budget Authority Amount:")</f>
        <v>2010/2011 Budget Authority Amount:</v>
      </c>
      <c r="C71" s="143">
        <f>inputOth!B54</f>
        <v>0</v>
      </c>
      <c r="D71" s="172">
        <f>inputPrYr!D24</f>
        <v>0</v>
      </c>
      <c r="E71" s="33" t="s">
        <v>46</v>
      </c>
      <c r="F71" s="50"/>
    </row>
    <row r="72" spans="2:6" ht="15.75">
      <c r="B72" s="48"/>
      <c r="C72" s="655" t="s">
        <v>58</v>
      </c>
      <c r="D72" s="656"/>
      <c r="E72" s="34"/>
      <c r="F72" s="50">
        <f>IF(E69/0.95-E69&lt;E72,"Exceeds 5%","")</f>
      </c>
    </row>
    <row r="73" spans="2:5" ht="15.75">
      <c r="B73" s="48"/>
      <c r="C73" s="657" t="s">
        <v>59</v>
      </c>
      <c r="D73" s="658"/>
      <c r="E73" s="32">
        <f>E69+E72</f>
        <v>0</v>
      </c>
    </row>
    <row r="74" spans="2:5" ht="15.75">
      <c r="B74" s="48"/>
      <c r="C74" s="60"/>
      <c r="D74" s="52" t="s">
        <v>262</v>
      </c>
      <c r="E74" s="46">
        <f>IF(E73-E58&gt;0,E73-E58,0)</f>
        <v>0</v>
      </c>
    </row>
    <row r="75" spans="2:5" ht="15.75">
      <c r="B75" s="52"/>
      <c r="C75" s="440" t="s">
        <v>60</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3">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SEVEN TOWNSHIP</v>
      </c>
      <c r="C1" s="14"/>
      <c r="D1" s="14"/>
      <c r="E1" s="15">
        <f>inputPrYr!D5</f>
        <v>2012</v>
      </c>
    </row>
    <row r="2" spans="2:5" ht="15.75">
      <c r="B2" s="14"/>
      <c r="C2" s="14"/>
      <c r="D2" s="14"/>
      <c r="E2" s="52"/>
    </row>
    <row r="3" spans="2:5" ht="15.75">
      <c r="B3" s="17" t="s">
        <v>381</v>
      </c>
      <c r="C3" s="77"/>
      <c r="D3" s="77"/>
      <c r="E3" s="77"/>
    </row>
    <row r="4" spans="2:5" ht="15.75">
      <c r="B4" s="22" t="s">
        <v>245</v>
      </c>
      <c r="C4" s="80" t="s">
        <v>246</v>
      </c>
      <c r="D4" s="23" t="s">
        <v>247</v>
      </c>
      <c r="E4" s="23" t="s">
        <v>248</v>
      </c>
    </row>
    <row r="5" spans="2:5" ht="15.75">
      <c r="B5" s="437">
        <f>inputPrYr!B28</f>
        <v>0</v>
      </c>
      <c r="C5" s="26" t="str">
        <f>gen!C5</f>
        <v>Actual 2010</v>
      </c>
      <c r="D5" s="26" t="str">
        <f>gen!D5</f>
        <v>Estimate 2011</v>
      </c>
      <c r="E5" s="26" t="str">
        <f>gen!E5</f>
        <v>Year 2012</v>
      </c>
    </row>
    <row r="6" spans="2:5" ht="15.75">
      <c r="B6" s="94" t="s">
        <v>382</v>
      </c>
      <c r="C6" s="34"/>
      <c r="D6" s="32">
        <f>C29</f>
        <v>0</v>
      </c>
      <c r="E6" s="32">
        <f>D29</f>
        <v>0</v>
      </c>
    </row>
    <row r="7" spans="2:5" s="16" customFormat="1" ht="15.75">
      <c r="B7" s="95" t="s">
        <v>358</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256</v>
      </c>
      <c r="C12" s="34"/>
      <c r="D12" s="34"/>
      <c r="E12" s="34"/>
    </row>
    <row r="13" spans="2:5" ht="15.75">
      <c r="B13" s="39" t="s">
        <v>458</v>
      </c>
      <c r="C13" s="34"/>
      <c r="D13" s="30"/>
      <c r="E13" s="30"/>
    </row>
    <row r="14" spans="2:5" ht="15.75">
      <c r="B14" s="39" t="s">
        <v>459</v>
      </c>
      <c r="C14" s="45">
        <f>IF(C15*0.1&lt;C13,"Exceed 10% Rule","")</f>
      </c>
      <c r="D14" s="40">
        <f>IF(D15*0.1&lt;D13,"Exceed 10% Rule","")</f>
      </c>
      <c r="E14" s="40">
        <f>IF(E15*0.1&lt;E13,"Exceed 10% Rule","")</f>
      </c>
    </row>
    <row r="15" spans="2:5" ht="15.75">
      <c r="B15" s="43" t="s">
        <v>257</v>
      </c>
      <c r="C15" s="42">
        <f>SUM(C8:C13)</f>
        <v>0</v>
      </c>
      <c r="D15" s="42">
        <f>SUM(D8:D13)</f>
        <v>0</v>
      </c>
      <c r="E15" s="42">
        <f>SUM(E8:E13)</f>
        <v>0</v>
      </c>
    </row>
    <row r="16" spans="2:5" ht="15.75">
      <c r="B16" s="43" t="s">
        <v>258</v>
      </c>
      <c r="C16" s="42">
        <f>C6+C15</f>
        <v>0</v>
      </c>
      <c r="D16" s="42">
        <f>D6+D15</f>
        <v>0</v>
      </c>
      <c r="E16" s="42">
        <f>E6+E15</f>
        <v>0</v>
      </c>
    </row>
    <row r="17" spans="2:5" ht="15.75">
      <c r="B17" s="27" t="s">
        <v>259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458</v>
      </c>
      <c r="C26" s="34"/>
      <c r="D26" s="30"/>
      <c r="E26" s="30"/>
    </row>
    <row r="27" spans="2:5" ht="15.75">
      <c r="B27" s="35" t="s">
        <v>57</v>
      </c>
      <c r="C27" s="45">
        <f>IF(C28*0.1&lt;C26,"Exceed 10% Rule","")</f>
      </c>
      <c r="D27" s="40">
        <f>IF(D28*0.1&lt;D26,"Exceed 10% Rule","")</f>
      </c>
      <c r="E27" s="40">
        <f>IF(E28*0.1&lt;E26,"Exceed 10% Rule","")</f>
      </c>
    </row>
    <row r="28" spans="2:5" ht="15.75">
      <c r="B28" s="43" t="s">
        <v>260</v>
      </c>
      <c r="C28" s="42">
        <f>SUM(C18:C26)</f>
        <v>0</v>
      </c>
      <c r="D28" s="42">
        <f>SUM(D18:D26)</f>
        <v>0</v>
      </c>
      <c r="E28" s="42">
        <f>SUM(E18:E26)</f>
        <v>0</v>
      </c>
    </row>
    <row r="29" spans="2:5" ht="15.75">
      <c r="B29" s="27" t="s">
        <v>357</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245</v>
      </c>
      <c r="C34" s="77"/>
      <c r="D34" s="77"/>
      <c r="E34" s="77"/>
    </row>
    <row r="35" spans="2:5" ht="15.75">
      <c r="B35" s="14"/>
      <c r="C35" s="80" t="s">
        <v>246</v>
      </c>
      <c r="D35" s="23" t="s">
        <v>247</v>
      </c>
      <c r="E35" s="23" t="s">
        <v>248</v>
      </c>
    </row>
    <row r="36" spans="2:5" ht="15.75">
      <c r="B36" s="528">
        <f>inputPrYr!B29</f>
        <v>0</v>
      </c>
      <c r="C36" s="26" t="str">
        <f>C5</f>
        <v>Actual 2010</v>
      </c>
      <c r="D36" s="26" t="str">
        <f>D5</f>
        <v>Estimate 2011</v>
      </c>
      <c r="E36" s="26" t="str">
        <f>E5</f>
        <v>Year 2012</v>
      </c>
    </row>
    <row r="37" spans="2:5" ht="15.75">
      <c r="B37" s="94" t="s">
        <v>382</v>
      </c>
      <c r="C37" s="34"/>
      <c r="D37" s="32">
        <f>C60</f>
        <v>0</v>
      </c>
      <c r="E37" s="32">
        <f>D60</f>
        <v>0</v>
      </c>
    </row>
    <row r="38" spans="2:5" s="16" customFormat="1" ht="15.75">
      <c r="B38" s="94" t="s">
        <v>358</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256</v>
      </c>
      <c r="C43" s="34"/>
      <c r="D43" s="34"/>
      <c r="E43" s="34"/>
    </row>
    <row r="44" spans="2:5" ht="15.75">
      <c r="B44" s="39" t="s">
        <v>458</v>
      </c>
      <c r="C44" s="34"/>
      <c r="D44" s="30"/>
      <c r="E44" s="30"/>
    </row>
    <row r="45" spans="2:5" ht="15.75">
      <c r="B45" s="39" t="s">
        <v>459</v>
      </c>
      <c r="C45" s="45">
        <f>IF(C46*0.1&lt;C44,"Exceed 10% Rule","")</f>
      </c>
      <c r="D45" s="40">
        <f>IF(D46*0.1&lt;D44,"Exceed 10% Rule","")</f>
      </c>
      <c r="E45" s="40">
        <f>IF(E46*0.1&lt;E44,"Exceed 10% Rule","")</f>
      </c>
    </row>
    <row r="46" spans="2:5" ht="15.75">
      <c r="B46" s="43" t="s">
        <v>257</v>
      </c>
      <c r="C46" s="42">
        <f>SUM(C39:C44)</f>
        <v>0</v>
      </c>
      <c r="D46" s="42">
        <f>SUM(D39:D44)</f>
        <v>0</v>
      </c>
      <c r="E46" s="42">
        <f>SUM(E39:E44)</f>
        <v>0</v>
      </c>
    </row>
    <row r="47" spans="2:5" ht="15.75">
      <c r="B47" s="43" t="s">
        <v>258</v>
      </c>
      <c r="C47" s="42">
        <f>C37+C46</f>
        <v>0</v>
      </c>
      <c r="D47" s="42">
        <f>D37+D46</f>
        <v>0</v>
      </c>
      <c r="E47" s="42">
        <f>E37+E46</f>
        <v>0</v>
      </c>
    </row>
    <row r="48" spans="2:5" ht="15.75">
      <c r="B48" s="27" t="s">
        <v>259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458</v>
      </c>
      <c r="C57" s="34"/>
      <c r="D57" s="30"/>
      <c r="E57" s="30"/>
    </row>
    <row r="58" spans="2:5" ht="15.75">
      <c r="B58" s="35" t="s">
        <v>57</v>
      </c>
      <c r="C58" s="45">
        <f>IF(C59*0.1&lt;C57,"Exceed 10% Rule","")</f>
      </c>
      <c r="D58" s="40">
        <f>IF(D59*0.1&lt;D57,"Exceed 10% Rule","")</f>
      </c>
      <c r="E58" s="40">
        <f>IF(E59*0.1&lt;E57,"Exceed 10% Rule","")</f>
      </c>
    </row>
    <row r="59" spans="2:5" ht="15.75">
      <c r="B59" s="43" t="s">
        <v>260</v>
      </c>
      <c r="C59" s="42">
        <f>SUM(C49:C57)</f>
        <v>0</v>
      </c>
      <c r="D59" s="42">
        <f>SUM(D49:D57)</f>
        <v>0</v>
      </c>
      <c r="E59" s="42">
        <f>SUM(E49:E57)</f>
        <v>0</v>
      </c>
    </row>
    <row r="60" spans="2:5" ht="15.75">
      <c r="B60" s="27" t="s">
        <v>357</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244</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SEVEN TOWNSHIP</v>
      </c>
      <c r="B1" s="100"/>
      <c r="C1" s="101"/>
      <c r="D1" s="101"/>
      <c r="E1" s="101"/>
      <c r="F1" s="102" t="s">
        <v>561</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562</v>
      </c>
      <c r="B3" s="101"/>
      <c r="C3" s="101"/>
      <c r="D3" s="101"/>
      <c r="E3" s="101"/>
      <c r="F3" s="100"/>
      <c r="G3" s="101"/>
      <c r="H3" s="101"/>
      <c r="I3" s="101"/>
      <c r="J3" s="101"/>
      <c r="K3" s="101"/>
    </row>
    <row r="4" spans="1:11" ht="15.75">
      <c r="A4" s="101" t="s">
        <v>563</v>
      </c>
      <c r="B4" s="101"/>
      <c r="C4" s="101" t="s">
        <v>564</v>
      </c>
      <c r="D4" s="101"/>
      <c r="E4" s="101" t="s">
        <v>565</v>
      </c>
      <c r="F4" s="100"/>
      <c r="G4" s="101" t="s">
        <v>566</v>
      </c>
      <c r="H4" s="101"/>
      <c r="I4" s="101" t="s">
        <v>567</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568</v>
      </c>
      <c r="B6" s="107"/>
      <c r="C6" s="108" t="s">
        <v>568</v>
      </c>
      <c r="D6" s="109"/>
      <c r="E6" s="108" t="s">
        <v>568</v>
      </c>
      <c r="F6" s="110"/>
      <c r="G6" s="108" t="s">
        <v>568</v>
      </c>
      <c r="H6" s="104"/>
      <c r="I6" s="108" t="s">
        <v>568</v>
      </c>
      <c r="J6" s="101"/>
      <c r="K6" s="111" t="s">
        <v>32</v>
      </c>
    </row>
    <row r="7" spans="1:11" ht="15.75">
      <c r="A7" s="112" t="s">
        <v>569</v>
      </c>
      <c r="B7" s="113"/>
      <c r="C7" s="114" t="s">
        <v>569</v>
      </c>
      <c r="D7" s="113"/>
      <c r="E7" s="114" t="s">
        <v>569</v>
      </c>
      <c r="F7" s="113"/>
      <c r="G7" s="114" t="s">
        <v>569</v>
      </c>
      <c r="H7" s="113"/>
      <c r="I7" s="114" t="s">
        <v>569</v>
      </c>
      <c r="J7" s="113"/>
      <c r="K7" s="115">
        <f>SUM(B7+D7+F7+H7+J7)</f>
        <v>0</v>
      </c>
    </row>
    <row r="8" spans="1:11" ht="15.75">
      <c r="A8" s="116" t="s">
        <v>358</v>
      </c>
      <c r="B8" s="117"/>
      <c r="C8" s="116" t="s">
        <v>358</v>
      </c>
      <c r="D8" s="118"/>
      <c r="E8" s="116" t="s">
        <v>358</v>
      </c>
      <c r="F8" s="100"/>
      <c r="G8" s="116" t="s">
        <v>358</v>
      </c>
      <c r="H8" s="101"/>
      <c r="I8" s="116" t="s">
        <v>358</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257</v>
      </c>
      <c r="B17" s="115">
        <f>SUM(B9:B16)</f>
        <v>0</v>
      </c>
      <c r="C17" s="116" t="s">
        <v>257</v>
      </c>
      <c r="D17" s="115">
        <f>SUM(D9:D16)</f>
        <v>0</v>
      </c>
      <c r="E17" s="116" t="s">
        <v>257</v>
      </c>
      <c r="F17" s="129">
        <f>SUM(F9:F16)</f>
        <v>0</v>
      </c>
      <c r="G17" s="116" t="s">
        <v>257</v>
      </c>
      <c r="H17" s="115">
        <f>SUM(H9:H16)</f>
        <v>0</v>
      </c>
      <c r="I17" s="116" t="s">
        <v>257</v>
      </c>
      <c r="J17" s="115">
        <f>SUM(J9:J16)</f>
        <v>0</v>
      </c>
      <c r="K17" s="115">
        <f>SUM(B17+D17+F17+H17+J17)</f>
        <v>0</v>
      </c>
    </row>
    <row r="18" spans="1:11" ht="15.75">
      <c r="A18" s="116" t="s">
        <v>258</v>
      </c>
      <c r="B18" s="115">
        <f>SUM(B7+B17)</f>
        <v>0</v>
      </c>
      <c r="C18" s="116" t="s">
        <v>258</v>
      </c>
      <c r="D18" s="115">
        <f>SUM(D7+D17)</f>
        <v>0</v>
      </c>
      <c r="E18" s="116" t="s">
        <v>258</v>
      </c>
      <c r="F18" s="115">
        <f>SUM(F7+F17)</f>
        <v>0</v>
      </c>
      <c r="G18" s="116" t="s">
        <v>258</v>
      </c>
      <c r="H18" s="115">
        <f>SUM(H7+H17)</f>
        <v>0</v>
      </c>
      <c r="I18" s="116" t="s">
        <v>258</v>
      </c>
      <c r="J18" s="115">
        <f>SUM(J7+J17)</f>
        <v>0</v>
      </c>
      <c r="K18" s="115">
        <f>SUM(B18+D18+F18+H18+J18)</f>
        <v>0</v>
      </c>
    </row>
    <row r="19" spans="1:11" ht="15.75">
      <c r="A19" s="116" t="s">
        <v>259</v>
      </c>
      <c r="B19" s="117"/>
      <c r="C19" s="116" t="s">
        <v>259</v>
      </c>
      <c r="D19" s="118"/>
      <c r="E19" s="116" t="s">
        <v>259</v>
      </c>
      <c r="F19" s="100"/>
      <c r="G19" s="116" t="s">
        <v>259</v>
      </c>
      <c r="H19" s="101"/>
      <c r="I19" s="116" t="s">
        <v>259</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260</v>
      </c>
      <c r="B28" s="115">
        <f>SUM(B20:B27)</f>
        <v>0</v>
      </c>
      <c r="C28" s="116" t="s">
        <v>260</v>
      </c>
      <c r="D28" s="115">
        <f>SUM(D20:D27)</f>
        <v>0</v>
      </c>
      <c r="E28" s="116" t="s">
        <v>260</v>
      </c>
      <c r="F28" s="129">
        <f>SUM(F20:F27)</f>
        <v>0</v>
      </c>
      <c r="G28" s="116" t="s">
        <v>260</v>
      </c>
      <c r="H28" s="129">
        <f>SUM(H20:H27)</f>
        <v>0</v>
      </c>
      <c r="I28" s="116" t="s">
        <v>260</v>
      </c>
      <c r="J28" s="115">
        <f>SUM(J20:J27)</f>
        <v>0</v>
      </c>
      <c r="K28" s="115">
        <f>SUM(B28+D28+F28+H28+J28)</f>
        <v>0</v>
      </c>
    </row>
    <row r="29" spans="1:12" ht="15.75">
      <c r="A29" s="116" t="s">
        <v>570</v>
      </c>
      <c r="B29" s="115">
        <f>SUM(B18-B28)</f>
        <v>0</v>
      </c>
      <c r="C29" s="116" t="s">
        <v>570</v>
      </c>
      <c r="D29" s="115">
        <f>SUM(D18-D28)</f>
        <v>0</v>
      </c>
      <c r="E29" s="116" t="s">
        <v>570</v>
      </c>
      <c r="F29" s="115">
        <f>SUM(F18-F28)</f>
        <v>0</v>
      </c>
      <c r="G29" s="116" t="s">
        <v>570</v>
      </c>
      <c r="H29" s="115">
        <f>SUM(H18-H28)</f>
        <v>0</v>
      </c>
      <c r="I29" s="116" t="s">
        <v>570</v>
      </c>
      <c r="J29" s="115">
        <f>SUM(J18-J28)</f>
        <v>0</v>
      </c>
      <c r="K29" s="130">
        <f>SUM(B29+D29+F29+H29+J29)</f>
        <v>0</v>
      </c>
      <c r="L29" s="91" t="s">
        <v>571</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571</v>
      </c>
    </row>
    <row r="31" spans="1:11" ht="15.75">
      <c r="A31" s="101"/>
      <c r="B31" s="131"/>
      <c r="C31" s="101"/>
      <c r="D31" s="100"/>
      <c r="E31" s="101"/>
      <c r="F31" s="101"/>
      <c r="G31" s="132" t="s">
        <v>572</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244</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580</v>
      </c>
    </row>
    <row r="2" ht="54.75" customHeight="1">
      <c r="A2" s="176" t="s">
        <v>581</v>
      </c>
    </row>
    <row r="3" ht="15.75">
      <c r="A3" s="177"/>
    </row>
    <row r="4" ht="56.25" customHeight="1">
      <c r="A4" s="176" t="s">
        <v>582</v>
      </c>
    </row>
    <row r="5" ht="15.75">
      <c r="A5" s="91"/>
    </row>
    <row r="6" ht="50.25" customHeight="1">
      <c r="A6" s="176" t="s">
        <v>583</v>
      </c>
    </row>
    <row r="7" ht="16.5" customHeight="1">
      <c r="A7" s="176"/>
    </row>
    <row r="8" ht="50.25" customHeight="1">
      <c r="A8" s="532" t="s">
        <v>526</v>
      </c>
    </row>
    <row r="9" ht="15.75">
      <c r="A9" s="177"/>
    </row>
    <row r="10" ht="40.5" customHeight="1">
      <c r="A10" s="176" t="s">
        <v>584</v>
      </c>
    </row>
    <row r="11" ht="15.75">
      <c r="A11" s="91"/>
    </row>
    <row r="12" ht="40.5" customHeight="1">
      <c r="A12" s="176" t="s">
        <v>585</v>
      </c>
    </row>
    <row r="13" ht="15.75">
      <c r="A13" s="177"/>
    </row>
    <row r="14" ht="71.25" customHeight="1">
      <c r="A14" s="176" t="s">
        <v>119</v>
      </c>
    </row>
    <row r="15" ht="15.75">
      <c r="A15" s="177"/>
    </row>
    <row r="16" ht="40.5" customHeight="1">
      <c r="A16" s="176" t="s">
        <v>120</v>
      </c>
    </row>
    <row r="17" ht="15.75">
      <c r="A17" s="91"/>
    </row>
    <row r="18" ht="49.5" customHeight="1">
      <c r="A18" s="176" t="s">
        <v>121</v>
      </c>
    </row>
    <row r="19" ht="15.75">
      <c r="A19" s="177"/>
    </row>
    <row r="20" ht="52.5" customHeight="1">
      <c r="A20" s="176" t="s">
        <v>122</v>
      </c>
    </row>
    <row r="21" ht="15.75">
      <c r="A21" s="177"/>
    </row>
    <row r="22" ht="48.75" customHeight="1">
      <c r="A22" s="176" t="s">
        <v>123</v>
      </c>
    </row>
    <row r="23" ht="15.75">
      <c r="A23" s="177"/>
    </row>
    <row r="24" ht="15.75">
      <c r="A24" s="91"/>
    </row>
    <row r="25" ht="51.75" customHeight="1">
      <c r="A25" s="176" t="s">
        <v>124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1">
      <selection activeCell="D41" sqref="D4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26</v>
      </c>
      <c r="B1" s="14"/>
      <c r="C1" s="14"/>
      <c r="D1" s="14"/>
      <c r="E1" s="14"/>
    </row>
    <row r="2" spans="1:5" ht="15.75">
      <c r="A2" s="79" t="s">
        <v>472</v>
      </c>
      <c r="B2" s="14"/>
      <c r="C2" s="14"/>
      <c r="D2" s="408" t="s">
        <v>227</v>
      </c>
      <c r="E2" s="19"/>
    </row>
    <row r="3" spans="1:5" ht="15.75">
      <c r="A3" s="79" t="s">
        <v>471</v>
      </c>
      <c r="B3" s="14"/>
      <c r="C3" s="14"/>
      <c r="D3" s="409" t="s">
        <v>714</v>
      </c>
      <c r="E3" s="19"/>
    </row>
    <row r="4" spans="1:5" ht="15.75">
      <c r="A4" s="14"/>
      <c r="B4" s="14"/>
      <c r="C4" s="14"/>
      <c r="D4" s="14"/>
      <c r="E4" s="14"/>
    </row>
    <row r="5" spans="1:5" ht="15.75">
      <c r="A5" s="17" t="s">
        <v>384</v>
      </c>
      <c r="B5" s="14"/>
      <c r="C5" s="14"/>
      <c r="D5" s="332">
        <v>2012</v>
      </c>
      <c r="E5" s="14"/>
    </row>
    <row r="6" spans="1:5" ht="15.75">
      <c r="A6" s="14"/>
      <c r="B6" s="14"/>
      <c r="C6" s="14"/>
      <c r="D6" s="14"/>
      <c r="E6" s="14"/>
    </row>
    <row r="7" spans="1:5" ht="15.75">
      <c r="A7" s="155" t="s">
        <v>386</v>
      </c>
      <c r="B7" s="159"/>
      <c r="C7" s="159"/>
      <c r="D7" s="159"/>
      <c r="E7" s="159"/>
    </row>
    <row r="8" spans="1:5" ht="15.75">
      <c r="A8" s="155" t="s">
        <v>443</v>
      </c>
      <c r="B8" s="159"/>
      <c r="C8" s="159"/>
      <c r="D8" s="159"/>
      <c r="E8" s="159"/>
    </row>
    <row r="9" spans="1:5" ht="15.75">
      <c r="A9" s="14"/>
      <c r="B9" s="14"/>
      <c r="C9" s="14"/>
      <c r="D9" s="14"/>
      <c r="E9" s="14"/>
    </row>
    <row r="10" spans="1:5" ht="15.75">
      <c r="A10" s="633" t="s">
        <v>397</v>
      </c>
      <c r="B10" s="634"/>
      <c r="C10" s="634"/>
      <c r="D10" s="634"/>
      <c r="E10" s="634"/>
    </row>
    <row r="11" spans="1:5" ht="15.75">
      <c r="A11" s="79"/>
      <c r="B11" s="14"/>
      <c r="C11" s="14"/>
      <c r="D11" s="14"/>
      <c r="E11" s="14"/>
    </row>
    <row r="12" spans="1:5" ht="15.75">
      <c r="A12" s="333" t="s">
        <v>385</v>
      </c>
      <c r="B12" s="319"/>
      <c r="C12" s="14"/>
      <c r="D12" s="49"/>
      <c r="E12" s="334"/>
    </row>
    <row r="13" spans="1:5" ht="15.75">
      <c r="A13" s="335" t="str">
        <f>CONCATENATE("the ",D5-1," Budget, Certificate Page:")</f>
        <v>the 2011 Budget, Certificate Page:</v>
      </c>
      <c r="B13" s="336"/>
      <c r="C13" s="49"/>
      <c r="D13" s="14"/>
      <c r="E13" s="14"/>
    </row>
    <row r="14" spans="1:5" ht="15.75">
      <c r="A14" s="335" t="s">
        <v>551</v>
      </c>
      <c r="B14" s="336"/>
      <c r="C14" s="49"/>
      <c r="D14" s="337">
        <f>$D$5-1</f>
        <v>2011</v>
      </c>
      <c r="E14" s="338">
        <f>$D$5-2</f>
        <v>2010</v>
      </c>
    </row>
    <row r="15" spans="1:5" ht="15.75">
      <c r="A15" s="22" t="s">
        <v>28</v>
      </c>
      <c r="B15" s="14"/>
      <c r="C15" s="339" t="s">
        <v>27</v>
      </c>
      <c r="D15" s="340" t="s">
        <v>579</v>
      </c>
      <c r="E15" s="341" t="s">
        <v>251</v>
      </c>
    </row>
    <row r="16" spans="1:5" ht="15.75">
      <c r="A16" s="14"/>
      <c r="B16" s="83" t="s">
        <v>29</v>
      </c>
      <c r="C16" s="172" t="s">
        <v>30</v>
      </c>
      <c r="D16" s="200">
        <v>25300</v>
      </c>
      <c r="E16" s="200">
        <v>5243</v>
      </c>
    </row>
    <row r="17" spans="1:5" ht="15.75">
      <c r="A17" s="14"/>
      <c r="B17" s="83" t="s">
        <v>535</v>
      </c>
      <c r="C17" s="172" t="s">
        <v>391</v>
      </c>
      <c r="D17" s="200"/>
      <c r="E17" s="200"/>
    </row>
    <row r="18" spans="1:5" ht="15.75">
      <c r="A18" s="14"/>
      <c r="B18" s="83" t="s">
        <v>31</v>
      </c>
      <c r="C18" s="192" t="s">
        <v>550</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5243</v>
      </c>
    </row>
    <row r="26" spans="1:5" ht="15.75">
      <c r="A26" s="19"/>
      <c r="B26" s="19"/>
      <c r="C26" s="19"/>
      <c r="D26" s="24"/>
      <c r="E26" s="151"/>
    </row>
    <row r="27" spans="1:5" ht="15.75">
      <c r="A27" s="14" t="s">
        <v>380</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25300</v>
      </c>
      <c r="E30" s="14"/>
    </row>
    <row r="31" spans="1:5" ht="15.75">
      <c r="A31" s="14"/>
      <c r="B31" s="14"/>
      <c r="C31" s="14"/>
      <c r="D31" s="14"/>
      <c r="E31" s="14"/>
    </row>
    <row r="32" spans="1:5" ht="15.75">
      <c r="A32" s="300" t="s">
        <v>573</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385</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1.543</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1.543</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5503</v>
      </c>
    </row>
    <row r="53" spans="1:5" ht="15.75">
      <c r="A53" s="353" t="str">
        <f>CONCATENATE("Assessed Valuation (",D5-2," budget column)")</f>
        <v>Assessed Valuation (2010 budget column)</v>
      </c>
      <c r="B53" s="354"/>
      <c r="C53" s="291"/>
      <c r="D53" s="28"/>
      <c r="E53" s="200">
        <v>3566232</v>
      </c>
    </row>
    <row r="54" spans="1:5" ht="15.75">
      <c r="A54" s="300"/>
      <c r="B54" s="19"/>
      <c r="C54" s="19"/>
      <c r="D54" s="19"/>
      <c r="E54" s="310"/>
    </row>
    <row r="55" spans="1:5" ht="15.75">
      <c r="A55" s="14"/>
      <c r="B55" s="14"/>
      <c r="C55" s="14"/>
      <c r="D55" s="14"/>
      <c r="E55" s="55"/>
    </row>
    <row r="56" spans="1:5" ht="15.75">
      <c r="A56" s="319" t="s">
        <v>444</v>
      </c>
      <c r="B56" s="319"/>
      <c r="C56" s="140"/>
      <c r="D56" s="355">
        <f>D5-3</f>
        <v>2009</v>
      </c>
      <c r="E56" s="355">
        <f>D5-2</f>
        <v>2010</v>
      </c>
    </row>
    <row r="57" spans="1:5" ht="15.75">
      <c r="A57" s="352" t="s">
        <v>406</v>
      </c>
      <c r="B57" s="352"/>
      <c r="C57" s="356"/>
      <c r="D57" s="36"/>
      <c r="E57" s="36"/>
    </row>
    <row r="58" spans="1:5" ht="15.75">
      <c r="A58" s="354" t="s">
        <v>407</v>
      </c>
      <c r="B58" s="354"/>
      <c r="C58" s="357"/>
      <c r="D58" s="36"/>
      <c r="E58" s="36"/>
    </row>
    <row r="59" spans="1:5" ht="15.75">
      <c r="A59" s="354" t="s">
        <v>408</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D45" sqref="D4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308</v>
      </c>
      <c r="C1" s="156"/>
      <c r="D1" s="156"/>
      <c r="E1" s="156"/>
      <c r="F1" s="156"/>
      <c r="G1" s="156"/>
      <c r="H1" s="156"/>
      <c r="I1" s="156">
        <f>inputPrYr!D5</f>
        <v>2012</v>
      </c>
    </row>
    <row r="2" spans="2:9" ht="15.75">
      <c r="B2" s="14"/>
      <c r="C2" s="14"/>
      <c r="D2" s="14"/>
      <c r="E2" s="14"/>
      <c r="F2" s="14"/>
      <c r="G2" s="22" t="s">
        <v>271</v>
      </c>
      <c r="H2" s="22" t="s">
        <v>272</v>
      </c>
      <c r="I2" s="14"/>
    </row>
    <row r="3" spans="2:9" ht="15.75">
      <c r="B3" s="618" t="s">
        <v>273</v>
      </c>
      <c r="C3" s="618"/>
      <c r="D3" s="618"/>
      <c r="E3" s="618"/>
      <c r="F3" s="618"/>
      <c r="G3" s="618"/>
      <c r="H3" s="618"/>
      <c r="I3" s="618"/>
    </row>
    <row r="4" spans="2:9" ht="15.75">
      <c r="B4" s="671" t="str">
        <f>inputPrYr!D2</f>
        <v>SEVEN TOWNSHIP</v>
      </c>
      <c r="C4" s="671"/>
      <c r="D4" s="671"/>
      <c r="E4" s="671"/>
      <c r="F4" s="671"/>
      <c r="G4" s="671"/>
      <c r="H4" s="671"/>
      <c r="I4" s="671"/>
    </row>
    <row r="5" spans="2:9" ht="15.75">
      <c r="B5" s="671" t="str">
        <f>inputPrYr!D3</f>
        <v>Morris County</v>
      </c>
      <c r="C5" s="671"/>
      <c r="D5" s="671"/>
      <c r="E5" s="671"/>
      <c r="F5" s="671"/>
      <c r="G5" s="671"/>
      <c r="H5" s="671"/>
      <c r="I5" s="671"/>
    </row>
    <row r="6" spans="2:9" ht="15.75">
      <c r="B6" s="670" t="str">
        <f>CONCATENATE("will meet on ",inputBudSum!B5," at ",inputBudSum!B7," at ",inputBudSum!B9," for the purpose of hearing and")</f>
        <v>will meet on August 9, 2011 at 7:00 p.m. at Grandview Community Building for the purpose of hearing and</v>
      </c>
      <c r="C6" s="670"/>
      <c r="D6" s="670"/>
      <c r="E6" s="670"/>
      <c r="F6" s="670"/>
      <c r="G6" s="670"/>
      <c r="H6" s="670"/>
      <c r="I6" s="670"/>
    </row>
    <row r="7" spans="2:9" ht="15.75">
      <c r="B7" s="158" t="s">
        <v>813</v>
      </c>
      <c r="C7" s="156"/>
      <c r="D7" s="156"/>
      <c r="E7" s="156"/>
      <c r="F7" s="156"/>
      <c r="G7" s="156"/>
      <c r="H7" s="156"/>
      <c r="I7" s="156"/>
    </row>
    <row r="8" spans="2:9" ht="15.75">
      <c r="B8" s="382" t="str">
        <f>CONCATENATE("Detailed budget information is available at ",inputBudSum!B12," and will be available at this hearing.")</f>
        <v>Detailed budget information is available at Morris County Clerk's Office and will be available at this hearing.</v>
      </c>
      <c r="C8" s="381"/>
      <c r="D8" s="381"/>
      <c r="E8" s="381"/>
      <c r="F8" s="381"/>
      <c r="G8" s="381"/>
      <c r="H8" s="381"/>
      <c r="I8" s="381"/>
    </row>
    <row r="9" spans="2:9" ht="15.75">
      <c r="B9" s="155" t="s">
        <v>309</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266</v>
      </c>
      <c r="E14" s="23"/>
      <c r="F14" s="23" t="s">
        <v>266</v>
      </c>
      <c r="G14" s="166"/>
      <c r="H14" s="647" t="str">
        <f>CONCATENATE("Amount of ",I1-1," Ad Valorem Tax")</f>
        <v>Amount of 2011 Ad Valorem Tax</v>
      </c>
      <c r="I14" s="23" t="s">
        <v>274</v>
      </c>
      <c r="J14" s="160"/>
    </row>
    <row r="15" spans="2:10" ht="15.75">
      <c r="B15" s="14"/>
      <c r="C15" s="167"/>
      <c r="D15" s="167" t="s">
        <v>275</v>
      </c>
      <c r="E15" s="167"/>
      <c r="F15" s="167" t="s">
        <v>275</v>
      </c>
      <c r="G15" s="167" t="s">
        <v>454</v>
      </c>
      <c r="H15" s="668"/>
      <c r="I15" s="167" t="s">
        <v>275</v>
      </c>
      <c r="J15" s="160"/>
    </row>
    <row r="16" spans="2:10" ht="15.75">
      <c r="B16" s="25" t="s">
        <v>42</v>
      </c>
      <c r="C16" s="26" t="s">
        <v>276</v>
      </c>
      <c r="D16" s="26" t="s">
        <v>277</v>
      </c>
      <c r="E16" s="26" t="s">
        <v>276</v>
      </c>
      <c r="F16" s="26" t="s">
        <v>277</v>
      </c>
      <c r="G16" s="26" t="s">
        <v>532</v>
      </c>
      <c r="H16" s="669"/>
      <c r="I16" s="26" t="s">
        <v>277</v>
      </c>
      <c r="J16" s="160"/>
    </row>
    <row r="17" spans="2:10" ht="15.75">
      <c r="B17" s="96" t="str">
        <f>inputPrYr!B16</f>
        <v>General</v>
      </c>
      <c r="C17" s="67">
        <f>IF(gen!$C$50&lt;&gt;0,gen!$C$50,"  ")</f>
        <v>3914</v>
      </c>
      <c r="D17" s="592">
        <f>IF(inputPrYr!D41&gt;0,inputPrYr!D41,"  ")</f>
        <v>1.543</v>
      </c>
      <c r="E17" s="32">
        <f>IF(gen!$D$50&lt;&gt;0,gen!$D$50,"  ")</f>
        <v>5000</v>
      </c>
      <c r="F17" s="253">
        <f>IF(inputOth!D17&gt;0,inputOth!D17,"  ")</f>
        <v>1.397</v>
      </c>
      <c r="G17" s="32">
        <f>IF(gen!$E$50&lt;&gt;0,gen!$E$50,"  ")</f>
        <v>36300</v>
      </c>
      <c r="H17" s="32">
        <f>IF(gen!$E$57&lt;&gt;0,gen!$E$57," ")</f>
        <v>5138</v>
      </c>
      <c r="I17" s="594">
        <f>IF(gen!E57&gt;0,ROUND(H17/$G$35*1000,3)," ")</f>
        <v>1.432</v>
      </c>
      <c r="J17" s="160"/>
    </row>
    <row r="18" spans="2:10" ht="15.75">
      <c r="B18" s="96" t="s">
        <v>535</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73" t="str">
        <f>CONCATENATE("Estimated Value Of One Mill For ",I1,"")</f>
        <v>Estimated Value Of One Mill For 2012</v>
      </c>
      <c r="L19" s="678"/>
      <c r="M19" s="678"/>
      <c r="N19" s="679"/>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529</v>
      </c>
      <c r="L21" s="572"/>
      <c r="M21" s="572"/>
      <c r="N21" s="573">
        <f>ROUND(G35/1000,0)</f>
        <v>3588</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3" t="str">
        <f>CONCATENATE("Want The Mill Rate The Same As For ",I1-1,"?")</f>
        <v>Want The Mill Rate The Same As For 2011?</v>
      </c>
      <c r="L23" s="676"/>
      <c r="M23" s="676"/>
      <c r="N23" s="677"/>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1.397</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-125</v>
      </c>
    </row>
    <row r="29" spans="2:14" ht="16.5" thickBot="1">
      <c r="B29" s="83" t="s">
        <v>44</v>
      </c>
      <c r="C29" s="530" t="str">
        <f>IF(road!C64&lt;&gt;0,road!C64,"  ")</f>
        <v>  </v>
      </c>
      <c r="D29" s="531"/>
      <c r="E29" s="593"/>
      <c r="F29" s="531"/>
      <c r="G29" s="593"/>
      <c r="H29" s="593"/>
      <c r="I29" s="531"/>
      <c r="K29" s="582"/>
      <c r="L29" s="582"/>
      <c r="M29" s="582"/>
      <c r="N29" s="582"/>
    </row>
    <row r="30" spans="2:14" ht="15.75">
      <c r="B30" s="83" t="s">
        <v>45</v>
      </c>
      <c r="C30" s="595">
        <f aca="true" t="shared" si="0" ref="C30:I30">SUM(C17:C29)</f>
        <v>3914</v>
      </c>
      <c r="D30" s="529">
        <f t="shared" si="0"/>
        <v>1.543</v>
      </c>
      <c r="E30" s="595">
        <f t="shared" si="0"/>
        <v>5000</v>
      </c>
      <c r="F30" s="529">
        <f t="shared" si="0"/>
        <v>1.397</v>
      </c>
      <c r="G30" s="595">
        <f t="shared" si="0"/>
        <v>36300</v>
      </c>
      <c r="H30" s="595">
        <f t="shared" si="0"/>
        <v>5138</v>
      </c>
      <c r="I30" s="598">
        <f t="shared" si="0"/>
        <v>1.432</v>
      </c>
      <c r="K30" s="673" t="str">
        <f>CONCATENATE("Impact On Keeping The Same Mill Rate As For ",I1-1,"")</f>
        <v>Impact On Keeping The Same Mill Rate As For 2011</v>
      </c>
      <c r="L30" s="674"/>
      <c r="M30" s="674"/>
      <c r="N30" s="675"/>
    </row>
    <row r="31" spans="2:14" ht="15.75">
      <c r="B31" s="83" t="s">
        <v>278</v>
      </c>
      <c r="C31" s="32">
        <f>transfer!C29</f>
        <v>0</v>
      </c>
      <c r="D31" s="14"/>
      <c r="E31" s="32">
        <f>transfer!D29</f>
        <v>0</v>
      </c>
      <c r="F31" s="62"/>
      <c r="G31" s="32">
        <f>transfer!E29</f>
        <v>0</v>
      </c>
      <c r="H31" s="14"/>
      <c r="I31" s="14"/>
      <c r="K31" s="575"/>
      <c r="L31" s="569"/>
      <c r="M31" s="569"/>
      <c r="N31" s="576"/>
    </row>
    <row r="32" spans="2:14" ht="16.5" thickBot="1">
      <c r="B32" s="83" t="s">
        <v>279</v>
      </c>
      <c r="C32" s="596">
        <f>C30-C31</f>
        <v>3914</v>
      </c>
      <c r="D32" s="14"/>
      <c r="E32" s="596">
        <f>E30-E31</f>
        <v>5000</v>
      </c>
      <c r="F32" s="14"/>
      <c r="G32" s="596">
        <f>G30-G31</f>
        <v>36300</v>
      </c>
      <c r="H32" s="14"/>
      <c r="I32" s="14"/>
      <c r="K32" s="575" t="str">
        <f>CONCATENATE("",I1," Ad Valorem Tax Revenue:")</f>
        <v>2012 Ad Valorem Tax Revenue:</v>
      </c>
      <c r="L32" s="569"/>
      <c r="M32" s="569"/>
      <c r="N32" s="570">
        <f>H30</f>
        <v>5138</v>
      </c>
    </row>
    <row r="33" spans="2:14" ht="16.5" thickTop="1">
      <c r="B33" s="83" t="s">
        <v>280</v>
      </c>
      <c r="C33" s="597">
        <f>inputPrYr!E52</f>
        <v>5503</v>
      </c>
      <c r="D33" s="62"/>
      <c r="E33" s="597">
        <f>inputPrYr!E25</f>
        <v>5243</v>
      </c>
      <c r="F33" s="14"/>
      <c r="G33" s="588" t="s">
        <v>46</v>
      </c>
      <c r="H33" s="14"/>
      <c r="I33" s="14"/>
      <c r="K33" s="575" t="str">
        <f>CONCATENATE("",I1-1," Ad Valorem Tax Revenue:")</f>
        <v>2011 Ad Valorem Tax Revenue:</v>
      </c>
      <c r="L33" s="569"/>
      <c r="M33" s="569"/>
      <c r="N33" s="583">
        <f>ROUND(G35*N25/1000,0)</f>
        <v>5013</v>
      </c>
    </row>
    <row r="34" spans="2:14" ht="15.75">
      <c r="B34" s="279" t="s">
        <v>281</v>
      </c>
      <c r="C34" s="55"/>
      <c r="D34" s="62"/>
      <c r="E34" s="55"/>
      <c r="F34" s="62"/>
      <c r="G34" s="14"/>
      <c r="H34" s="14"/>
      <c r="I34" s="14"/>
      <c r="K34" s="580" t="s">
        <v>530</v>
      </c>
      <c r="L34" s="581"/>
      <c r="M34" s="581"/>
      <c r="N34" s="573">
        <f>N32-N33</f>
        <v>125</v>
      </c>
    </row>
    <row r="35" spans="2:14" ht="15.75">
      <c r="B35" s="606" t="s">
        <v>282</v>
      </c>
      <c r="C35" s="31">
        <f>inputPrYr!E53</f>
        <v>3566232</v>
      </c>
      <c r="D35" s="14"/>
      <c r="E35" s="32">
        <f>inputOth!E28</f>
        <v>3753980</v>
      </c>
      <c r="F35" s="14"/>
      <c r="G35" s="32">
        <f>inputOth!E7</f>
        <v>3588326</v>
      </c>
      <c r="H35" s="14"/>
      <c r="I35" s="14"/>
      <c r="K35" s="574"/>
      <c r="L35" s="574"/>
      <c r="M35" s="574"/>
      <c r="N35" s="582"/>
    </row>
    <row r="36" spans="2:14" ht="15.75">
      <c r="B36" s="22" t="s">
        <v>283</v>
      </c>
      <c r="C36" s="14"/>
      <c r="D36" s="14"/>
      <c r="E36" s="14"/>
      <c r="F36" s="14"/>
      <c r="G36" s="14"/>
      <c r="H36" s="14"/>
      <c r="I36" s="14"/>
      <c r="K36" s="673" t="s">
        <v>531</v>
      </c>
      <c r="L36" s="676"/>
      <c r="M36" s="676"/>
      <c r="N36" s="677"/>
    </row>
    <row r="37" spans="2:14" ht="15.75">
      <c r="B37" s="22" t="s">
        <v>284</v>
      </c>
      <c r="C37" s="171">
        <f>I1-3</f>
        <v>2009</v>
      </c>
      <c r="D37" s="14"/>
      <c r="E37" s="171">
        <f>I1-2</f>
        <v>2010</v>
      </c>
      <c r="F37" s="14"/>
      <c r="G37" s="171">
        <f>I1-1</f>
        <v>2011</v>
      </c>
      <c r="H37" s="14"/>
      <c r="I37" s="14"/>
      <c r="K37" s="575"/>
      <c r="L37" s="569"/>
      <c r="M37" s="569"/>
      <c r="N37" s="576"/>
    </row>
    <row r="38" spans="2:14" ht="15.75">
      <c r="B38" s="22" t="s">
        <v>285</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1.432</v>
      </c>
    </row>
    <row r="39" spans="2:14" ht="15.75">
      <c r="B39" s="22" t="s">
        <v>255</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699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286</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287</v>
      </c>
      <c r="C42" s="14"/>
      <c r="D42" s="14"/>
      <c r="E42" s="14"/>
      <c r="F42" s="14"/>
      <c r="G42" s="14"/>
      <c r="H42" s="14"/>
      <c r="I42" s="14"/>
    </row>
    <row r="43" spans="2:9" ht="15.75">
      <c r="B43" s="14"/>
      <c r="C43" s="14"/>
      <c r="D43" s="14"/>
      <c r="E43" s="14"/>
      <c r="F43" s="14"/>
      <c r="G43" s="14"/>
      <c r="H43" s="14"/>
      <c r="I43" s="14"/>
    </row>
    <row r="44" spans="2:9" ht="15.75">
      <c r="B44" s="672" t="s">
        <v>599</v>
      </c>
      <c r="C44" s="672"/>
      <c r="D44" s="14"/>
      <c r="E44" s="14"/>
      <c r="F44" s="14"/>
      <c r="G44" s="14"/>
      <c r="H44" s="14"/>
      <c r="I44" s="14"/>
    </row>
    <row r="45" spans="2:9" ht="15.75">
      <c r="B45" s="158" t="s">
        <v>288</v>
      </c>
      <c r="C45" s="156"/>
      <c r="D45" s="14"/>
      <c r="E45" s="14"/>
      <c r="F45" s="14"/>
      <c r="G45" s="14"/>
      <c r="H45" s="14"/>
      <c r="I45" s="14"/>
    </row>
    <row r="46" spans="2:9" ht="15.75">
      <c r="B46" s="14"/>
      <c r="C46" s="14"/>
      <c r="D46" s="14"/>
      <c r="E46" s="14"/>
      <c r="F46" s="14"/>
      <c r="G46" s="14"/>
      <c r="H46" s="14"/>
      <c r="I46" s="14"/>
    </row>
    <row r="47" spans="2:9" ht="15.75">
      <c r="B47" s="14"/>
      <c r="C47" s="52" t="s">
        <v>244</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zoomScale="50" zoomScaleNormal="50" workbookViewId="0" topLeftCell="A46">
      <selection activeCell="G25" sqref="A1:G25"/>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zoomScale="50" zoomScaleNormal="50" workbookViewId="0" topLeftCell="A16">
      <selection activeCell="H26" sqref="A1:H26"/>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23">
      <selection activeCell="C38" sqref="C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SEVEN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457</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3588326</v>
      </c>
      <c r="E18" s="14"/>
      <c r="F18" s="140"/>
    </row>
    <row r="19" spans="1:6" ht="15.75">
      <c r="A19" s="14"/>
      <c r="B19" s="14"/>
      <c r="C19" s="14"/>
      <c r="D19" s="14"/>
      <c r="E19" s="14"/>
      <c r="F19" s="140"/>
    </row>
    <row r="20" spans="1:6" ht="15.75">
      <c r="A20" s="14"/>
      <c r="B20" s="682" t="s">
        <v>135</v>
      </c>
      <c r="C20" s="682"/>
      <c r="D20" s="148">
        <f>IF(D18&gt;0,(D18*0.001),"")</f>
        <v>3588.326</v>
      </c>
      <c r="E20" s="14"/>
      <c r="F20" s="140"/>
    </row>
    <row r="21" spans="1:6" ht="15.75">
      <c r="A21" s="14"/>
      <c r="B21" s="48"/>
      <c r="C21" s="48"/>
      <c r="D21" s="149"/>
      <c r="E21" s="14"/>
      <c r="F21" s="140"/>
    </row>
    <row r="22" spans="1:6" ht="15.75">
      <c r="A22" s="680" t="s">
        <v>600</v>
      </c>
      <c r="B22" s="645"/>
      <c r="C22" s="645"/>
      <c r="D22" s="150">
        <f>inputOth!E13</f>
        <v>0</v>
      </c>
      <c r="E22" s="151"/>
      <c r="F22" s="151"/>
    </row>
    <row r="23" spans="1:6" ht="15.75">
      <c r="A23" s="151"/>
      <c r="B23" s="151"/>
      <c r="C23" s="151"/>
      <c r="D23" s="152"/>
      <c r="E23" s="151"/>
      <c r="F23" s="151"/>
    </row>
    <row r="24" spans="1:6" ht="15.75">
      <c r="A24" s="151"/>
      <c r="B24" s="680" t="s">
        <v>601</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814</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244</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367</v>
      </c>
      <c r="B1" s="690"/>
      <c r="C1" s="690"/>
      <c r="D1" s="690"/>
      <c r="E1" s="690"/>
      <c r="F1" s="690"/>
      <c r="G1" s="690"/>
    </row>
    <row r="2" ht="15.75">
      <c r="A2" s="1"/>
    </row>
    <row r="3" spans="1:7" ht="15.75">
      <c r="A3" s="691" t="s">
        <v>368</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SEVEN TOWNSHIP </v>
      </c>
      <c r="I6">
        <f>CONCATENATE(I7)</f>
      </c>
    </row>
    <row r="7" spans="1:7" ht="15.75">
      <c r="A7" s="692" t="str">
        <f>CONCATENATE("   with respect to financing the ",inputPrYr!D5," annual budget for ",(inputPrYr!D2)," , ",(inputPrYr!D3)," , Kansas.")</f>
        <v>   with respect to financing the 2012 annual budget for SEVEN TOWNSHIP , Morris County , Kansas.</v>
      </c>
      <c r="B7" s="685"/>
      <c r="C7" s="685"/>
      <c r="D7" s="685"/>
      <c r="E7" s="685"/>
      <c r="F7" s="685"/>
      <c r="G7" s="685"/>
    </row>
    <row r="8" spans="1:7" ht="15.75">
      <c r="A8" s="685"/>
      <c r="B8" s="685"/>
      <c r="C8" s="685"/>
      <c r="D8" s="685"/>
      <c r="E8" s="685"/>
      <c r="F8" s="685"/>
      <c r="G8" s="685"/>
    </row>
    <row r="9" ht="15.75">
      <c r="A9" s="1"/>
    </row>
    <row r="10" ht="15.75">
      <c r="A10" s="9" t="s">
        <v>369</v>
      </c>
    </row>
    <row r="11" ht="15.75">
      <c r="A11" s="7" t="str">
        <f>CONCATENATE("to finance the ",inputPrYr!D5," ",(inputPrYr!D2)," budget exceed the amount levied to finance the ",inputPrYr!D5-1,"")</f>
        <v>to finance the 2012 SEVEN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SEVEN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374</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6" t="s">
        <v>370</v>
      </c>
      <c r="B18" s="685"/>
      <c r="C18" s="685"/>
      <c r="D18" s="685"/>
      <c r="E18" s="685"/>
      <c r="F18" s="685"/>
      <c r="G18" s="685"/>
    </row>
    <row r="19" spans="1:7" ht="15.75">
      <c r="A19" s="685"/>
      <c r="B19" s="685"/>
      <c r="C19" s="685"/>
      <c r="D19" s="685"/>
      <c r="E19" s="685"/>
      <c r="F19" s="685"/>
      <c r="G19" s="685"/>
    </row>
    <row r="20" ht="15.75">
      <c r="A20" s="2"/>
    </row>
    <row r="21" spans="1:7" ht="15.75">
      <c r="A21" s="686" t="str">
        <f>CONCATENATE("Whereas, ",(inputPrYr!D2)," provides essential services to protect the safety and well being of the citizens of the township; and")</f>
        <v>Whereas, SEVEN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371</v>
      </c>
    </row>
    <row r="25" ht="15.75">
      <c r="A25" s="4"/>
    </row>
    <row r="26" spans="1:7" ht="15.75">
      <c r="A26" s="686" t="str">
        <f>CONCATENATE("NOW, THEREFORE, BE IT RESOLVED by the Board of ",(inputPrYr!D2)," of ",(inputPrYr!D3),", Kansas that is our desire to notify the public of increased property taxes to finance the ",inputPrYr!D5," ",(inputPrYr!D2),"  budget as defined above.")</f>
        <v>NOW, THEREFORE, BE IT RESOLVED by the Board of SEVEN TOWNSHIP of Morris County, Kansas that is our desire to notify the public of increased property taxes to finance the 2012 SEVEN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4" t="str">
        <f>CONCATENATE("Adopted this _________ day of ___________, ",inputPrYr!D5-1," by the ",(inputPrYr!D2)," Board, ",(inputPrYr!D3),", Kansas.")</f>
        <v>Adopted this _________ day of ___________, 2011 by the SEVEN TOWNSHIP Board, Morris County, Kansas.</v>
      </c>
      <c r="B30" s="685"/>
      <c r="C30" s="685"/>
      <c r="D30" s="685"/>
      <c r="E30" s="685"/>
      <c r="F30" s="685"/>
      <c r="G30" s="685"/>
    </row>
    <row r="31" spans="1:7" ht="15.75">
      <c r="A31" s="685"/>
      <c r="B31" s="685"/>
      <c r="C31" s="685"/>
      <c r="D31" s="685"/>
      <c r="E31" s="685"/>
      <c r="F31" s="685"/>
      <c r="G31" s="685"/>
    </row>
    <row r="32" ht="15.75">
      <c r="A32" s="4"/>
    </row>
    <row r="33" spans="4:7" ht="15.75">
      <c r="D33" s="687" t="str">
        <f>CONCATENATE((inputPrYr!D2)," Board")</f>
        <v>SEVEN TOWNSHIP Board</v>
      </c>
      <c r="E33" s="687"/>
      <c r="F33" s="687"/>
      <c r="G33" s="687"/>
    </row>
    <row r="35" spans="4:7" ht="15.75">
      <c r="D35" s="683" t="s">
        <v>372</v>
      </c>
      <c r="E35" s="683"/>
      <c r="F35" s="683"/>
      <c r="G35" s="683"/>
    </row>
    <row r="36" spans="1:7" ht="15.75">
      <c r="A36" s="5"/>
      <c r="D36" s="683" t="s">
        <v>376</v>
      </c>
      <c r="E36" s="683"/>
      <c r="F36" s="683"/>
      <c r="G36" s="683"/>
    </row>
    <row r="37" spans="4:7" ht="15.75">
      <c r="D37" s="683"/>
      <c r="E37" s="683"/>
      <c r="F37" s="683"/>
      <c r="G37" s="683"/>
    </row>
    <row r="38" spans="4:7" ht="15.75">
      <c r="D38" s="683" t="s">
        <v>372</v>
      </c>
      <c r="E38" s="683"/>
      <c r="F38" s="683"/>
      <c r="G38" s="683"/>
    </row>
    <row r="39" spans="1:7" ht="15.75">
      <c r="A39" s="4"/>
      <c r="D39" s="683" t="s">
        <v>377</v>
      </c>
      <c r="E39" s="683"/>
      <c r="F39" s="683"/>
      <c r="G39" s="683"/>
    </row>
    <row r="40" spans="4:7" ht="15.75">
      <c r="D40" s="683"/>
      <c r="E40" s="683"/>
      <c r="F40" s="683"/>
      <c r="G40" s="683"/>
    </row>
    <row r="41" spans="4:7" ht="15.75">
      <c r="D41" s="683" t="s">
        <v>375</v>
      </c>
      <c r="E41" s="683"/>
      <c r="F41" s="683"/>
      <c r="G41" s="683"/>
    </row>
    <row r="42" spans="1:7" ht="15.75">
      <c r="A42" s="4"/>
      <c r="D42" s="683" t="s">
        <v>378</v>
      </c>
      <c r="E42" s="683"/>
      <c r="F42" s="683"/>
      <c r="G42" s="683"/>
    </row>
    <row r="43" ht="15.75">
      <c r="A43" s="6"/>
    </row>
    <row r="44" ht="15.75">
      <c r="A44" s="6"/>
    </row>
    <row r="45" ht="15.75">
      <c r="A45" s="6" t="s">
        <v>373</v>
      </c>
    </row>
    <row r="50" spans="3:4" ht="15.75">
      <c r="C50" s="10" t="s">
        <v>244</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614</v>
      </c>
      <c r="B3" s="380"/>
      <c r="C3" s="380"/>
      <c r="D3" s="380"/>
      <c r="E3" s="380"/>
      <c r="F3" s="380"/>
      <c r="G3" s="380"/>
      <c r="H3" s="380"/>
      <c r="I3" s="380"/>
      <c r="J3" s="380"/>
      <c r="K3" s="380"/>
      <c r="L3" s="380"/>
    </row>
    <row r="5" ht="15.75">
      <c r="A5" s="379" t="s">
        <v>615</v>
      </c>
    </row>
    <row r="6" ht="15.75">
      <c r="A6" s="379" t="str">
        <f>CONCATENATE(inputPrYr!D5-2," 'total expenditures' exceed your ",inputPrYr!D5-2," 'budget authority.'")</f>
        <v>2010 'total expenditures' exceed your 2010 'budget authority.'</v>
      </c>
    </row>
    <row r="7" ht="15.75">
      <c r="A7" s="379"/>
    </row>
    <row r="8" ht="15.75">
      <c r="A8" s="379" t="s">
        <v>616</v>
      </c>
    </row>
    <row r="9" ht="15.75">
      <c r="A9" s="379" t="s">
        <v>617</v>
      </c>
    </row>
    <row r="10" ht="15.75">
      <c r="A10" s="379" t="s">
        <v>618</v>
      </c>
    </row>
    <row r="11" ht="15.75">
      <c r="A11" s="379"/>
    </row>
    <row r="12" ht="15.75">
      <c r="A12" s="379"/>
    </row>
    <row r="13" ht="15.75">
      <c r="A13" s="378" t="s">
        <v>619</v>
      </c>
    </row>
    <row r="15" ht="15.75">
      <c r="A15" s="379" t="s">
        <v>620</v>
      </c>
    </row>
    <row r="16" ht="15.75">
      <c r="A16" s="379" t="str">
        <f>CONCATENATE("(i.e. an audit has not been completed, or the ",inputPrYr!D5," adopted")</f>
        <v>(i.e. an audit has not been completed, or the 2012 adopted</v>
      </c>
    </row>
    <row r="17" ht="15.75">
      <c r="A17" s="379" t="s">
        <v>621</v>
      </c>
    </row>
    <row r="18" ht="15.75">
      <c r="A18" s="379" t="s">
        <v>622</v>
      </c>
    </row>
    <row r="19" ht="15.75">
      <c r="A19" s="379" t="s">
        <v>623</v>
      </c>
    </row>
    <row r="21" ht="15.75">
      <c r="A21" s="378" t="s">
        <v>624</v>
      </c>
    </row>
    <row r="22" ht="15.75">
      <c r="A22" s="378"/>
    </row>
    <row r="23" ht="15.75">
      <c r="A23" s="379" t="s">
        <v>625</v>
      </c>
    </row>
    <row r="24" ht="15.75">
      <c r="A24" s="379" t="s">
        <v>626</v>
      </c>
    </row>
    <row r="25" ht="15.75">
      <c r="A25" s="379" t="str">
        <f>CONCATENATE("particular fund.  If your ",inputPrYr!D5-2," budget was amended, did you")</f>
        <v>particular fund.  If your 2010 budget was amended, did you</v>
      </c>
    </row>
    <row r="26" ht="15.75">
      <c r="A26" s="379" t="s">
        <v>627</v>
      </c>
    </row>
    <row r="27" ht="15.75">
      <c r="A27" s="379"/>
    </row>
    <row r="28" ht="15.75">
      <c r="A28" s="379" t="str">
        <f>CONCATENATE("Next, look to see if any of your ",inputPrYr!D5-2," expenditures can be")</f>
        <v>Next, look to see if any of your 2010 expenditures can be</v>
      </c>
    </row>
    <row r="29" ht="15.75">
      <c r="A29" s="379" t="s">
        <v>628</v>
      </c>
    </row>
    <row r="30" ht="15.75">
      <c r="A30" s="379" t="s">
        <v>629</v>
      </c>
    </row>
    <row r="31" ht="15.75">
      <c r="A31" s="379" t="s">
        <v>630</v>
      </c>
    </row>
    <row r="32" ht="15.75">
      <c r="A32" s="379"/>
    </row>
    <row r="33" ht="15.75">
      <c r="A33" s="379" t="str">
        <f>CONCATENATE("Additionally, do your ",inputPrYr!D5-2," receipts contain a reimbursement")</f>
        <v>Additionally, do your 2010 receipts contain a reimbursement</v>
      </c>
    </row>
    <row r="34" ht="15.75">
      <c r="A34" s="379" t="s">
        <v>631</v>
      </c>
    </row>
    <row r="35" ht="15.75">
      <c r="A35" s="379" t="s">
        <v>632</v>
      </c>
    </row>
    <row r="36" ht="15.75">
      <c r="A36" s="379"/>
    </row>
    <row r="37" ht="15.75">
      <c r="A37" s="379" t="s">
        <v>633</v>
      </c>
    </row>
    <row r="38" ht="15.75">
      <c r="A38" s="379" t="s">
        <v>787</v>
      </c>
    </row>
    <row r="39" ht="15.75">
      <c r="A39" s="379" t="s">
        <v>788</v>
      </c>
    </row>
    <row r="40" ht="15.75">
      <c r="A40" s="379" t="s">
        <v>634</v>
      </c>
    </row>
    <row r="41" ht="15.75">
      <c r="A41" s="379" t="s">
        <v>635</v>
      </c>
    </row>
    <row r="42" ht="15.75">
      <c r="A42" s="379" t="s">
        <v>636</v>
      </c>
    </row>
    <row r="43" ht="15.75">
      <c r="A43" s="379" t="s">
        <v>637</v>
      </c>
    </row>
    <row r="44" ht="15.75">
      <c r="A44" s="379" t="s">
        <v>638</v>
      </c>
    </row>
    <row r="45" ht="15.75">
      <c r="A45" s="379"/>
    </row>
    <row r="46" ht="15.75">
      <c r="A46" s="379" t="s">
        <v>639</v>
      </c>
    </row>
    <row r="47" ht="15.75">
      <c r="A47" s="379" t="s">
        <v>640</v>
      </c>
    </row>
    <row r="48" ht="15.75">
      <c r="A48" s="379" t="s">
        <v>641</v>
      </c>
    </row>
    <row r="49" ht="15.75">
      <c r="A49" s="379"/>
    </row>
    <row r="50" ht="15.75">
      <c r="A50" s="379" t="s">
        <v>642</v>
      </c>
    </row>
    <row r="51" ht="15.75">
      <c r="A51" s="379" t="s">
        <v>643</v>
      </c>
    </row>
    <row r="52" ht="15.75">
      <c r="A52" s="379" t="s">
        <v>644</v>
      </c>
    </row>
    <row r="53" ht="15.75">
      <c r="A53" s="379"/>
    </row>
    <row r="54" ht="15.75">
      <c r="A54" s="378" t="s">
        <v>645</v>
      </c>
    </row>
    <row r="55" ht="15.75">
      <c r="A55" s="379"/>
    </row>
    <row r="56" ht="15.75">
      <c r="A56" s="379" t="s">
        <v>646</v>
      </c>
    </row>
    <row r="57" ht="15.75">
      <c r="A57" s="379" t="s">
        <v>647</v>
      </c>
    </row>
    <row r="58" ht="15.75">
      <c r="A58" s="379" t="s">
        <v>648</v>
      </c>
    </row>
    <row r="59" ht="15.75">
      <c r="A59" s="379" t="s">
        <v>649</v>
      </c>
    </row>
    <row r="60" ht="15.75">
      <c r="A60" s="379" t="s">
        <v>650</v>
      </c>
    </row>
    <row r="61" ht="15.75">
      <c r="A61" s="379" t="s">
        <v>651</v>
      </c>
    </row>
    <row r="62" ht="15.75">
      <c r="A62" s="379" t="s">
        <v>652</v>
      </c>
    </row>
    <row r="63" ht="15.75">
      <c r="A63" s="379" t="s">
        <v>653</v>
      </c>
    </row>
    <row r="64" ht="15.75">
      <c r="A64" s="379" t="s">
        <v>654</v>
      </c>
    </row>
    <row r="65" ht="15.75">
      <c r="A65" s="379" t="s">
        <v>655</v>
      </c>
    </row>
    <row r="66" ht="15.75">
      <c r="A66" s="379" t="s">
        <v>656</v>
      </c>
    </row>
    <row r="67" ht="15.75">
      <c r="A67" s="379" t="s">
        <v>657</v>
      </c>
    </row>
    <row r="68" ht="15.75">
      <c r="A68" s="379" t="s">
        <v>658</v>
      </c>
    </row>
    <row r="69" ht="15.75">
      <c r="A69" s="379"/>
    </row>
    <row r="70" ht="15.75">
      <c r="A70" s="379" t="s">
        <v>659</v>
      </c>
    </row>
    <row r="71" ht="15.75">
      <c r="A71" s="379" t="s">
        <v>660</v>
      </c>
    </row>
    <row r="72" ht="15.75">
      <c r="A72" s="379" t="s">
        <v>661</v>
      </c>
    </row>
    <row r="73" ht="15.75">
      <c r="A73" s="379"/>
    </row>
    <row r="74" ht="15.75">
      <c r="A74" s="378" t="str">
        <f>CONCATENATE("What if the ",inputPrYr!D5-2," financial records have been closed?")</f>
        <v>What if the 2010 financial records have been closed?</v>
      </c>
    </row>
    <row r="76" ht="15.75">
      <c r="A76" s="379" t="s">
        <v>662</v>
      </c>
    </row>
    <row r="77" ht="15.75">
      <c r="A77" s="379" t="str">
        <f>CONCATENATE("(i.e. an audit for ",inputPrYr!D5-2," has been completed, or the ",inputPrYr!D5)</f>
        <v>(i.e. an audit for 2010 has been completed, or the 2012</v>
      </c>
    </row>
    <row r="78" ht="15.75">
      <c r="A78" s="379" t="s">
        <v>663</v>
      </c>
    </row>
    <row r="79" ht="15.75">
      <c r="A79" s="379" t="s">
        <v>664</v>
      </c>
    </row>
    <row r="80" ht="15.75">
      <c r="A80" s="379"/>
    </row>
    <row r="81" ht="15.75">
      <c r="A81" s="379" t="s">
        <v>665</v>
      </c>
    </row>
    <row r="82" ht="15.75">
      <c r="A82" s="379" t="s">
        <v>666</v>
      </c>
    </row>
    <row r="83" ht="15.75">
      <c r="A83" s="379" t="s">
        <v>667</v>
      </c>
    </row>
    <row r="84" ht="15.75">
      <c r="A84" s="379"/>
    </row>
    <row r="85" ht="15.75">
      <c r="A85" s="379" t="s">
        <v>668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669</v>
      </c>
      <c r="B3" s="380"/>
      <c r="C3" s="380"/>
      <c r="D3" s="380"/>
      <c r="E3" s="380"/>
      <c r="F3" s="380"/>
      <c r="G3" s="380"/>
      <c r="H3" s="377"/>
      <c r="I3" s="377"/>
      <c r="J3" s="377"/>
    </row>
    <row r="5" ht="15.75">
      <c r="A5" s="379" t="s">
        <v>670</v>
      </c>
    </row>
    <row r="6" ht="15.75">
      <c r="A6" t="str">
        <f>CONCATENATE(inputPrYr!D5-2," expenditures show that you finished the year with a ")</f>
        <v>2010 expenditures show that you finished the year with a </v>
      </c>
    </row>
    <row r="7" ht="15.75">
      <c r="A7" t="s">
        <v>671</v>
      </c>
    </row>
    <row r="9" ht="15.75">
      <c r="A9" t="s">
        <v>672</v>
      </c>
    </row>
    <row r="10" ht="15.75">
      <c r="A10" t="s">
        <v>673</v>
      </c>
    </row>
    <row r="11" ht="15.75">
      <c r="A11" t="s">
        <v>153</v>
      </c>
    </row>
    <row r="13" ht="15.75">
      <c r="A13" s="378" t="s">
        <v>154</v>
      </c>
    </row>
    <row r="14" ht="15.75">
      <c r="A14" s="378"/>
    </row>
    <row r="15" ht="15.75">
      <c r="A15" s="379" t="s">
        <v>155</v>
      </c>
    </row>
    <row r="16" ht="15.75">
      <c r="A16" s="379" t="s">
        <v>156</v>
      </c>
    </row>
    <row r="17" ht="15.75">
      <c r="A17" s="379" t="s">
        <v>157</v>
      </c>
    </row>
    <row r="18" ht="15.75">
      <c r="A18" s="379"/>
    </row>
    <row r="19" ht="15.75">
      <c r="A19" s="378" t="s">
        <v>158</v>
      </c>
    </row>
    <row r="20" ht="15.75">
      <c r="A20" s="378"/>
    </row>
    <row r="21" ht="15.75">
      <c r="A21" s="379" t="s">
        <v>159</v>
      </c>
    </row>
    <row r="22" ht="15.75">
      <c r="A22" s="379" t="s">
        <v>160</v>
      </c>
    </row>
    <row r="23" ht="15.75">
      <c r="A23" s="379" t="s">
        <v>161</v>
      </c>
    </row>
    <row r="24" ht="15.75">
      <c r="A24" s="379"/>
    </row>
    <row r="25" ht="15.75">
      <c r="A25" s="378" t="s">
        <v>162</v>
      </c>
    </row>
    <row r="26" ht="15.75">
      <c r="A26" s="378"/>
    </row>
    <row r="27" ht="15.75">
      <c r="A27" s="379" t="s">
        <v>163</v>
      </c>
    </row>
    <row r="28" ht="15.75">
      <c r="A28" s="379" t="s">
        <v>164</v>
      </c>
    </row>
    <row r="29" ht="15.75">
      <c r="A29" s="379" t="s">
        <v>165</v>
      </c>
    </row>
    <row r="30" ht="15.75">
      <c r="A30" s="379"/>
    </row>
    <row r="31" ht="15.75">
      <c r="A31" s="378" t="s">
        <v>166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167</v>
      </c>
      <c r="B35" s="379"/>
      <c r="C35" s="379"/>
      <c r="D35" s="379"/>
      <c r="E35" s="379"/>
      <c r="F35" s="379"/>
      <c r="G35" s="379"/>
      <c r="H35" s="379"/>
    </row>
    <row r="36" spans="1:8" ht="15.75">
      <c r="A36" s="379" t="s">
        <v>168</v>
      </c>
      <c r="B36" s="379"/>
      <c r="C36" s="379"/>
      <c r="D36" s="379"/>
      <c r="E36" s="379"/>
      <c r="F36" s="379"/>
      <c r="G36" s="379"/>
      <c r="H36" s="379"/>
    </row>
    <row r="37" spans="1:8" ht="15.75">
      <c r="A37" s="379" t="s">
        <v>169</v>
      </c>
      <c r="B37" s="379"/>
      <c r="C37" s="379"/>
      <c r="D37" s="379"/>
      <c r="E37" s="379"/>
      <c r="F37" s="379"/>
      <c r="G37" s="379"/>
      <c r="H37" s="379"/>
    </row>
    <row r="38" spans="1:8" ht="15.75">
      <c r="A38" s="379" t="s">
        <v>170</v>
      </c>
      <c r="B38" s="379"/>
      <c r="C38" s="379"/>
      <c r="D38" s="379"/>
      <c r="E38" s="379"/>
      <c r="F38" s="379"/>
      <c r="G38" s="379"/>
      <c r="H38" s="379"/>
    </row>
    <row r="39" spans="1:8" ht="15.75">
      <c r="A39" s="379" t="s">
        <v>171</v>
      </c>
      <c r="B39" s="379"/>
      <c r="C39" s="379"/>
      <c r="D39" s="379"/>
      <c r="E39" s="379"/>
      <c r="F39" s="379"/>
      <c r="G39" s="379"/>
      <c r="H39" s="379"/>
    </row>
    <row r="40" spans="1:8" ht="15.75">
      <c r="A40" s="379"/>
      <c r="B40" s="379"/>
      <c r="C40" s="379"/>
      <c r="D40" s="379"/>
      <c r="E40" s="379"/>
      <c r="F40" s="379"/>
      <c r="G40" s="379"/>
      <c r="H40" s="379"/>
    </row>
    <row r="41" spans="1:8" ht="15.75">
      <c r="A41" s="379" t="s">
        <v>172</v>
      </c>
      <c r="B41" s="379"/>
      <c r="C41" s="379"/>
      <c r="D41" s="379"/>
      <c r="E41" s="379"/>
      <c r="F41" s="379"/>
      <c r="G41" s="379"/>
      <c r="H41" s="379"/>
    </row>
    <row r="42" spans="1:8" ht="15.75">
      <c r="A42" s="379" t="s">
        <v>173</v>
      </c>
      <c r="B42" s="379"/>
      <c r="C42" s="379"/>
      <c r="D42" s="379"/>
      <c r="E42" s="379"/>
      <c r="F42" s="379"/>
      <c r="G42" s="379"/>
      <c r="H42" s="379"/>
    </row>
    <row r="43" spans="1:8" ht="15.75">
      <c r="A43" s="379" t="s">
        <v>174</v>
      </c>
      <c r="B43" s="379"/>
      <c r="C43" s="379"/>
      <c r="D43" s="379"/>
      <c r="E43" s="379"/>
      <c r="F43" s="379"/>
      <c r="G43" s="379"/>
      <c r="H43" s="379"/>
    </row>
    <row r="44" spans="1:8" ht="15.75">
      <c r="A44" s="379" t="s">
        <v>175</v>
      </c>
      <c r="B44" s="379"/>
      <c r="C44" s="379"/>
      <c r="D44" s="379"/>
      <c r="E44" s="379"/>
      <c r="F44" s="379"/>
      <c r="G44" s="379"/>
      <c r="H44" s="379"/>
    </row>
    <row r="45" spans="1:8" ht="15.75">
      <c r="A45" s="379"/>
      <c r="B45" s="379"/>
      <c r="C45" s="379"/>
      <c r="D45" s="379"/>
      <c r="E45" s="379"/>
      <c r="F45" s="379"/>
      <c r="G45" s="379"/>
      <c r="H45" s="379"/>
    </row>
    <row r="46" spans="1:8" ht="15.75">
      <c r="A46" s="379" t="s">
        <v>176</v>
      </c>
      <c r="B46" s="379"/>
      <c r="C46" s="379"/>
      <c r="D46" s="379"/>
      <c r="E46" s="379"/>
      <c r="F46" s="379"/>
      <c r="G46" s="379"/>
      <c r="H46" s="379"/>
    </row>
    <row r="47" spans="1:8" ht="15.75">
      <c r="A47" s="379" t="s">
        <v>177</v>
      </c>
      <c r="B47" s="379"/>
      <c r="C47" s="379"/>
      <c r="D47" s="379"/>
      <c r="E47" s="379"/>
      <c r="F47" s="379"/>
      <c r="G47" s="379"/>
      <c r="H47" s="379"/>
    </row>
    <row r="48" spans="1:8" ht="15.75">
      <c r="A48" s="379" t="s">
        <v>178</v>
      </c>
      <c r="B48" s="379"/>
      <c r="C48" s="379"/>
      <c r="D48" s="379"/>
      <c r="E48" s="379"/>
      <c r="F48" s="379"/>
      <c r="G48" s="379"/>
      <c r="H48" s="379"/>
    </row>
    <row r="49" spans="1:8" ht="15.75">
      <c r="A49" s="379" t="s">
        <v>179</v>
      </c>
      <c r="B49" s="379"/>
      <c r="C49" s="379"/>
      <c r="D49" s="379"/>
      <c r="E49" s="379"/>
      <c r="F49" s="379"/>
      <c r="G49" s="379"/>
      <c r="H49" s="379"/>
    </row>
    <row r="50" spans="1:8" ht="15.75">
      <c r="A50" s="379" t="s">
        <v>180</v>
      </c>
      <c r="B50" s="379"/>
      <c r="C50" s="379"/>
      <c r="D50" s="379"/>
      <c r="E50" s="379"/>
      <c r="F50" s="379"/>
      <c r="G50" s="379"/>
      <c r="H50" s="379"/>
    </row>
    <row r="51" spans="1:8" ht="15.75">
      <c r="A51" s="379"/>
      <c r="B51" s="379"/>
      <c r="C51" s="379"/>
      <c r="D51" s="379"/>
      <c r="E51" s="379"/>
      <c r="F51" s="379"/>
      <c r="G51" s="379"/>
      <c r="H51" s="379"/>
    </row>
    <row r="52" spans="1:8" ht="15.75">
      <c r="A52" s="378" t="s">
        <v>181</v>
      </c>
      <c r="B52" s="378"/>
      <c r="C52" s="378"/>
      <c r="D52" s="378"/>
      <c r="E52" s="378"/>
      <c r="F52" s="378"/>
      <c r="G52" s="378"/>
      <c r="H52" s="379"/>
    </row>
    <row r="53" spans="1:8" ht="15.75">
      <c r="A53" s="378" t="s">
        <v>182</v>
      </c>
      <c r="B53" s="378"/>
      <c r="C53" s="378"/>
      <c r="D53" s="378"/>
      <c r="E53" s="378"/>
      <c r="F53" s="378"/>
      <c r="G53" s="378"/>
      <c r="H53" s="379"/>
    </row>
    <row r="54" spans="1:8" ht="15.75">
      <c r="A54" s="379"/>
      <c r="B54" s="379"/>
      <c r="C54" s="379"/>
      <c r="D54" s="379"/>
      <c r="E54" s="379"/>
      <c r="F54" s="379"/>
      <c r="G54" s="379"/>
      <c r="H54" s="379"/>
    </row>
    <row r="55" spans="1:8" ht="15.75">
      <c r="A55" s="379" t="s">
        <v>183</v>
      </c>
      <c r="B55" s="379"/>
      <c r="C55" s="379"/>
      <c r="D55" s="379"/>
      <c r="E55" s="379"/>
      <c r="F55" s="379"/>
      <c r="G55" s="379"/>
      <c r="H55" s="379"/>
    </row>
    <row r="56" spans="1:8" ht="15.75">
      <c r="A56" s="379" t="s">
        <v>184</v>
      </c>
      <c r="B56" s="379"/>
      <c r="C56" s="379"/>
      <c r="D56" s="379"/>
      <c r="E56" s="379"/>
      <c r="F56" s="379"/>
      <c r="G56" s="379"/>
      <c r="H56" s="379"/>
    </row>
    <row r="57" spans="1:8" ht="15.75">
      <c r="A57" s="379" t="s">
        <v>185</v>
      </c>
      <c r="B57" s="379"/>
      <c r="C57" s="379"/>
      <c r="D57" s="379"/>
      <c r="E57" s="379"/>
      <c r="F57" s="379"/>
      <c r="G57" s="379"/>
      <c r="H57" s="379"/>
    </row>
    <row r="58" spans="1:8" ht="15.75">
      <c r="A58" s="379" t="s">
        <v>186</v>
      </c>
      <c r="B58" s="379"/>
      <c r="C58" s="379"/>
      <c r="D58" s="379"/>
      <c r="E58" s="379"/>
      <c r="F58" s="379"/>
      <c r="G58" s="379"/>
      <c r="H58" s="379"/>
    </row>
    <row r="59" spans="1:8" ht="15.75">
      <c r="A59" s="379"/>
      <c r="B59" s="379"/>
      <c r="C59" s="379"/>
      <c r="D59" s="379"/>
      <c r="E59" s="379"/>
      <c r="F59" s="379"/>
      <c r="G59" s="379"/>
      <c r="H59" s="379"/>
    </row>
    <row r="60" spans="1:8" ht="15.75">
      <c r="A60" s="379" t="s">
        <v>187</v>
      </c>
      <c r="B60" s="379"/>
      <c r="C60" s="379"/>
      <c r="D60" s="379"/>
      <c r="E60" s="379"/>
      <c r="F60" s="379"/>
      <c r="G60" s="379"/>
      <c r="H60" s="379"/>
    </row>
    <row r="61" spans="1:8" ht="15.75">
      <c r="A61" s="379" t="s">
        <v>188</v>
      </c>
      <c r="B61" s="379"/>
      <c r="C61" s="379"/>
      <c r="D61" s="379"/>
      <c r="E61" s="379"/>
      <c r="F61" s="379"/>
      <c r="G61" s="379"/>
      <c r="H61" s="379"/>
    </row>
    <row r="62" spans="1:8" ht="15.75">
      <c r="A62" s="379" t="s">
        <v>189</v>
      </c>
      <c r="B62" s="379"/>
      <c r="C62" s="379"/>
      <c r="D62" s="379"/>
      <c r="E62" s="379"/>
      <c r="F62" s="379"/>
      <c r="G62" s="379"/>
      <c r="H62" s="379"/>
    </row>
    <row r="63" spans="1:8" ht="15.75">
      <c r="A63" s="379" t="s">
        <v>190</v>
      </c>
      <c r="B63" s="379"/>
      <c r="C63" s="379"/>
      <c r="D63" s="379"/>
      <c r="E63" s="379"/>
      <c r="F63" s="379"/>
      <c r="G63" s="379"/>
      <c r="H63" s="379"/>
    </row>
    <row r="64" spans="1:8" ht="15.75">
      <c r="A64" s="379" t="s">
        <v>191</v>
      </c>
      <c r="B64" s="379"/>
      <c r="C64" s="379"/>
      <c r="D64" s="379"/>
      <c r="E64" s="379"/>
      <c r="F64" s="379"/>
      <c r="G64" s="379"/>
      <c r="H64" s="379"/>
    </row>
    <row r="65" spans="1:8" ht="15.75">
      <c r="A65" s="379" t="s">
        <v>192</v>
      </c>
      <c r="B65" s="379"/>
      <c r="C65" s="379"/>
      <c r="D65" s="379"/>
      <c r="E65" s="379"/>
      <c r="F65" s="379"/>
      <c r="G65" s="379"/>
      <c r="H65" s="379"/>
    </row>
    <row r="66" spans="1:8" ht="15.75">
      <c r="A66" s="379"/>
      <c r="B66" s="379"/>
      <c r="C66" s="379"/>
      <c r="D66" s="379"/>
      <c r="E66" s="379"/>
      <c r="F66" s="379"/>
      <c r="G66" s="379"/>
      <c r="H66" s="379"/>
    </row>
    <row r="67" spans="1:8" ht="15.75">
      <c r="A67" s="379" t="s">
        <v>193</v>
      </c>
      <c r="B67" s="379"/>
      <c r="C67" s="379"/>
      <c r="D67" s="379"/>
      <c r="E67" s="379"/>
      <c r="F67" s="379"/>
      <c r="G67" s="379"/>
      <c r="H67" s="379"/>
    </row>
    <row r="68" spans="1:8" ht="15.75">
      <c r="A68" s="379" t="s">
        <v>194</v>
      </c>
      <c r="B68" s="379"/>
      <c r="C68" s="379"/>
      <c r="D68" s="379"/>
      <c r="E68" s="379"/>
      <c r="F68" s="379"/>
      <c r="G68" s="379"/>
      <c r="H68" s="379"/>
    </row>
    <row r="69" spans="1:8" ht="15.75">
      <c r="A69" s="379" t="s">
        <v>195</v>
      </c>
      <c r="B69" s="379"/>
      <c r="C69" s="379"/>
      <c r="D69" s="379"/>
      <c r="E69" s="379"/>
      <c r="F69" s="379"/>
      <c r="G69" s="379"/>
      <c r="H69" s="379"/>
    </row>
    <row r="70" spans="1:8" ht="15.75">
      <c r="A70" s="379" t="s">
        <v>196</v>
      </c>
      <c r="B70" s="379"/>
      <c r="C70" s="379"/>
      <c r="D70" s="379"/>
      <c r="E70" s="379"/>
      <c r="F70" s="379"/>
      <c r="G70" s="379"/>
      <c r="H70" s="379"/>
    </row>
    <row r="71" spans="1:8" ht="15.75">
      <c r="A71" s="379" t="s">
        <v>197</v>
      </c>
      <c r="B71" s="379"/>
      <c r="C71" s="379"/>
      <c r="D71" s="379"/>
      <c r="E71" s="379"/>
      <c r="F71" s="379"/>
      <c r="G71" s="379"/>
      <c r="H71" s="379"/>
    </row>
    <row r="72" spans="1:8" ht="15.75">
      <c r="A72" s="379" t="s">
        <v>198</v>
      </c>
      <c r="B72" s="379"/>
      <c r="C72" s="379"/>
      <c r="D72" s="379"/>
      <c r="E72" s="379"/>
      <c r="F72" s="379"/>
      <c r="G72" s="379"/>
      <c r="H72" s="379"/>
    </row>
    <row r="73" spans="1:8" ht="15.75">
      <c r="A73" s="379" t="s">
        <v>199</v>
      </c>
      <c r="B73" s="379"/>
      <c r="C73" s="379"/>
      <c r="D73" s="379"/>
      <c r="E73" s="379"/>
      <c r="F73" s="379"/>
      <c r="G73" s="379"/>
      <c r="H73" s="379"/>
    </row>
    <row r="74" spans="1:8" ht="15.75">
      <c r="A74" s="379"/>
      <c r="B74" s="379"/>
      <c r="C74" s="379"/>
      <c r="D74" s="379"/>
      <c r="E74" s="379"/>
      <c r="F74" s="379"/>
      <c r="G74" s="379"/>
      <c r="H74" s="379"/>
    </row>
    <row r="75" spans="1:8" ht="15.75">
      <c r="A75" s="379" t="s">
        <v>200</v>
      </c>
      <c r="B75" s="379"/>
      <c r="C75" s="379"/>
      <c r="D75" s="379"/>
      <c r="E75" s="379"/>
      <c r="F75" s="379"/>
      <c r="G75" s="379"/>
      <c r="H75" s="379"/>
    </row>
    <row r="76" spans="1:8" ht="15.75">
      <c r="A76" s="379" t="s">
        <v>201</v>
      </c>
      <c r="B76" s="379"/>
      <c r="C76" s="379"/>
      <c r="D76" s="379"/>
      <c r="E76" s="379"/>
      <c r="F76" s="379"/>
      <c r="G76" s="379"/>
      <c r="H76" s="379"/>
    </row>
    <row r="77" spans="1:8" ht="15.75">
      <c r="A77" s="379" t="s">
        <v>202</v>
      </c>
      <c r="B77" s="379"/>
      <c r="C77" s="379"/>
      <c r="D77" s="379"/>
      <c r="E77" s="379"/>
      <c r="F77" s="379"/>
      <c r="G77" s="379"/>
      <c r="H77" s="379"/>
    </row>
    <row r="78" spans="1:8" ht="15.75">
      <c r="A78" s="379"/>
      <c r="B78" s="379"/>
      <c r="C78" s="379"/>
      <c r="D78" s="379"/>
      <c r="E78" s="379"/>
      <c r="F78" s="379"/>
      <c r="G78" s="379"/>
      <c r="H78" s="379"/>
    </row>
    <row r="79" ht="15.75">
      <c r="A79" s="379" t="s">
        <v>668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203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615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204</v>
      </c>
      <c r="I7" s="380"/>
      <c r="J7" s="380"/>
      <c r="K7" s="380"/>
      <c r="L7" s="380"/>
    </row>
    <row r="8" spans="1:12" ht="15.75">
      <c r="A8" s="379"/>
      <c r="I8" s="380"/>
      <c r="J8" s="380"/>
      <c r="K8" s="380"/>
      <c r="L8" s="380"/>
    </row>
    <row r="9" spans="1:12" ht="15.75">
      <c r="A9" s="379" t="s">
        <v>205</v>
      </c>
      <c r="I9" s="380"/>
      <c r="J9" s="380"/>
      <c r="K9" s="380"/>
      <c r="L9" s="380"/>
    </row>
    <row r="10" spans="1:12" ht="15.75">
      <c r="A10" s="379" t="s">
        <v>206</v>
      </c>
      <c r="I10" s="380"/>
      <c r="J10" s="380"/>
      <c r="K10" s="380"/>
      <c r="L10" s="380"/>
    </row>
    <row r="11" spans="1:12" ht="15.75">
      <c r="A11" s="379" t="s">
        <v>207</v>
      </c>
      <c r="I11" s="380"/>
      <c r="J11" s="380"/>
      <c r="K11" s="380"/>
      <c r="L11" s="380"/>
    </row>
    <row r="12" spans="1:12" ht="15.75">
      <c r="A12" s="379" t="s">
        <v>208</v>
      </c>
      <c r="I12" s="380"/>
      <c r="J12" s="380"/>
      <c r="K12" s="380"/>
      <c r="L12" s="380"/>
    </row>
    <row r="13" spans="1:12" ht="15.75">
      <c r="A13" s="379" t="s">
        <v>209</v>
      </c>
      <c r="I13" s="380"/>
      <c r="J13" s="380"/>
      <c r="K13" s="380"/>
      <c r="L13" s="380"/>
    </row>
    <row r="14" spans="1:12" ht="15.75">
      <c r="A14" s="380"/>
      <c r="B14" s="380"/>
      <c r="C14" s="380"/>
      <c r="D14" s="380"/>
      <c r="E14" s="380"/>
      <c r="F14" s="380"/>
      <c r="G14" s="380"/>
      <c r="H14" s="380"/>
      <c r="I14" s="380"/>
      <c r="J14" s="380"/>
      <c r="K14" s="380"/>
      <c r="L14" s="380"/>
    </row>
    <row r="15" ht="15.75">
      <c r="A15" s="378" t="s">
        <v>210</v>
      </c>
    </row>
    <row r="16" ht="15.75">
      <c r="A16" s="378" t="s">
        <v>211</v>
      </c>
    </row>
    <row r="17" ht="15.75">
      <c r="A17" s="378"/>
    </row>
    <row r="18" spans="1:7" ht="15.75">
      <c r="A18" s="379" t="s">
        <v>212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213</v>
      </c>
      <c r="B20" s="379"/>
      <c r="C20" s="379"/>
      <c r="D20" s="379"/>
      <c r="E20" s="379"/>
      <c r="F20" s="379"/>
      <c r="G20" s="379"/>
    </row>
    <row r="21" spans="1:7" ht="15.75">
      <c r="A21" s="379" t="s">
        <v>214</v>
      </c>
      <c r="B21" s="379"/>
      <c r="C21" s="379"/>
      <c r="D21" s="379"/>
      <c r="E21" s="379"/>
      <c r="F21" s="379"/>
      <c r="G21" s="379"/>
    </row>
    <row r="22" ht="15.75">
      <c r="A22" s="379"/>
    </row>
    <row r="23" ht="15.75">
      <c r="A23" s="378" t="s">
        <v>215</v>
      </c>
    </row>
    <row r="24" ht="15.75">
      <c r="A24" s="378"/>
    </row>
    <row r="25" ht="15.75">
      <c r="A25" s="379" t="s">
        <v>216</v>
      </c>
    </row>
    <row r="26" spans="1:6" ht="15.75">
      <c r="A26" s="379" t="s">
        <v>217</v>
      </c>
      <c r="B26" s="379"/>
      <c r="C26" s="379"/>
      <c r="D26" s="379"/>
      <c r="E26" s="379"/>
      <c r="F26" s="379"/>
    </row>
    <row r="27" spans="1:6" ht="15.75">
      <c r="A27" s="379" t="s">
        <v>218</v>
      </c>
      <c r="B27" s="379"/>
      <c r="C27" s="379"/>
      <c r="D27" s="379"/>
      <c r="E27" s="379"/>
      <c r="F27" s="379"/>
    </row>
    <row r="28" spans="1:6" ht="15.75">
      <c r="A28" s="379" t="s">
        <v>219</v>
      </c>
      <c r="B28" s="379"/>
      <c r="C28" s="379"/>
      <c r="D28" s="379"/>
      <c r="E28" s="379"/>
      <c r="F28" s="379"/>
    </row>
    <row r="29" spans="1:6" ht="15.75">
      <c r="A29" s="379"/>
      <c r="B29" s="379"/>
      <c r="C29" s="379"/>
      <c r="D29" s="379"/>
      <c r="E29" s="379"/>
      <c r="F29" s="379"/>
    </row>
    <row r="30" spans="1:7" ht="15.75">
      <c r="A30" s="378" t="s">
        <v>220</v>
      </c>
      <c r="B30" s="378"/>
      <c r="C30" s="378"/>
      <c r="D30" s="378"/>
      <c r="E30" s="378"/>
      <c r="F30" s="378"/>
      <c r="G30" s="378"/>
    </row>
    <row r="31" spans="1:7" ht="15.75">
      <c r="A31" s="378" t="s">
        <v>221</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222</v>
      </c>
      <c r="B34" s="379"/>
      <c r="C34" s="379"/>
      <c r="D34" s="379"/>
      <c r="E34" s="379"/>
      <c r="F34" s="379"/>
    </row>
    <row r="35" spans="1:6" ht="15.75">
      <c r="A35" s="393" t="s">
        <v>629</v>
      </c>
      <c r="B35" s="379"/>
      <c r="C35" s="379"/>
      <c r="D35" s="379"/>
      <c r="E35" s="379"/>
      <c r="F35" s="379"/>
    </row>
    <row r="36" spans="1:6" ht="15.75">
      <c r="A36" s="393" t="s">
        <v>630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631</v>
      </c>
      <c r="B39" s="379"/>
      <c r="C39" s="379"/>
      <c r="D39" s="379"/>
      <c r="E39" s="379"/>
      <c r="F39" s="379"/>
    </row>
    <row r="40" spans="1:6" ht="15.75">
      <c r="A40" s="393" t="s">
        <v>632</v>
      </c>
      <c r="B40" s="379"/>
      <c r="C40" s="379"/>
      <c r="D40" s="379"/>
      <c r="E40" s="379"/>
      <c r="F40" s="379"/>
    </row>
    <row r="41" spans="1:6" ht="15.75">
      <c r="A41" s="393"/>
      <c r="B41" s="379"/>
      <c r="C41" s="379"/>
      <c r="D41" s="379"/>
      <c r="E41" s="379"/>
      <c r="F41" s="379"/>
    </row>
    <row r="42" spans="1:6" ht="15.75">
      <c r="A42" s="393" t="s">
        <v>633</v>
      </c>
      <c r="B42" s="379"/>
      <c r="C42" s="379"/>
      <c r="D42" s="379"/>
      <c r="E42" s="379"/>
      <c r="F42" s="379"/>
    </row>
    <row r="43" spans="1:6" ht="15.75">
      <c r="A43" s="393" t="s">
        <v>787</v>
      </c>
      <c r="B43" s="379"/>
      <c r="C43" s="379"/>
      <c r="D43" s="379"/>
      <c r="E43" s="379"/>
      <c r="F43" s="379"/>
    </row>
    <row r="44" spans="1:6" ht="15.75">
      <c r="A44" s="393" t="s">
        <v>788</v>
      </c>
      <c r="B44" s="379"/>
      <c r="C44" s="379"/>
      <c r="D44" s="379"/>
      <c r="E44" s="379"/>
      <c r="F44" s="379"/>
    </row>
    <row r="45" spans="1:6" ht="15.75">
      <c r="A45" s="393" t="s">
        <v>223</v>
      </c>
      <c r="B45" s="379"/>
      <c r="C45" s="379"/>
      <c r="D45" s="379"/>
      <c r="E45" s="379"/>
      <c r="F45" s="379"/>
    </row>
    <row r="46" spans="1:6" ht="15.75">
      <c r="A46" s="393" t="s">
        <v>635</v>
      </c>
      <c r="B46" s="379"/>
      <c r="C46" s="379"/>
      <c r="D46" s="379"/>
      <c r="E46" s="379"/>
      <c r="F46" s="379"/>
    </row>
    <row r="47" spans="1:6" ht="15.75">
      <c r="A47" s="393" t="s">
        <v>224</v>
      </c>
      <c r="B47" s="379"/>
      <c r="C47" s="379"/>
      <c r="D47" s="379"/>
      <c r="E47" s="379"/>
      <c r="F47" s="379"/>
    </row>
    <row r="48" spans="1:6" ht="15.75">
      <c r="A48" s="393" t="s">
        <v>225</v>
      </c>
      <c r="B48" s="379"/>
      <c r="C48" s="379"/>
      <c r="D48" s="379"/>
      <c r="E48" s="379"/>
      <c r="F48" s="379"/>
    </row>
    <row r="49" spans="1:6" ht="15.75">
      <c r="A49" s="393" t="s">
        <v>638</v>
      </c>
      <c r="B49" s="379"/>
      <c r="C49" s="379"/>
      <c r="D49" s="379"/>
      <c r="E49" s="379"/>
      <c r="F49" s="379"/>
    </row>
    <row r="50" spans="1:6" ht="15.75">
      <c r="A50" s="393"/>
      <c r="B50" s="379"/>
      <c r="C50" s="379"/>
      <c r="D50" s="379"/>
      <c r="E50" s="379"/>
      <c r="F50" s="379"/>
    </row>
    <row r="51" spans="1:6" ht="15.75">
      <c r="A51" s="393" t="s">
        <v>639</v>
      </c>
      <c r="B51" s="379"/>
      <c r="C51" s="379"/>
      <c r="D51" s="379"/>
      <c r="E51" s="379"/>
      <c r="F51" s="379"/>
    </row>
    <row r="52" spans="1:6" ht="15.75">
      <c r="A52" s="393" t="s">
        <v>640</v>
      </c>
      <c r="B52" s="379"/>
      <c r="C52" s="379"/>
      <c r="D52" s="379"/>
      <c r="E52" s="379"/>
      <c r="F52" s="379"/>
    </row>
    <row r="53" spans="1:6" ht="15.75">
      <c r="A53" s="393" t="s">
        <v>641</v>
      </c>
      <c r="B53" s="379"/>
      <c r="C53" s="379"/>
      <c r="D53" s="379"/>
      <c r="E53" s="379"/>
      <c r="F53" s="379"/>
    </row>
    <row r="54" spans="1:6" ht="15.75">
      <c r="A54" s="393"/>
      <c r="B54" s="379"/>
      <c r="C54" s="379"/>
      <c r="D54" s="379"/>
      <c r="E54" s="379"/>
      <c r="F54" s="379"/>
    </row>
    <row r="55" spans="1:6" ht="15.75">
      <c r="A55" s="393" t="s">
        <v>226</v>
      </c>
      <c r="B55" s="379"/>
      <c r="C55" s="379"/>
      <c r="D55" s="379"/>
      <c r="E55" s="379"/>
      <c r="F55" s="379"/>
    </row>
    <row r="56" spans="1:6" ht="15.75">
      <c r="A56" s="393" t="s">
        <v>716</v>
      </c>
      <c r="B56" s="379"/>
      <c r="C56" s="379"/>
      <c r="D56" s="379"/>
      <c r="E56" s="379"/>
      <c r="F56" s="379"/>
    </row>
    <row r="57" spans="1:6" ht="15.75">
      <c r="A57" s="393" t="s">
        <v>717</v>
      </c>
      <c r="B57" s="379"/>
      <c r="C57" s="379"/>
      <c r="D57" s="379"/>
      <c r="E57" s="379"/>
      <c r="F57" s="379"/>
    </row>
    <row r="58" spans="1:6" ht="15.75">
      <c r="A58" s="393" t="s">
        <v>718</v>
      </c>
      <c r="B58" s="379"/>
      <c r="C58" s="379"/>
      <c r="D58" s="379"/>
      <c r="E58" s="379"/>
      <c r="F58" s="379"/>
    </row>
    <row r="59" spans="1:6" ht="15.75">
      <c r="A59" s="393" t="s">
        <v>719</v>
      </c>
      <c r="B59" s="379"/>
      <c r="C59" s="379"/>
      <c r="D59" s="379"/>
      <c r="E59" s="379"/>
      <c r="F59" s="379"/>
    </row>
    <row r="60" spans="1:6" ht="15.75">
      <c r="A60" s="393"/>
      <c r="B60" s="379"/>
      <c r="C60" s="379"/>
      <c r="D60" s="379"/>
      <c r="E60" s="379"/>
      <c r="F60" s="379"/>
    </row>
    <row r="61" spans="1:6" ht="15.75">
      <c r="A61" s="394" t="s">
        <v>720</v>
      </c>
      <c r="B61" s="379"/>
      <c r="C61" s="379"/>
      <c r="D61" s="379"/>
      <c r="E61" s="379"/>
      <c r="F61" s="379"/>
    </row>
    <row r="62" spans="1:6" ht="15.75">
      <c r="A62" s="394" t="s">
        <v>721</v>
      </c>
      <c r="B62" s="379"/>
      <c r="C62" s="379"/>
      <c r="D62" s="379"/>
      <c r="E62" s="379"/>
      <c r="F62" s="379"/>
    </row>
    <row r="63" spans="1:6" ht="15.75">
      <c r="A63" s="394" t="s">
        <v>722</v>
      </c>
      <c r="B63" s="379"/>
      <c r="C63" s="379"/>
      <c r="D63" s="379"/>
      <c r="E63" s="379"/>
      <c r="F63" s="379"/>
    </row>
    <row r="64" ht="15.75">
      <c r="A64" s="394" t="s">
        <v>723</v>
      </c>
    </row>
    <row r="65" ht="15.75">
      <c r="A65" s="394" t="s">
        <v>724</v>
      </c>
    </row>
    <row r="66" ht="15.75">
      <c r="A66" s="394" t="s">
        <v>725</v>
      </c>
    </row>
    <row r="68" ht="15.75">
      <c r="A68" s="379" t="s">
        <v>726</v>
      </c>
    </row>
    <row r="69" ht="15.75">
      <c r="A69" s="379" t="s">
        <v>727</v>
      </c>
    </row>
    <row r="70" ht="15.75">
      <c r="A70" s="379" t="s">
        <v>728</v>
      </c>
    </row>
    <row r="71" ht="15.75">
      <c r="A71" s="379" t="s">
        <v>729</v>
      </c>
    </row>
    <row r="72" ht="15.75">
      <c r="A72" s="379" t="s">
        <v>730</v>
      </c>
    </row>
    <row r="73" ht="15.75">
      <c r="A73" s="379" t="s">
        <v>731</v>
      </c>
    </row>
    <row r="75" ht="15.75">
      <c r="A75" s="379" t="s">
        <v>668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732</v>
      </c>
      <c r="B3" s="380"/>
      <c r="C3" s="380"/>
      <c r="D3" s="380"/>
      <c r="E3" s="380"/>
      <c r="F3" s="380"/>
      <c r="G3" s="380"/>
    </row>
    <row r="4" spans="1:7" ht="15.75">
      <c r="A4" s="380"/>
      <c r="B4" s="380"/>
      <c r="C4" s="380"/>
      <c r="D4" s="380"/>
      <c r="E4" s="380"/>
      <c r="F4" s="380"/>
      <c r="G4" s="380"/>
    </row>
    <row r="5" ht="15.75">
      <c r="A5" s="379" t="s">
        <v>670</v>
      </c>
    </row>
    <row r="6" ht="15.75">
      <c r="A6" s="379" t="str">
        <f>CONCATENATE(inputPrYr!D5," estimated expenditures show that at the end of this year")</f>
        <v>2012 estimated expenditures show that at the end of this year</v>
      </c>
    </row>
    <row r="7" ht="15.75">
      <c r="A7" s="379" t="s">
        <v>733</v>
      </c>
    </row>
    <row r="8" ht="15.75">
      <c r="A8" s="379" t="s">
        <v>734</v>
      </c>
    </row>
    <row r="10" ht="15.75">
      <c r="A10" t="s">
        <v>672</v>
      </c>
    </row>
    <row r="11" ht="15.75">
      <c r="A11" t="s">
        <v>673</v>
      </c>
    </row>
    <row r="12" ht="15.75">
      <c r="A12" t="s">
        <v>153</v>
      </c>
    </row>
    <row r="13" spans="1:7" ht="15.75">
      <c r="A13" s="380"/>
      <c r="B13" s="380"/>
      <c r="C13" s="380"/>
      <c r="D13" s="380"/>
      <c r="E13" s="380"/>
      <c r="F13" s="380"/>
      <c r="G13" s="380"/>
    </row>
    <row r="14" ht="15.75">
      <c r="A14" s="378" t="s">
        <v>735</v>
      </c>
    </row>
    <row r="15" ht="15.75">
      <c r="A15" s="379"/>
    </row>
    <row r="16" ht="15.75">
      <c r="A16" s="379" t="s">
        <v>736</v>
      </c>
    </row>
    <row r="17" ht="15.75">
      <c r="A17" s="379" t="s">
        <v>737</v>
      </c>
    </row>
    <row r="18" ht="15.75">
      <c r="A18" s="379" t="s">
        <v>738</v>
      </c>
    </row>
    <row r="19" ht="15.75">
      <c r="A19" s="379"/>
    </row>
    <row r="20" ht="15.75">
      <c r="A20" s="379" t="s">
        <v>739</v>
      </c>
    </row>
    <row r="21" ht="15.75">
      <c r="A21" s="379" t="s">
        <v>740</v>
      </c>
    </row>
    <row r="22" ht="15.75">
      <c r="A22" s="379" t="s">
        <v>741</v>
      </c>
    </row>
    <row r="23" ht="15.75">
      <c r="A23" s="379" t="s">
        <v>742</v>
      </c>
    </row>
    <row r="24" ht="15.75">
      <c r="A24" s="379"/>
    </row>
    <row r="25" ht="15.75">
      <c r="A25" s="378" t="s">
        <v>215</v>
      </c>
    </row>
    <row r="26" ht="15.75">
      <c r="A26" s="378"/>
    </row>
    <row r="27" ht="15.75">
      <c r="A27" s="379" t="s">
        <v>216</v>
      </c>
    </row>
    <row r="28" spans="1:6" ht="15.75">
      <c r="A28" s="379" t="s">
        <v>217</v>
      </c>
      <c r="B28" s="379"/>
      <c r="C28" s="379"/>
      <c r="D28" s="379"/>
      <c r="E28" s="379"/>
      <c r="F28" s="379"/>
    </row>
    <row r="29" spans="1:6" ht="15.75">
      <c r="A29" s="379" t="s">
        <v>218</v>
      </c>
      <c r="B29" s="379"/>
      <c r="C29" s="379"/>
      <c r="D29" s="379"/>
      <c r="E29" s="379"/>
      <c r="F29" s="379"/>
    </row>
    <row r="30" spans="1:6" ht="15.75">
      <c r="A30" s="379" t="s">
        <v>219</v>
      </c>
      <c r="B30" s="379"/>
      <c r="C30" s="379"/>
      <c r="D30" s="379"/>
      <c r="E30" s="379"/>
      <c r="F30" s="379"/>
    </row>
    <row r="31" ht="15.75">
      <c r="A31" s="379"/>
    </row>
    <row r="32" spans="1:7" ht="15.75">
      <c r="A32" s="378" t="s">
        <v>220</v>
      </c>
      <c r="B32" s="378"/>
      <c r="C32" s="378"/>
      <c r="D32" s="378"/>
      <c r="E32" s="378"/>
      <c r="F32" s="378"/>
      <c r="G32" s="378"/>
    </row>
    <row r="33" spans="1:7" ht="15.75">
      <c r="A33" s="378" t="s">
        <v>221</v>
      </c>
      <c r="B33" s="378"/>
      <c r="C33" s="378"/>
      <c r="D33" s="378"/>
      <c r="E33" s="378"/>
      <c r="F33" s="378"/>
      <c r="G33" s="378"/>
    </row>
    <row r="34" spans="1:7" ht="15.75">
      <c r="A34" s="378"/>
      <c r="B34" s="378"/>
      <c r="C34" s="378"/>
      <c r="D34" s="378"/>
      <c r="E34" s="378"/>
      <c r="F34" s="378"/>
      <c r="G34" s="378"/>
    </row>
    <row r="35" spans="1:7" ht="15.75">
      <c r="A35" s="379" t="s">
        <v>743</v>
      </c>
      <c r="B35" s="379"/>
      <c r="C35" s="379"/>
      <c r="D35" s="379"/>
      <c r="E35" s="379"/>
      <c r="F35" s="379"/>
      <c r="G35" s="379"/>
    </row>
    <row r="36" spans="1:7" ht="15.75">
      <c r="A36" s="379" t="s">
        <v>744</v>
      </c>
      <c r="B36" s="379"/>
      <c r="C36" s="379"/>
      <c r="D36" s="379"/>
      <c r="E36" s="379"/>
      <c r="F36" s="379"/>
      <c r="G36" s="379"/>
    </row>
    <row r="37" spans="1:7" ht="15.75">
      <c r="A37" s="379" t="s">
        <v>745</v>
      </c>
      <c r="B37" s="379"/>
      <c r="C37" s="379"/>
      <c r="D37" s="379"/>
      <c r="E37" s="379"/>
      <c r="F37" s="379"/>
      <c r="G37" s="379"/>
    </row>
    <row r="38" spans="1:7" ht="15.75">
      <c r="A38" s="379" t="s">
        <v>746</v>
      </c>
      <c r="B38" s="379"/>
      <c r="C38" s="379"/>
      <c r="D38" s="379"/>
      <c r="E38" s="379"/>
      <c r="F38" s="379"/>
      <c r="G38" s="379"/>
    </row>
    <row r="39" spans="1:7" ht="15.75">
      <c r="A39" s="379" t="s">
        <v>747</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222</v>
      </c>
      <c r="B42" s="379"/>
      <c r="C42" s="379"/>
      <c r="D42" s="379"/>
      <c r="E42" s="379"/>
      <c r="F42" s="379"/>
    </row>
    <row r="43" spans="1:6" ht="15.75">
      <c r="A43" s="393" t="s">
        <v>629</v>
      </c>
      <c r="B43" s="379"/>
      <c r="C43" s="379"/>
      <c r="D43" s="379"/>
      <c r="E43" s="379"/>
      <c r="F43" s="379"/>
    </row>
    <row r="44" spans="1:6" ht="15.75">
      <c r="A44" s="393" t="s">
        <v>630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631</v>
      </c>
      <c r="B47" s="379"/>
      <c r="C47" s="379"/>
      <c r="D47" s="379"/>
      <c r="E47" s="379"/>
      <c r="F47" s="379"/>
    </row>
    <row r="48" spans="1:6" ht="15.75">
      <c r="A48" s="393" t="s">
        <v>632</v>
      </c>
      <c r="B48" s="379"/>
      <c r="C48" s="379"/>
      <c r="D48" s="379"/>
      <c r="E48" s="379"/>
      <c r="F48" s="379"/>
    </row>
    <row r="49" spans="1:7" ht="15.75">
      <c r="A49" s="379"/>
      <c r="B49" s="379"/>
      <c r="C49" s="379"/>
      <c r="D49" s="379"/>
      <c r="E49" s="379"/>
      <c r="F49" s="379"/>
      <c r="G49" s="379"/>
    </row>
    <row r="50" spans="1:7" ht="15.75">
      <c r="A50" s="379" t="s">
        <v>176</v>
      </c>
      <c r="B50" s="379"/>
      <c r="C50" s="379"/>
      <c r="D50" s="379"/>
      <c r="E50" s="379"/>
      <c r="F50" s="379"/>
      <c r="G50" s="379"/>
    </row>
    <row r="51" spans="1:7" ht="15.75">
      <c r="A51" s="379" t="s">
        <v>177</v>
      </c>
      <c r="B51" s="379"/>
      <c r="C51" s="379"/>
      <c r="D51" s="379"/>
      <c r="E51" s="379"/>
      <c r="F51" s="379"/>
      <c r="G51" s="379"/>
    </row>
    <row r="52" spans="1:7" ht="15.75">
      <c r="A52" s="379" t="s">
        <v>178</v>
      </c>
      <c r="B52" s="379"/>
      <c r="C52" s="379"/>
      <c r="D52" s="379"/>
      <c r="E52" s="379"/>
      <c r="F52" s="379"/>
      <c r="G52" s="379"/>
    </row>
    <row r="53" spans="1:7" ht="15.75">
      <c r="A53" s="379" t="s">
        <v>179</v>
      </c>
      <c r="B53" s="379"/>
      <c r="C53" s="379"/>
      <c r="D53" s="379"/>
      <c r="E53" s="379"/>
      <c r="F53" s="379"/>
      <c r="G53" s="379"/>
    </row>
    <row r="54" spans="1:7" ht="15.75">
      <c r="A54" s="379" t="s">
        <v>180</v>
      </c>
      <c r="B54" s="379"/>
      <c r="C54" s="379"/>
      <c r="D54" s="379"/>
      <c r="E54" s="379"/>
      <c r="F54" s="379"/>
      <c r="G54" s="379"/>
    </row>
    <row r="55" spans="1:7" ht="15.75">
      <c r="A55" s="379"/>
      <c r="B55" s="379"/>
      <c r="C55" s="379"/>
      <c r="D55" s="379"/>
      <c r="E55" s="379"/>
      <c r="F55" s="379"/>
      <c r="G55" s="379"/>
    </row>
    <row r="56" spans="1:6" ht="15.75">
      <c r="A56" s="393" t="s">
        <v>639</v>
      </c>
      <c r="B56" s="379"/>
      <c r="C56" s="379"/>
      <c r="D56" s="379"/>
      <c r="E56" s="379"/>
      <c r="F56" s="379"/>
    </row>
    <row r="57" spans="1:6" ht="15.75">
      <c r="A57" s="393" t="s">
        <v>640</v>
      </c>
      <c r="B57" s="379"/>
      <c r="C57" s="379"/>
      <c r="D57" s="379"/>
      <c r="E57" s="379"/>
      <c r="F57" s="379"/>
    </row>
    <row r="58" spans="1:6" ht="15.75">
      <c r="A58" s="393" t="s">
        <v>641</v>
      </c>
      <c r="B58" s="379"/>
      <c r="C58" s="379"/>
      <c r="D58" s="379"/>
      <c r="E58" s="379"/>
      <c r="F58" s="379"/>
    </row>
    <row r="59" spans="1:6" ht="15.75">
      <c r="A59" s="393"/>
      <c r="B59" s="379"/>
      <c r="C59" s="379"/>
      <c r="D59" s="379"/>
      <c r="E59" s="379"/>
      <c r="F59" s="379"/>
    </row>
    <row r="60" spans="1:7" ht="15.75">
      <c r="A60" s="379" t="s">
        <v>748</v>
      </c>
      <c r="B60" s="379"/>
      <c r="C60" s="379"/>
      <c r="D60" s="379"/>
      <c r="E60" s="379"/>
      <c r="F60" s="379"/>
      <c r="G60" s="379"/>
    </row>
    <row r="61" spans="1:7" ht="15.75">
      <c r="A61" s="379" t="s">
        <v>749</v>
      </c>
      <c r="B61" s="379"/>
      <c r="C61" s="379"/>
      <c r="D61" s="379"/>
      <c r="E61" s="379"/>
      <c r="F61" s="379"/>
      <c r="G61" s="379"/>
    </row>
    <row r="62" spans="1:7" ht="15.75">
      <c r="A62" s="379" t="s">
        <v>750</v>
      </c>
      <c r="B62" s="379"/>
      <c r="C62" s="379"/>
      <c r="D62" s="379"/>
      <c r="E62" s="379"/>
      <c r="F62" s="379"/>
      <c r="G62" s="379"/>
    </row>
    <row r="63" spans="1:7" ht="15.75">
      <c r="A63" s="379" t="s">
        <v>751</v>
      </c>
      <c r="B63" s="379"/>
      <c r="C63" s="379"/>
      <c r="D63" s="379"/>
      <c r="E63" s="379"/>
      <c r="F63" s="379"/>
      <c r="G63" s="379"/>
    </row>
    <row r="64" spans="1:7" ht="15.75">
      <c r="A64" s="379" t="s">
        <v>752</v>
      </c>
      <c r="B64" s="379"/>
      <c r="C64" s="379"/>
      <c r="D64" s="379"/>
      <c r="E64" s="379"/>
      <c r="F64" s="379"/>
      <c r="G64" s="379"/>
    </row>
    <row r="66" spans="1:6" ht="15.75">
      <c r="A66" s="393" t="s">
        <v>226</v>
      </c>
      <c r="B66" s="379"/>
      <c r="C66" s="379"/>
      <c r="D66" s="379"/>
      <c r="E66" s="379"/>
      <c r="F66" s="379"/>
    </row>
    <row r="67" spans="1:6" ht="15.75">
      <c r="A67" s="393" t="s">
        <v>716</v>
      </c>
      <c r="B67" s="379"/>
      <c r="C67" s="379"/>
      <c r="D67" s="379"/>
      <c r="E67" s="379"/>
      <c r="F67" s="379"/>
    </row>
    <row r="68" spans="1:6" ht="15.75">
      <c r="A68" s="393" t="s">
        <v>717</v>
      </c>
      <c r="B68" s="379"/>
      <c r="C68" s="379"/>
      <c r="D68" s="379"/>
      <c r="E68" s="379"/>
      <c r="F68" s="379"/>
    </row>
    <row r="69" spans="1:6" ht="15.75">
      <c r="A69" s="393" t="s">
        <v>718</v>
      </c>
      <c r="B69" s="379"/>
      <c r="C69" s="379"/>
      <c r="D69" s="379"/>
      <c r="E69" s="379"/>
      <c r="F69" s="379"/>
    </row>
    <row r="70" spans="1:6" ht="15.75">
      <c r="A70" s="393" t="s">
        <v>719</v>
      </c>
      <c r="B70" s="379"/>
      <c r="C70" s="379"/>
      <c r="D70" s="379"/>
      <c r="E70" s="379"/>
      <c r="F70" s="379"/>
    </row>
    <row r="71" ht="15.75">
      <c r="A71" s="379"/>
    </row>
    <row r="72" ht="15.75">
      <c r="A72" s="379" t="s">
        <v>668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753</v>
      </c>
      <c r="B3" s="380"/>
      <c r="C3" s="380"/>
      <c r="D3" s="380"/>
      <c r="E3" s="380"/>
      <c r="F3" s="380"/>
      <c r="G3" s="380"/>
    </row>
    <row r="4" spans="1:7" ht="15.75">
      <c r="A4" s="380" t="s">
        <v>754</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615</v>
      </c>
    </row>
    <row r="8" ht="15.75">
      <c r="A8" s="379" t="str">
        <f>CONCATENATE("estimated ",inputPrYr!D5," 'total expenditures' exceed your ",inputPrYr!D5,"")</f>
        <v>estimated 2012 'total expenditures' exceed your 2012</v>
      </c>
    </row>
    <row r="9" ht="15.75">
      <c r="A9" s="396" t="s">
        <v>755</v>
      </c>
    </row>
    <row r="10" ht="15.75">
      <c r="A10" s="379"/>
    </row>
    <row r="11" ht="15.75">
      <c r="A11" s="379" t="s">
        <v>756</v>
      </c>
    </row>
    <row r="12" ht="15.75">
      <c r="A12" s="379" t="s">
        <v>757</v>
      </c>
    </row>
    <row r="13" ht="15.75">
      <c r="A13" s="379" t="s">
        <v>758</v>
      </c>
    </row>
    <row r="14" ht="15.75">
      <c r="A14" s="379"/>
    </row>
    <row r="15" ht="15.75">
      <c r="A15" s="378" t="s">
        <v>759</v>
      </c>
    </row>
    <row r="16" spans="1:7" ht="15.75">
      <c r="A16" s="380"/>
      <c r="B16" s="380"/>
      <c r="C16" s="380"/>
      <c r="D16" s="380"/>
      <c r="E16" s="380"/>
      <c r="F16" s="380"/>
      <c r="G16" s="380"/>
    </row>
    <row r="17" spans="1:8" ht="15.75">
      <c r="A17" s="397" t="s">
        <v>760</v>
      </c>
      <c r="B17" s="374"/>
      <c r="C17" s="374"/>
      <c r="D17" s="374"/>
      <c r="E17" s="374"/>
      <c r="F17" s="374"/>
      <c r="G17" s="374"/>
      <c r="H17" s="374"/>
    </row>
    <row r="18" spans="1:7" ht="15.75">
      <c r="A18" s="379" t="s">
        <v>761</v>
      </c>
      <c r="B18" s="398"/>
      <c r="C18" s="398"/>
      <c r="D18" s="398"/>
      <c r="E18" s="398"/>
      <c r="F18" s="398"/>
      <c r="G18" s="398"/>
    </row>
    <row r="19" ht="15.75">
      <c r="A19" s="379" t="s">
        <v>762</v>
      </c>
    </row>
    <row r="20" ht="15.75">
      <c r="A20" s="379" t="s">
        <v>763</v>
      </c>
    </row>
    <row r="22" ht="15.75">
      <c r="A22" s="378" t="s">
        <v>764</v>
      </c>
    </row>
    <row r="24" ht="15.75">
      <c r="A24" s="379" t="s">
        <v>765</v>
      </c>
    </row>
    <row r="25" ht="15.75">
      <c r="A25" s="379" t="s">
        <v>766</v>
      </c>
    </row>
    <row r="26" ht="15.75">
      <c r="A26" s="379" t="s">
        <v>767</v>
      </c>
    </row>
    <row r="28" ht="15.75">
      <c r="A28" s="378" t="s">
        <v>768</v>
      </c>
    </row>
    <row r="30" ht="15.75">
      <c r="A30" t="s">
        <v>769</v>
      </c>
    </row>
    <row r="31" ht="15.75">
      <c r="A31" t="s">
        <v>770</v>
      </c>
    </row>
    <row r="32" ht="15.75">
      <c r="A32" t="s">
        <v>771</v>
      </c>
    </row>
    <row r="33" ht="15.75">
      <c r="A33" s="379" t="s">
        <v>772</v>
      </c>
    </row>
    <row r="35" ht="15.75">
      <c r="A35" t="s">
        <v>773</v>
      </c>
    </row>
    <row r="36" ht="15.75">
      <c r="A36" t="s">
        <v>774</v>
      </c>
    </row>
    <row r="37" ht="15.75">
      <c r="A37" t="s">
        <v>775</v>
      </c>
    </row>
    <row r="38" ht="15.75">
      <c r="A38" t="s">
        <v>776</v>
      </c>
    </row>
    <row r="40" ht="15.75">
      <c r="A40" t="s">
        <v>777</v>
      </c>
    </row>
    <row r="41" ht="15.75">
      <c r="A41" t="s">
        <v>778</v>
      </c>
    </row>
    <row r="42" ht="15.75">
      <c r="A42" t="s">
        <v>779</v>
      </c>
    </row>
    <row r="43" ht="15.75">
      <c r="A43" t="s">
        <v>780</v>
      </c>
    </row>
    <row r="44" ht="15.75">
      <c r="A44" t="s">
        <v>781</v>
      </c>
    </row>
    <row r="45" ht="15.75">
      <c r="A45" t="s">
        <v>782</v>
      </c>
    </row>
    <row r="47" ht="15.75">
      <c r="A47" t="s">
        <v>783</v>
      </c>
    </row>
    <row r="48" ht="15.75">
      <c r="A48" t="s">
        <v>784</v>
      </c>
    </row>
    <row r="49" ht="15.75">
      <c r="A49" s="379" t="s">
        <v>785</v>
      </c>
    </row>
    <row r="50" ht="15.75">
      <c r="A50" s="379" t="s">
        <v>786</v>
      </c>
    </row>
    <row r="52" ht="15.75">
      <c r="A52" t="s">
        <v>668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47" sqref="B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SEVEN TOWNSHIP</v>
      </c>
      <c r="B1" s="101"/>
      <c r="C1" s="101"/>
      <c r="D1" s="101"/>
      <c r="E1" s="101">
        <f>inputPrYr!D5</f>
        <v>2012</v>
      </c>
    </row>
    <row r="2" spans="1:5" ht="15.75">
      <c r="A2" s="99" t="str">
        <f>inputPrYr!D3</f>
        <v>Morris County</v>
      </c>
      <c r="B2" s="101"/>
      <c r="C2" s="101"/>
      <c r="D2" s="101"/>
      <c r="E2" s="101"/>
    </row>
    <row r="3" spans="1:5" ht="15.75">
      <c r="A3" s="101"/>
      <c r="B3" s="101"/>
      <c r="C3" s="101"/>
      <c r="D3" s="101"/>
      <c r="E3" s="101"/>
    </row>
    <row r="4" spans="1:5" ht="15.75">
      <c r="A4" s="633" t="s">
        <v>397</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3588326</v>
      </c>
    </row>
    <row r="8" spans="1:5" ht="15.75">
      <c r="A8" s="22" t="str">
        <f>CONCATENATE("New Improvements for ",E1-1,"")</f>
        <v>New Improvements for 2011</v>
      </c>
      <c r="B8" s="19"/>
      <c r="C8" s="19"/>
      <c r="D8" s="19"/>
      <c r="E8" s="309">
        <v>27866</v>
      </c>
    </row>
    <row r="9" spans="1:5" ht="15.75">
      <c r="A9" s="22" t="str">
        <f>CONCATENATE("Personal Property excluding oil, gas, and mobile homes - ",E1-1,"")</f>
        <v>Personal Property excluding oil, gas, and mobile homes - 2011</v>
      </c>
      <c r="B9" s="19"/>
      <c r="C9" s="19"/>
      <c r="D9" s="19"/>
      <c r="E9" s="309">
        <v>79333</v>
      </c>
    </row>
    <row r="10" spans="1:5" ht="15.75">
      <c r="A10" s="22" t="str">
        <f>CONCATENATE("Property that has changed in use for ",E1-1,"")</f>
        <v>Property that has changed in use for 2011</v>
      </c>
      <c r="B10" s="19"/>
      <c r="C10" s="19"/>
      <c r="D10" s="19"/>
      <c r="E10" s="309">
        <v>26927</v>
      </c>
    </row>
    <row r="11" spans="1:5" ht="15.75">
      <c r="A11" s="22" t="str">
        <f>CONCATENATE("Personal Property excluding oil, gas, and mobile homes- ",E1-2,"")</f>
        <v>Personal Property excluding oil, gas, and mobile homes- 2010</v>
      </c>
      <c r="B11" s="19"/>
      <c r="C11" s="19"/>
      <c r="D11" s="19"/>
      <c r="E11" s="309">
        <v>233890</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42</v>
      </c>
      <c r="B16" s="636"/>
      <c r="C16" s="101"/>
      <c r="D16" s="313" t="s">
        <v>238</v>
      </c>
      <c r="E16" s="312"/>
    </row>
    <row r="17" spans="1:5" ht="15.75">
      <c r="A17" s="82" t="str">
        <f>inputPrYr!B16</f>
        <v>General</v>
      </c>
      <c r="B17" s="20"/>
      <c r="C17" s="19"/>
      <c r="D17" s="314">
        <v>1.397</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32</v>
      </c>
      <c r="C26" s="283"/>
      <c r="D26" s="317">
        <f>SUM(D17:D25)</f>
        <v>1.397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3753980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398</v>
      </c>
      <c r="B31" s="20"/>
      <c r="C31" s="20"/>
      <c r="D31" s="321"/>
      <c r="E31" s="34">
        <v>461</v>
      </c>
    </row>
    <row r="32" spans="1:5" ht="15.75">
      <c r="A32" s="322" t="s">
        <v>33</v>
      </c>
      <c r="B32" s="291"/>
      <c r="C32" s="291"/>
      <c r="D32" s="31"/>
      <c r="E32" s="34">
        <v>29</v>
      </c>
    </row>
    <row r="33" spans="1:5" ht="15.75">
      <c r="A33" s="322" t="s">
        <v>399</v>
      </c>
      <c r="B33" s="291"/>
      <c r="C33" s="291"/>
      <c r="D33" s="31"/>
      <c r="E33" s="34">
        <v>25</v>
      </c>
    </row>
    <row r="34" spans="1:5" ht="15.75">
      <c r="A34" s="322" t="s">
        <v>400</v>
      </c>
      <c r="B34" s="291"/>
      <c r="C34" s="291"/>
      <c r="D34" s="31"/>
      <c r="E34" s="34"/>
    </row>
    <row r="35" spans="1:5" ht="15.75">
      <c r="A35" s="322" t="s">
        <v>401</v>
      </c>
      <c r="B35" s="291"/>
      <c r="C35" s="291"/>
      <c r="D35" s="31"/>
      <c r="E35" s="34"/>
    </row>
    <row r="36" spans="1:5" ht="15.75">
      <c r="A36" s="322" t="s">
        <v>338</v>
      </c>
      <c r="B36" s="20"/>
      <c r="C36" s="20"/>
      <c r="D36" s="321"/>
      <c r="E36" s="34"/>
    </row>
    <row r="37" spans="1:5" ht="15.75">
      <c r="A37" s="14" t="s">
        <v>402</v>
      </c>
      <c r="B37" s="14"/>
      <c r="C37" s="14"/>
      <c r="D37" s="14"/>
      <c r="E37" s="14"/>
    </row>
    <row r="38" spans="1:5" ht="15.75">
      <c r="A38" s="79" t="s">
        <v>403</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1.071</v>
      </c>
    </row>
    <row r="40" spans="1:5" ht="15.75">
      <c r="A40" s="300" t="s">
        <v>404</v>
      </c>
      <c r="B40" s="300"/>
      <c r="C40" s="19"/>
      <c r="D40" s="19"/>
      <c r="E40" s="431"/>
    </row>
    <row r="41" spans="1:5" ht="15.75">
      <c r="A41" s="323" t="s">
        <v>405</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453</v>
      </c>
      <c r="B45" s="327" t="s">
        <v>454</v>
      </c>
      <c r="C45" s="328" t="s">
        <v>455</v>
      </c>
      <c r="D45" s="329"/>
      <c r="E45" s="329"/>
    </row>
    <row r="46" spans="1:5" ht="15.75">
      <c r="A46" s="330" t="str">
        <f>inputPrYr!B16</f>
        <v>General</v>
      </c>
      <c r="B46" s="36">
        <v>26000</v>
      </c>
      <c r="C46" s="328" t="s">
        <v>456</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5" t="s">
        <v>62</v>
      </c>
      <c r="C6" s="710"/>
      <c r="D6" s="710"/>
      <c r="E6" s="710"/>
      <c r="F6" s="710"/>
      <c r="G6" s="710"/>
      <c r="H6" s="710"/>
      <c r="I6" s="710"/>
      <c r="J6" s="710"/>
      <c r="K6" s="710"/>
      <c r="L6" s="446"/>
    </row>
    <row r="7" spans="1:12" ht="40.5" customHeight="1">
      <c r="A7" s="443"/>
      <c r="B7" s="721" t="s">
        <v>63</v>
      </c>
      <c r="C7" s="722"/>
      <c r="D7" s="722"/>
      <c r="E7" s="722"/>
      <c r="F7" s="722"/>
      <c r="G7" s="722"/>
      <c r="H7" s="722"/>
      <c r="I7" s="722"/>
      <c r="J7" s="722"/>
      <c r="K7" s="722"/>
      <c r="L7" s="443"/>
    </row>
    <row r="8" spans="1:12" ht="14.25">
      <c r="A8" s="443"/>
      <c r="B8" s="714" t="s">
        <v>64</v>
      </c>
      <c r="C8" s="714"/>
      <c r="D8" s="714"/>
      <c r="E8" s="714"/>
      <c r="F8" s="714"/>
      <c r="G8" s="714"/>
      <c r="H8" s="714"/>
      <c r="I8" s="714"/>
      <c r="J8" s="714"/>
      <c r="K8" s="714"/>
      <c r="L8" s="443"/>
    </row>
    <row r="9" spans="1:12" ht="14.25">
      <c r="A9" s="443"/>
      <c r="L9" s="443"/>
    </row>
    <row r="10" spans="1:12" ht="14.25">
      <c r="A10" s="443"/>
      <c r="B10" s="714" t="s">
        <v>65</v>
      </c>
      <c r="C10" s="714"/>
      <c r="D10" s="714"/>
      <c r="E10" s="714"/>
      <c r="F10" s="714"/>
      <c r="G10" s="714"/>
      <c r="H10" s="714"/>
      <c r="I10" s="714"/>
      <c r="J10" s="714"/>
      <c r="K10" s="714"/>
      <c r="L10" s="443"/>
    </row>
    <row r="11" spans="1:12" ht="14.25">
      <c r="A11" s="443"/>
      <c r="B11" s="447"/>
      <c r="C11" s="447"/>
      <c r="D11" s="447"/>
      <c r="E11" s="447"/>
      <c r="F11" s="447"/>
      <c r="G11" s="447"/>
      <c r="H11" s="447"/>
      <c r="I11" s="447"/>
      <c r="J11" s="447"/>
      <c r="K11" s="447"/>
      <c r="L11" s="443"/>
    </row>
    <row r="12" spans="1:12" ht="32.25" customHeight="1">
      <c r="A12" s="443"/>
      <c r="B12" s="706" t="s">
        <v>66</v>
      </c>
      <c r="C12" s="706"/>
      <c r="D12" s="706"/>
      <c r="E12" s="706"/>
      <c r="F12" s="706"/>
      <c r="G12" s="706"/>
      <c r="H12" s="706"/>
      <c r="I12" s="706"/>
      <c r="J12" s="706"/>
      <c r="K12" s="706"/>
      <c r="L12" s="443"/>
    </row>
    <row r="13" spans="1:12" ht="14.25">
      <c r="A13" s="443"/>
      <c r="L13" s="443"/>
    </row>
    <row r="14" spans="1:12" ht="14.25">
      <c r="A14" s="443"/>
      <c r="B14" s="448" t="s">
        <v>67</v>
      </c>
      <c r="L14" s="443"/>
    </row>
    <row r="15" spans="1:12" ht="14.25">
      <c r="A15" s="443"/>
      <c r="L15" s="443"/>
    </row>
    <row r="16" spans="1:12" ht="14.25">
      <c r="A16" s="443"/>
      <c r="B16" s="445" t="s">
        <v>68</v>
      </c>
      <c r="L16" s="443"/>
    </row>
    <row r="17" spans="1:12" ht="14.25">
      <c r="A17" s="443"/>
      <c r="B17" s="445" t="s">
        <v>69</v>
      </c>
      <c r="L17" s="443"/>
    </row>
    <row r="18" spans="1:12" ht="14.25">
      <c r="A18" s="443"/>
      <c r="L18" s="443"/>
    </row>
    <row r="19" spans="1:12" ht="14.25">
      <c r="A19" s="443"/>
      <c r="B19" s="448" t="s">
        <v>70</v>
      </c>
      <c r="L19" s="443"/>
    </row>
    <row r="20" spans="1:12" ht="14.25">
      <c r="A20" s="443"/>
      <c r="B20" s="448"/>
      <c r="L20" s="443"/>
    </row>
    <row r="21" spans="1:12" ht="14.25">
      <c r="A21" s="443"/>
      <c r="B21" s="445" t="s">
        <v>71</v>
      </c>
      <c r="L21" s="443"/>
    </row>
    <row r="22" spans="1:12" ht="14.25">
      <c r="A22" s="443"/>
      <c r="L22" s="443"/>
    </row>
    <row r="23" spans="1:12" ht="14.25">
      <c r="A23" s="443"/>
      <c r="B23" s="445" t="s">
        <v>72</v>
      </c>
      <c r="E23" s="445" t="s">
        <v>73</v>
      </c>
      <c r="F23" s="703">
        <v>133685008</v>
      </c>
      <c r="G23" s="703"/>
      <c r="L23" s="443"/>
    </row>
    <row r="24" spans="1:12" ht="14.25">
      <c r="A24" s="443"/>
      <c r="L24" s="443"/>
    </row>
    <row r="25" spans="1:12" ht="14.25">
      <c r="A25" s="443"/>
      <c r="C25" s="720">
        <f>F23</f>
        <v>133685008</v>
      </c>
      <c r="D25" s="720"/>
      <c r="E25" s="445" t="s">
        <v>74</v>
      </c>
      <c r="F25" s="449">
        <v>1000</v>
      </c>
      <c r="G25" s="449" t="s">
        <v>73</v>
      </c>
      <c r="H25" s="450">
        <f>F23/F25</f>
        <v>133685.008</v>
      </c>
      <c r="L25" s="443"/>
    </row>
    <row r="26" spans="1:12" ht="15" thickBot="1">
      <c r="A26" s="443"/>
      <c r="L26" s="443"/>
    </row>
    <row r="27" spans="1:12" ht="14.25">
      <c r="A27" s="443"/>
      <c r="B27" s="451" t="s">
        <v>67</v>
      </c>
      <c r="C27" s="452"/>
      <c r="D27" s="452"/>
      <c r="E27" s="452"/>
      <c r="F27" s="452"/>
      <c r="G27" s="452"/>
      <c r="H27" s="452"/>
      <c r="I27" s="452"/>
      <c r="J27" s="452"/>
      <c r="K27" s="453"/>
      <c r="L27" s="443"/>
    </row>
    <row r="28" spans="1:12" ht="14.25">
      <c r="A28" s="443"/>
      <c r="B28" s="454">
        <f>F23</f>
        <v>133685008</v>
      </c>
      <c r="C28" s="455" t="s">
        <v>75</v>
      </c>
      <c r="D28" s="455"/>
      <c r="E28" s="455" t="s">
        <v>74</v>
      </c>
      <c r="F28" s="456">
        <v>1000</v>
      </c>
      <c r="G28" s="456" t="s">
        <v>73</v>
      </c>
      <c r="H28" s="457">
        <f>B28/F28</f>
        <v>133685.008</v>
      </c>
      <c r="I28" s="455" t="s">
        <v>76</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4" t="s">
        <v>63</v>
      </c>
      <c r="C30" s="704"/>
      <c r="D30" s="704"/>
      <c r="E30" s="704"/>
      <c r="F30" s="704"/>
      <c r="G30" s="704"/>
      <c r="H30" s="704"/>
      <c r="I30" s="704"/>
      <c r="J30" s="704"/>
      <c r="K30" s="704"/>
      <c r="L30" s="443"/>
    </row>
    <row r="31" spans="1:12" ht="14.25">
      <c r="A31" s="443"/>
      <c r="B31" s="714" t="s">
        <v>77</v>
      </c>
      <c r="C31" s="714"/>
      <c r="D31" s="714"/>
      <c r="E31" s="714"/>
      <c r="F31" s="714"/>
      <c r="G31" s="714"/>
      <c r="H31" s="714"/>
      <c r="I31" s="714"/>
      <c r="J31" s="714"/>
      <c r="K31" s="714"/>
      <c r="L31" s="443"/>
    </row>
    <row r="32" spans="1:12" ht="14.25">
      <c r="A32" s="443"/>
      <c r="L32" s="443"/>
    </row>
    <row r="33" spans="1:12" ht="14.25">
      <c r="A33" s="443"/>
      <c r="B33" s="714" t="s">
        <v>78</v>
      </c>
      <c r="C33" s="714"/>
      <c r="D33" s="714"/>
      <c r="E33" s="714"/>
      <c r="F33" s="714"/>
      <c r="G33" s="714"/>
      <c r="H33" s="714"/>
      <c r="I33" s="714"/>
      <c r="J33" s="714"/>
      <c r="K33" s="714"/>
      <c r="L33" s="443"/>
    </row>
    <row r="34" spans="1:12" ht="14.25">
      <c r="A34" s="443"/>
      <c r="L34" s="443"/>
    </row>
    <row r="35" spans="1:12" ht="89.25" customHeight="1">
      <c r="A35" s="443"/>
      <c r="B35" s="706" t="s">
        <v>79</v>
      </c>
      <c r="C35" s="713"/>
      <c r="D35" s="713"/>
      <c r="E35" s="713"/>
      <c r="F35" s="713"/>
      <c r="G35" s="713"/>
      <c r="H35" s="713"/>
      <c r="I35" s="713"/>
      <c r="J35" s="713"/>
      <c r="K35" s="713"/>
      <c r="L35" s="443"/>
    </row>
    <row r="36" spans="1:12" ht="14.25">
      <c r="A36" s="443"/>
      <c r="L36" s="443"/>
    </row>
    <row r="37" spans="1:12" ht="14.25">
      <c r="A37" s="443"/>
      <c r="B37" s="448" t="s">
        <v>80</v>
      </c>
      <c r="L37" s="443"/>
    </row>
    <row r="38" spans="1:12" ht="14.25">
      <c r="A38" s="443"/>
      <c r="L38" s="443"/>
    </row>
    <row r="39" spans="1:12" ht="14.25">
      <c r="A39" s="443"/>
      <c r="B39" s="445" t="s">
        <v>81</v>
      </c>
      <c r="L39" s="443"/>
    </row>
    <row r="40" spans="1:12" ht="14.25">
      <c r="A40" s="443"/>
      <c r="L40" s="443"/>
    </row>
    <row r="41" spans="1:12" ht="14.25">
      <c r="A41" s="443"/>
      <c r="C41" s="719">
        <v>3120000</v>
      </c>
      <c r="D41" s="719"/>
      <c r="E41" s="445" t="s">
        <v>74</v>
      </c>
      <c r="F41" s="449">
        <v>1000</v>
      </c>
      <c r="G41" s="449" t="s">
        <v>73</v>
      </c>
      <c r="H41" s="462">
        <f>C41/F41</f>
        <v>3120</v>
      </c>
      <c r="L41" s="443"/>
    </row>
    <row r="42" spans="1:12" ht="14.25">
      <c r="A42" s="443"/>
      <c r="L42" s="443"/>
    </row>
    <row r="43" spans="1:12" ht="14.25">
      <c r="A43" s="443"/>
      <c r="B43" s="445" t="s">
        <v>82</v>
      </c>
      <c r="L43" s="443"/>
    </row>
    <row r="44" spans="1:12" ht="14.25">
      <c r="A44" s="443"/>
      <c r="L44" s="443"/>
    </row>
    <row r="45" spans="1:12" ht="14.25">
      <c r="A45" s="443"/>
      <c r="B45" s="445" t="s">
        <v>83</v>
      </c>
      <c r="L45" s="443"/>
    </row>
    <row r="46" spans="1:12" ht="15" thickBot="1">
      <c r="A46" s="443"/>
      <c r="L46" s="443"/>
    </row>
    <row r="47" spans="1:12" ht="14.25">
      <c r="A47" s="443"/>
      <c r="B47" s="463" t="s">
        <v>67</v>
      </c>
      <c r="C47" s="452"/>
      <c r="D47" s="452"/>
      <c r="E47" s="452"/>
      <c r="F47" s="452"/>
      <c r="G47" s="452"/>
      <c r="H47" s="452"/>
      <c r="I47" s="452"/>
      <c r="J47" s="452"/>
      <c r="K47" s="453"/>
      <c r="L47" s="443"/>
    </row>
    <row r="48" spans="1:12" ht="14.25">
      <c r="A48" s="443"/>
      <c r="B48" s="703">
        <v>133685008</v>
      </c>
      <c r="C48" s="703"/>
      <c r="D48" s="455" t="s">
        <v>84</v>
      </c>
      <c r="E48" s="455" t="s">
        <v>74</v>
      </c>
      <c r="F48" s="456">
        <v>1000</v>
      </c>
      <c r="G48" s="456" t="s">
        <v>73</v>
      </c>
      <c r="H48" s="457">
        <f>B48/F48</f>
        <v>133685.008</v>
      </c>
      <c r="I48" s="455" t="s">
        <v>85</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86</v>
      </c>
      <c r="D50" s="455"/>
      <c r="E50" s="455" t="s">
        <v>74</v>
      </c>
      <c r="F50" s="457">
        <f>H48</f>
        <v>133685.008</v>
      </c>
      <c r="G50" s="715" t="s">
        <v>87</v>
      </c>
      <c r="H50" s="716"/>
      <c r="I50" s="456" t="s">
        <v>73</v>
      </c>
      <c r="J50" s="466">
        <f>B50/F50</f>
        <v>52.8690023342034</v>
      </c>
      <c r="K50" s="458"/>
      <c r="L50" s="443"/>
    </row>
    <row r="51" spans="1:15" ht="15" thickBot="1">
      <c r="A51" s="443"/>
      <c r="B51" s="459"/>
      <c r="C51" s="460"/>
      <c r="D51" s="460"/>
      <c r="E51" s="460"/>
      <c r="F51" s="460"/>
      <c r="G51" s="460"/>
      <c r="H51" s="460"/>
      <c r="I51" s="717" t="s">
        <v>88</v>
      </c>
      <c r="J51" s="717"/>
      <c r="K51" s="718"/>
      <c r="L51" s="443"/>
      <c r="O51" s="467"/>
    </row>
    <row r="52" spans="1:12" ht="40.5" customHeight="1">
      <c r="A52" s="443"/>
      <c r="B52" s="704" t="s">
        <v>63</v>
      </c>
      <c r="C52" s="704"/>
      <c r="D52" s="704"/>
      <c r="E52" s="704"/>
      <c r="F52" s="704"/>
      <c r="G52" s="704"/>
      <c r="H52" s="704"/>
      <c r="I52" s="704"/>
      <c r="J52" s="704"/>
      <c r="K52" s="704"/>
      <c r="L52" s="443"/>
    </row>
    <row r="53" spans="1:12" ht="14.25">
      <c r="A53" s="443"/>
      <c r="B53" s="714" t="s">
        <v>89</v>
      </c>
      <c r="C53" s="714"/>
      <c r="D53" s="714"/>
      <c r="E53" s="714"/>
      <c r="F53" s="714"/>
      <c r="G53" s="714"/>
      <c r="H53" s="714"/>
      <c r="I53" s="714"/>
      <c r="J53" s="714"/>
      <c r="K53" s="714"/>
      <c r="L53" s="443"/>
    </row>
    <row r="54" spans="1:12" ht="14.25">
      <c r="A54" s="443"/>
      <c r="B54" s="447"/>
      <c r="C54" s="447"/>
      <c r="D54" s="447"/>
      <c r="E54" s="447"/>
      <c r="F54" s="447"/>
      <c r="G54" s="447"/>
      <c r="H54" s="447"/>
      <c r="I54" s="447"/>
      <c r="J54" s="447"/>
      <c r="K54" s="447"/>
      <c r="L54" s="443"/>
    </row>
    <row r="55" spans="1:12" ht="14.25">
      <c r="A55" s="443"/>
      <c r="B55" s="705" t="s">
        <v>90</v>
      </c>
      <c r="C55" s="705"/>
      <c r="D55" s="705"/>
      <c r="E55" s="705"/>
      <c r="F55" s="705"/>
      <c r="G55" s="705"/>
      <c r="H55" s="705"/>
      <c r="I55" s="705"/>
      <c r="J55" s="705"/>
      <c r="K55" s="705"/>
      <c r="L55" s="443"/>
    </row>
    <row r="56" spans="1:12" ht="15" customHeight="1">
      <c r="A56" s="443"/>
      <c r="L56" s="443"/>
    </row>
    <row r="57" spans="1:24" ht="74.25" customHeight="1">
      <c r="A57" s="443"/>
      <c r="B57" s="706" t="s">
        <v>91</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6"/>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80</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92</v>
      </c>
      <c r="L61" s="443"/>
      <c r="M61" s="469"/>
      <c r="N61" s="469"/>
      <c r="O61" s="469"/>
      <c r="P61" s="469"/>
      <c r="Q61" s="469"/>
      <c r="R61" s="469"/>
      <c r="S61" s="469"/>
      <c r="T61" s="469"/>
      <c r="U61" s="469"/>
      <c r="V61" s="469"/>
      <c r="W61" s="469"/>
      <c r="X61" s="469"/>
    </row>
    <row r="62" spans="1:24" ht="14.25">
      <c r="A62" s="443"/>
      <c r="B62" s="445" t="s">
        <v>93</v>
      </c>
      <c r="L62" s="443"/>
      <c r="M62" s="469"/>
      <c r="N62" s="469"/>
      <c r="O62" s="469"/>
      <c r="P62" s="469"/>
      <c r="Q62" s="469"/>
      <c r="R62" s="469"/>
      <c r="S62" s="469"/>
      <c r="T62" s="469"/>
      <c r="U62" s="469"/>
      <c r="V62" s="469"/>
      <c r="W62" s="469"/>
      <c r="X62" s="469"/>
    </row>
    <row r="63" spans="1:24" ht="14.25">
      <c r="A63" s="443"/>
      <c r="B63" s="445" t="s">
        <v>94</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95</v>
      </c>
      <c r="L65" s="443"/>
      <c r="M65" s="469"/>
      <c r="N65" s="469"/>
      <c r="O65" s="469"/>
      <c r="P65" s="469"/>
      <c r="Q65" s="469"/>
      <c r="R65" s="469"/>
      <c r="S65" s="469"/>
      <c r="T65" s="469"/>
      <c r="U65" s="469"/>
      <c r="V65" s="469"/>
      <c r="W65" s="469"/>
      <c r="X65" s="469"/>
    </row>
    <row r="66" spans="1:24" ht="14.25">
      <c r="A66" s="443"/>
      <c r="B66" s="445" t="s">
        <v>96</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97</v>
      </c>
      <c r="L68" s="443"/>
      <c r="M68" s="470"/>
      <c r="N68" s="471"/>
      <c r="O68" s="471"/>
      <c r="P68" s="471"/>
      <c r="Q68" s="471"/>
      <c r="R68" s="471"/>
      <c r="S68" s="471"/>
      <c r="T68" s="471"/>
      <c r="U68" s="471"/>
      <c r="V68" s="471"/>
      <c r="W68" s="471"/>
      <c r="X68" s="469"/>
    </row>
    <row r="69" spans="1:24" ht="14.25">
      <c r="A69" s="443"/>
      <c r="B69" s="445" t="s">
        <v>98</v>
      </c>
      <c r="L69" s="443"/>
      <c r="M69" s="469"/>
      <c r="N69" s="469"/>
      <c r="O69" s="469"/>
      <c r="P69" s="469"/>
      <c r="Q69" s="469"/>
      <c r="R69" s="469"/>
      <c r="S69" s="469"/>
      <c r="T69" s="469"/>
      <c r="U69" s="469"/>
      <c r="V69" s="469"/>
      <c r="W69" s="469"/>
      <c r="X69" s="469"/>
    </row>
    <row r="70" spans="1:24" ht="14.25">
      <c r="A70" s="443"/>
      <c r="B70" s="445" t="s">
        <v>99</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67</v>
      </c>
      <c r="C72" s="452"/>
      <c r="D72" s="452"/>
      <c r="E72" s="452"/>
      <c r="F72" s="452"/>
      <c r="G72" s="452"/>
      <c r="H72" s="452"/>
      <c r="I72" s="452"/>
      <c r="J72" s="452"/>
      <c r="K72" s="453"/>
      <c r="L72" s="472"/>
    </row>
    <row r="73" spans="1:12" ht="14.25">
      <c r="A73" s="443"/>
      <c r="B73" s="464"/>
      <c r="C73" s="455" t="s">
        <v>75</v>
      </c>
      <c r="D73" s="455"/>
      <c r="E73" s="455"/>
      <c r="F73" s="455"/>
      <c r="G73" s="455"/>
      <c r="H73" s="455"/>
      <c r="I73" s="455"/>
      <c r="J73" s="455"/>
      <c r="K73" s="458"/>
      <c r="L73" s="472"/>
    </row>
    <row r="74" spans="1:12" ht="14.25">
      <c r="A74" s="443"/>
      <c r="B74" s="464" t="s">
        <v>100</v>
      </c>
      <c r="C74" s="703">
        <v>133685008</v>
      </c>
      <c r="D74" s="703"/>
      <c r="E74" s="456" t="s">
        <v>74</v>
      </c>
      <c r="F74" s="456">
        <v>1000</v>
      </c>
      <c r="G74" s="456" t="s">
        <v>73</v>
      </c>
      <c r="H74" s="473">
        <f>C74/F74</f>
        <v>133685.008</v>
      </c>
      <c r="I74" s="455" t="s">
        <v>101</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102</v>
      </c>
      <c r="D76" s="455"/>
      <c r="E76" s="456"/>
      <c r="F76" s="455" t="s">
        <v>101</v>
      </c>
      <c r="G76" s="455"/>
      <c r="H76" s="455"/>
      <c r="I76" s="455"/>
      <c r="J76" s="455"/>
      <c r="K76" s="458"/>
      <c r="L76" s="472"/>
    </row>
    <row r="77" spans="1:12" ht="14.25">
      <c r="A77" s="443"/>
      <c r="B77" s="464" t="s">
        <v>103</v>
      </c>
      <c r="C77" s="703">
        <v>5000</v>
      </c>
      <c r="D77" s="703"/>
      <c r="E77" s="456" t="s">
        <v>74</v>
      </c>
      <c r="F77" s="473">
        <f>H74</f>
        <v>133685.008</v>
      </c>
      <c r="G77" s="456" t="s">
        <v>73</v>
      </c>
      <c r="H77" s="466">
        <f>C77/F77</f>
        <v>0.03740135169083432</v>
      </c>
      <c r="I77" s="455" t="s">
        <v>104</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105</v>
      </c>
      <c r="D79" s="475"/>
      <c r="E79" s="476"/>
      <c r="F79" s="475"/>
      <c r="G79" s="475"/>
      <c r="H79" s="475"/>
      <c r="I79" s="475"/>
      <c r="J79" s="475"/>
      <c r="K79" s="477"/>
      <c r="L79" s="472"/>
    </row>
    <row r="80" spans="1:12" ht="14.25">
      <c r="A80" s="443"/>
      <c r="B80" s="464" t="s">
        <v>106</v>
      </c>
      <c r="C80" s="703">
        <v>100000</v>
      </c>
      <c r="D80" s="703"/>
      <c r="E80" s="456" t="s">
        <v>46</v>
      </c>
      <c r="F80" s="456">
        <v>0.115</v>
      </c>
      <c r="G80" s="456" t="s">
        <v>73</v>
      </c>
      <c r="H80" s="473">
        <f>C80*F80</f>
        <v>11500</v>
      </c>
      <c r="I80" s="455" t="s">
        <v>107</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108</v>
      </c>
      <c r="D82" s="475"/>
      <c r="E82" s="476"/>
      <c r="F82" s="475" t="s">
        <v>104</v>
      </c>
      <c r="G82" s="475"/>
      <c r="H82" s="475"/>
      <c r="I82" s="475"/>
      <c r="J82" s="475" t="s">
        <v>109</v>
      </c>
      <c r="K82" s="477"/>
      <c r="L82" s="472"/>
    </row>
    <row r="83" spans="1:12" ht="14.25">
      <c r="A83" s="443"/>
      <c r="B83" s="464" t="s">
        <v>110</v>
      </c>
      <c r="C83" s="707">
        <f>H80</f>
        <v>11500</v>
      </c>
      <c r="D83" s="707"/>
      <c r="E83" s="456" t="s">
        <v>46</v>
      </c>
      <c r="F83" s="466">
        <f>H77</f>
        <v>0.03740135169083432</v>
      </c>
      <c r="G83" s="456" t="s">
        <v>74</v>
      </c>
      <c r="H83" s="456">
        <v>1000</v>
      </c>
      <c r="I83" s="456" t="s">
        <v>73</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4" t="s">
        <v>63</v>
      </c>
      <c r="C85" s="704"/>
      <c r="D85" s="704"/>
      <c r="E85" s="704"/>
      <c r="F85" s="704"/>
      <c r="G85" s="704"/>
      <c r="H85" s="704"/>
      <c r="I85" s="704"/>
      <c r="J85" s="704"/>
      <c r="K85" s="704"/>
      <c r="L85" s="443"/>
    </row>
    <row r="86" spans="1:12" ht="14.25">
      <c r="A86" s="443"/>
      <c r="B86" s="705" t="s">
        <v>111</v>
      </c>
      <c r="C86" s="705"/>
      <c r="D86" s="705"/>
      <c r="E86" s="705"/>
      <c r="F86" s="705"/>
      <c r="G86" s="705"/>
      <c r="H86" s="705"/>
      <c r="I86" s="705"/>
      <c r="J86" s="705"/>
      <c r="K86" s="705"/>
      <c r="L86" s="443"/>
    </row>
    <row r="87" spans="1:12" ht="14.25">
      <c r="A87" s="443"/>
      <c r="B87" s="483"/>
      <c r="C87" s="483"/>
      <c r="D87" s="483"/>
      <c r="E87" s="483"/>
      <c r="F87" s="483"/>
      <c r="G87" s="483"/>
      <c r="H87" s="483"/>
      <c r="I87" s="483"/>
      <c r="J87" s="483"/>
      <c r="K87" s="483"/>
      <c r="L87" s="443"/>
    </row>
    <row r="88" spans="1:12" ht="14.25">
      <c r="A88" s="443"/>
      <c r="B88" s="705" t="s">
        <v>112</v>
      </c>
      <c r="C88" s="705"/>
      <c r="D88" s="705"/>
      <c r="E88" s="705"/>
      <c r="F88" s="705"/>
      <c r="G88" s="705"/>
      <c r="H88" s="705"/>
      <c r="I88" s="705"/>
      <c r="J88" s="705"/>
      <c r="K88" s="705"/>
      <c r="L88" s="443"/>
    </row>
    <row r="89" spans="1:12" ht="14.25">
      <c r="A89" s="443"/>
      <c r="B89" s="484"/>
      <c r="C89" s="484"/>
      <c r="D89" s="484"/>
      <c r="E89" s="484"/>
      <c r="F89" s="484"/>
      <c r="G89" s="484"/>
      <c r="H89" s="484"/>
      <c r="I89" s="484"/>
      <c r="J89" s="484"/>
      <c r="K89" s="484"/>
      <c r="L89" s="443"/>
    </row>
    <row r="90" spans="1:12" ht="45" customHeight="1">
      <c r="A90" s="443"/>
      <c r="B90" s="706" t="s">
        <v>113</v>
      </c>
      <c r="C90" s="706"/>
      <c r="D90" s="706"/>
      <c r="E90" s="706"/>
      <c r="F90" s="706"/>
      <c r="G90" s="706"/>
      <c r="H90" s="706"/>
      <c r="I90" s="706"/>
      <c r="J90" s="706"/>
      <c r="K90" s="706"/>
      <c r="L90" s="443"/>
    </row>
    <row r="91" spans="1:12" ht="15" customHeight="1" thickBot="1">
      <c r="A91" s="443"/>
      <c r="L91" s="443"/>
    </row>
    <row r="92" spans="1:12" ht="15" customHeight="1">
      <c r="A92" s="443"/>
      <c r="B92" s="485" t="s">
        <v>67</v>
      </c>
      <c r="C92" s="486"/>
      <c r="D92" s="486"/>
      <c r="E92" s="486"/>
      <c r="F92" s="486"/>
      <c r="G92" s="486"/>
      <c r="H92" s="486"/>
      <c r="I92" s="486"/>
      <c r="J92" s="486"/>
      <c r="K92" s="487"/>
      <c r="L92" s="443"/>
    </row>
    <row r="93" spans="1:12" ht="15" customHeight="1">
      <c r="A93" s="443"/>
      <c r="B93" s="488"/>
      <c r="C93" s="489" t="s">
        <v>75</v>
      </c>
      <c r="D93" s="489"/>
      <c r="E93" s="489"/>
      <c r="F93" s="489"/>
      <c r="G93" s="489"/>
      <c r="H93" s="489"/>
      <c r="I93" s="489"/>
      <c r="J93" s="489"/>
      <c r="K93" s="490"/>
      <c r="L93" s="443"/>
    </row>
    <row r="94" spans="1:12" ht="15" customHeight="1">
      <c r="A94" s="443"/>
      <c r="B94" s="488" t="s">
        <v>100</v>
      </c>
      <c r="C94" s="703">
        <v>133685008</v>
      </c>
      <c r="D94" s="703"/>
      <c r="E94" s="456" t="s">
        <v>74</v>
      </c>
      <c r="F94" s="456">
        <v>1000</v>
      </c>
      <c r="G94" s="456" t="s">
        <v>73</v>
      </c>
      <c r="H94" s="473">
        <f>C94/F94</f>
        <v>133685.008</v>
      </c>
      <c r="I94" s="489" t="s">
        <v>101</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102</v>
      </c>
      <c r="D96" s="489"/>
      <c r="E96" s="456"/>
      <c r="F96" s="489" t="s">
        <v>101</v>
      </c>
      <c r="G96" s="489"/>
      <c r="H96" s="489"/>
      <c r="I96" s="489"/>
      <c r="J96" s="489"/>
      <c r="K96" s="490"/>
      <c r="L96" s="443"/>
    </row>
    <row r="97" spans="1:12" ht="15" customHeight="1">
      <c r="A97" s="443"/>
      <c r="B97" s="488" t="s">
        <v>103</v>
      </c>
      <c r="C97" s="703">
        <v>50000</v>
      </c>
      <c r="D97" s="703"/>
      <c r="E97" s="456" t="s">
        <v>74</v>
      </c>
      <c r="F97" s="473">
        <f>H94</f>
        <v>133685.008</v>
      </c>
      <c r="G97" s="456" t="s">
        <v>73</v>
      </c>
      <c r="H97" s="466">
        <f>C97/F97</f>
        <v>0.3740135169083432</v>
      </c>
      <c r="I97" s="489" t="s">
        <v>104</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114</v>
      </c>
      <c r="D99" s="492"/>
      <c r="E99" s="476"/>
      <c r="F99" s="492"/>
      <c r="G99" s="492"/>
      <c r="H99" s="492"/>
      <c r="I99" s="492"/>
      <c r="J99" s="492"/>
      <c r="K99" s="493"/>
      <c r="L99" s="443"/>
    </row>
    <row r="100" spans="1:12" ht="15" customHeight="1">
      <c r="A100" s="443"/>
      <c r="B100" s="488" t="s">
        <v>106</v>
      </c>
      <c r="C100" s="703">
        <v>2500000</v>
      </c>
      <c r="D100" s="703"/>
      <c r="E100" s="456" t="s">
        <v>46</v>
      </c>
      <c r="F100" s="494">
        <v>0.3</v>
      </c>
      <c r="G100" s="456" t="s">
        <v>73</v>
      </c>
      <c r="H100" s="473">
        <f>C100*F100</f>
        <v>750000</v>
      </c>
      <c r="I100" s="489" t="s">
        <v>107</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108</v>
      </c>
      <c r="D102" s="492"/>
      <c r="E102" s="476"/>
      <c r="F102" s="492" t="s">
        <v>104</v>
      </c>
      <c r="G102" s="492"/>
      <c r="H102" s="492"/>
      <c r="I102" s="492"/>
      <c r="J102" s="492" t="s">
        <v>109</v>
      </c>
      <c r="K102" s="493"/>
      <c r="L102" s="443"/>
    </row>
    <row r="103" spans="1:12" ht="15" customHeight="1">
      <c r="A103" s="443"/>
      <c r="B103" s="488" t="s">
        <v>110</v>
      </c>
      <c r="C103" s="707">
        <f>H100</f>
        <v>750000</v>
      </c>
      <c r="D103" s="707"/>
      <c r="E103" s="456" t="s">
        <v>46</v>
      </c>
      <c r="F103" s="466">
        <f>H97</f>
        <v>0.3740135169083432</v>
      </c>
      <c r="G103" s="456" t="s">
        <v>74</v>
      </c>
      <c r="H103" s="456">
        <v>1000</v>
      </c>
      <c r="I103" s="456" t="s">
        <v>73</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4" t="s">
        <v>63</v>
      </c>
      <c r="C105" s="708"/>
      <c r="D105" s="708"/>
      <c r="E105" s="708"/>
      <c r="F105" s="708"/>
      <c r="G105" s="708"/>
      <c r="H105" s="708"/>
      <c r="I105" s="708"/>
      <c r="J105" s="708"/>
      <c r="K105" s="708"/>
      <c r="L105" s="443"/>
    </row>
    <row r="106" spans="1:12" ht="15" customHeight="1">
      <c r="A106" s="443"/>
      <c r="B106" s="709" t="s">
        <v>115</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116</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117</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67</v>
      </c>
      <c r="C112" s="452"/>
      <c r="D112" s="452"/>
      <c r="E112" s="452"/>
      <c r="F112" s="452"/>
      <c r="G112" s="452"/>
      <c r="H112" s="452"/>
      <c r="I112" s="452"/>
      <c r="J112" s="452"/>
      <c r="K112" s="453"/>
      <c r="L112" s="443"/>
    </row>
    <row r="113" spans="1:12" ht="14.25">
      <c r="A113" s="443"/>
      <c r="B113" s="464"/>
      <c r="C113" s="455" t="s">
        <v>75</v>
      </c>
      <c r="D113" s="455"/>
      <c r="E113" s="455"/>
      <c r="F113" s="455"/>
      <c r="G113" s="455"/>
      <c r="H113" s="455"/>
      <c r="I113" s="455"/>
      <c r="J113" s="455"/>
      <c r="K113" s="458"/>
      <c r="L113" s="443"/>
    </row>
    <row r="114" spans="1:12" ht="14.25">
      <c r="A114" s="443"/>
      <c r="B114" s="464" t="s">
        <v>100</v>
      </c>
      <c r="C114" s="703">
        <v>133685008</v>
      </c>
      <c r="D114" s="703"/>
      <c r="E114" s="456" t="s">
        <v>74</v>
      </c>
      <c r="F114" s="456">
        <v>1000</v>
      </c>
      <c r="G114" s="456" t="s">
        <v>73</v>
      </c>
      <c r="H114" s="473">
        <f>C114/F114</f>
        <v>133685.008</v>
      </c>
      <c r="I114" s="455" t="s">
        <v>101</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102</v>
      </c>
      <c r="D116" s="455"/>
      <c r="E116" s="456"/>
      <c r="F116" s="455" t="s">
        <v>101</v>
      </c>
      <c r="G116" s="455"/>
      <c r="H116" s="455"/>
      <c r="I116" s="455"/>
      <c r="J116" s="455"/>
      <c r="K116" s="458"/>
      <c r="L116" s="443"/>
    </row>
    <row r="117" spans="1:12" ht="14.25">
      <c r="A117" s="443"/>
      <c r="B117" s="464" t="s">
        <v>103</v>
      </c>
      <c r="C117" s="703">
        <v>50000</v>
      </c>
      <c r="D117" s="703"/>
      <c r="E117" s="456" t="s">
        <v>74</v>
      </c>
      <c r="F117" s="473">
        <f>H114</f>
        <v>133685.008</v>
      </c>
      <c r="G117" s="456" t="s">
        <v>73</v>
      </c>
      <c r="H117" s="466">
        <f>C117/F117</f>
        <v>0.3740135169083432</v>
      </c>
      <c r="I117" s="455" t="s">
        <v>104</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114</v>
      </c>
      <c r="D119" s="475"/>
      <c r="E119" s="476"/>
      <c r="F119" s="475"/>
      <c r="G119" s="475"/>
      <c r="H119" s="475"/>
      <c r="I119" s="475"/>
      <c r="J119" s="475"/>
      <c r="K119" s="477"/>
      <c r="L119" s="443"/>
    </row>
    <row r="120" spans="1:12" ht="14.25">
      <c r="A120" s="443"/>
      <c r="B120" s="464" t="s">
        <v>106</v>
      </c>
      <c r="C120" s="703">
        <v>2500000</v>
      </c>
      <c r="D120" s="703"/>
      <c r="E120" s="456" t="s">
        <v>46</v>
      </c>
      <c r="F120" s="494">
        <v>0.25</v>
      </c>
      <c r="G120" s="456" t="s">
        <v>73</v>
      </c>
      <c r="H120" s="473">
        <f>C120*F120</f>
        <v>625000</v>
      </c>
      <c r="I120" s="455" t="s">
        <v>107</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108</v>
      </c>
      <c r="D122" s="475"/>
      <c r="E122" s="476"/>
      <c r="F122" s="475" t="s">
        <v>104</v>
      </c>
      <c r="G122" s="475"/>
      <c r="H122" s="475"/>
      <c r="I122" s="475"/>
      <c r="J122" s="475" t="s">
        <v>109</v>
      </c>
      <c r="K122" s="477"/>
      <c r="L122" s="443"/>
    </row>
    <row r="123" spans="1:12" ht="14.25">
      <c r="A123" s="443"/>
      <c r="B123" s="464" t="s">
        <v>110</v>
      </c>
      <c r="C123" s="707">
        <f>H120</f>
        <v>625000</v>
      </c>
      <c r="D123" s="707"/>
      <c r="E123" s="456" t="s">
        <v>46</v>
      </c>
      <c r="F123" s="466">
        <f>H117</f>
        <v>0.3740135169083432</v>
      </c>
      <c r="G123" s="456" t="s">
        <v>74</v>
      </c>
      <c r="H123" s="456">
        <v>1000</v>
      </c>
      <c r="I123" s="456" t="s">
        <v>73</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4" t="s">
        <v>63</v>
      </c>
      <c r="C125" s="704"/>
      <c r="D125" s="704"/>
      <c r="E125" s="704"/>
      <c r="F125" s="704"/>
      <c r="G125" s="704"/>
      <c r="H125" s="704"/>
      <c r="I125" s="704"/>
      <c r="J125" s="704"/>
      <c r="K125" s="704"/>
      <c r="L125" s="498"/>
    </row>
    <row r="126" spans="1:12" ht="14.25">
      <c r="A126" s="443"/>
      <c r="B126" s="705" t="s">
        <v>118</v>
      </c>
      <c r="C126" s="705"/>
      <c r="D126" s="705"/>
      <c r="E126" s="705"/>
      <c r="F126" s="705"/>
      <c r="G126" s="705"/>
      <c r="H126" s="705"/>
      <c r="I126" s="705"/>
      <c r="J126" s="705"/>
      <c r="K126" s="705"/>
      <c r="L126" s="498"/>
    </row>
    <row r="127" spans="1:12" ht="14.25">
      <c r="A127" s="443"/>
      <c r="B127" s="447"/>
      <c r="C127" s="447"/>
      <c r="D127" s="447"/>
      <c r="E127" s="447"/>
      <c r="F127" s="447"/>
      <c r="G127" s="447"/>
      <c r="H127" s="447"/>
      <c r="I127" s="447"/>
      <c r="J127" s="447"/>
      <c r="K127" s="447"/>
      <c r="L127" s="498"/>
    </row>
    <row r="128" spans="1:12" ht="14.25">
      <c r="A128" s="443"/>
      <c r="B128" s="705" t="s">
        <v>490</v>
      </c>
      <c r="C128" s="705"/>
      <c r="D128" s="705"/>
      <c r="E128" s="705"/>
      <c r="F128" s="705"/>
      <c r="G128" s="705"/>
      <c r="H128" s="705"/>
      <c r="I128" s="705"/>
      <c r="J128" s="705"/>
      <c r="K128" s="705"/>
      <c r="L128" s="498"/>
    </row>
    <row r="129" spans="1:12" ht="14.25">
      <c r="A129" s="443"/>
      <c r="B129" s="484"/>
      <c r="C129" s="484"/>
      <c r="D129" s="484"/>
      <c r="E129" s="484"/>
      <c r="F129" s="484"/>
      <c r="G129" s="484"/>
      <c r="H129" s="484"/>
      <c r="I129" s="484"/>
      <c r="J129" s="484"/>
      <c r="K129" s="484"/>
      <c r="L129" s="498"/>
    </row>
    <row r="130" spans="1:12" ht="74.25" customHeight="1">
      <c r="A130" s="443"/>
      <c r="B130" s="706" t="s">
        <v>491</v>
      </c>
      <c r="C130" s="706"/>
      <c r="D130" s="706"/>
      <c r="E130" s="706"/>
      <c r="F130" s="706"/>
      <c r="G130" s="706"/>
      <c r="H130" s="706"/>
      <c r="I130" s="706"/>
      <c r="J130" s="706"/>
      <c r="K130" s="706"/>
      <c r="L130" s="498"/>
    </row>
    <row r="131" spans="1:12" ht="15" thickBot="1">
      <c r="A131" s="443"/>
      <c r="L131" s="443"/>
    </row>
    <row r="132" spans="1:12" ht="14.25">
      <c r="A132" s="443"/>
      <c r="B132" s="451" t="s">
        <v>67</v>
      </c>
      <c r="C132" s="452"/>
      <c r="D132" s="452"/>
      <c r="E132" s="452"/>
      <c r="F132" s="452"/>
      <c r="G132" s="452"/>
      <c r="H132" s="452"/>
      <c r="I132" s="452"/>
      <c r="J132" s="452"/>
      <c r="K132" s="453"/>
      <c r="L132" s="443"/>
    </row>
    <row r="133" spans="1:12" ht="14.25">
      <c r="A133" s="443"/>
      <c r="B133" s="464"/>
      <c r="C133" s="702" t="s">
        <v>492</v>
      </c>
      <c r="D133" s="702"/>
      <c r="E133" s="455"/>
      <c r="F133" s="456" t="s">
        <v>493</v>
      </c>
      <c r="G133" s="455"/>
      <c r="H133" s="702" t="s">
        <v>107</v>
      </c>
      <c r="I133" s="702"/>
      <c r="J133" s="455"/>
      <c r="K133" s="458"/>
      <c r="L133" s="443"/>
    </row>
    <row r="134" spans="1:12" ht="14.25">
      <c r="A134" s="443"/>
      <c r="B134" s="464" t="s">
        <v>100</v>
      </c>
      <c r="C134" s="703">
        <v>100000</v>
      </c>
      <c r="D134" s="703"/>
      <c r="E134" s="456" t="s">
        <v>46</v>
      </c>
      <c r="F134" s="456">
        <v>0.115</v>
      </c>
      <c r="G134" s="456" t="s">
        <v>73</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6" t="s">
        <v>107</v>
      </c>
      <c r="D136" s="696"/>
      <c r="E136" s="475"/>
      <c r="F136" s="476" t="s">
        <v>494</v>
      </c>
      <c r="G136" s="476"/>
      <c r="H136" s="475"/>
      <c r="I136" s="475"/>
      <c r="J136" s="475" t="s">
        <v>495</v>
      </c>
      <c r="K136" s="477"/>
      <c r="L136" s="443"/>
    </row>
    <row r="137" spans="1:12" ht="14.25">
      <c r="A137" s="443"/>
      <c r="B137" s="464" t="s">
        <v>103</v>
      </c>
      <c r="C137" s="694">
        <f>H134</f>
        <v>11500</v>
      </c>
      <c r="D137" s="694"/>
      <c r="E137" s="456" t="s">
        <v>46</v>
      </c>
      <c r="F137" s="499">
        <v>52.869</v>
      </c>
      <c r="G137" s="456" t="s">
        <v>74</v>
      </c>
      <c r="H137" s="456">
        <v>1000</v>
      </c>
      <c r="I137" s="456" t="s">
        <v>73</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63</v>
      </c>
      <c r="C139" s="505"/>
      <c r="D139" s="505"/>
      <c r="E139" s="506"/>
      <c r="F139" s="507"/>
      <c r="G139" s="506"/>
      <c r="H139" s="506"/>
      <c r="I139" s="506"/>
      <c r="J139" s="508"/>
      <c r="K139" s="509"/>
      <c r="L139" s="443"/>
    </row>
    <row r="140" spans="1:12" ht="14.25">
      <c r="A140" s="443"/>
      <c r="B140" s="510" t="s">
        <v>496</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497</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7" t="s">
        <v>498</v>
      </c>
      <c r="C144" s="698"/>
      <c r="D144" s="698"/>
      <c r="E144" s="698"/>
      <c r="F144" s="698"/>
      <c r="G144" s="698"/>
      <c r="H144" s="698"/>
      <c r="I144" s="698"/>
      <c r="J144" s="698"/>
      <c r="K144" s="699"/>
      <c r="L144" s="443"/>
    </row>
    <row r="145" spans="1:12" ht="15" thickBot="1">
      <c r="A145" s="443"/>
      <c r="B145" s="464"/>
      <c r="C145" s="473"/>
      <c r="D145" s="473"/>
      <c r="E145" s="456"/>
      <c r="F145" s="516"/>
      <c r="G145" s="456"/>
      <c r="H145" s="456"/>
      <c r="I145" s="456"/>
      <c r="J145" s="500"/>
      <c r="K145" s="458"/>
      <c r="L145" s="443"/>
    </row>
    <row r="146" spans="1:12" ht="14.25">
      <c r="A146" s="443"/>
      <c r="B146" s="451" t="s">
        <v>67</v>
      </c>
      <c r="C146" s="517"/>
      <c r="D146" s="517"/>
      <c r="E146" s="518"/>
      <c r="F146" s="519"/>
      <c r="G146" s="518"/>
      <c r="H146" s="518"/>
      <c r="I146" s="518"/>
      <c r="J146" s="520"/>
      <c r="K146" s="453"/>
      <c r="L146" s="443"/>
    </row>
    <row r="147" spans="1:12" ht="14.25">
      <c r="A147" s="443"/>
      <c r="B147" s="464"/>
      <c r="C147" s="694" t="s">
        <v>499</v>
      </c>
      <c r="D147" s="694"/>
      <c r="E147" s="456"/>
      <c r="F147" s="516" t="s">
        <v>500</v>
      </c>
      <c r="G147" s="456"/>
      <c r="H147" s="456"/>
      <c r="I147" s="456"/>
      <c r="J147" s="700" t="s">
        <v>501</v>
      </c>
      <c r="K147" s="701"/>
      <c r="L147" s="443"/>
    </row>
    <row r="148" spans="1:12" ht="14.25">
      <c r="A148" s="443"/>
      <c r="B148" s="464"/>
      <c r="C148" s="693">
        <v>52.869</v>
      </c>
      <c r="D148" s="693"/>
      <c r="E148" s="456" t="s">
        <v>46</v>
      </c>
      <c r="F148" s="521">
        <v>133685008</v>
      </c>
      <c r="G148" s="522" t="s">
        <v>74</v>
      </c>
      <c r="H148" s="456">
        <v>1000</v>
      </c>
      <c r="I148" s="456" t="s">
        <v>73</v>
      </c>
      <c r="J148" s="694">
        <f>C148*(F148/1000)</f>
        <v>7067792.687952</v>
      </c>
      <c r="K148" s="695"/>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502</v>
      </c>
    </row>
    <row r="3" ht="31.5">
      <c r="A3" s="526" t="s">
        <v>503</v>
      </c>
    </row>
    <row r="4" ht="15.75">
      <c r="A4" s="527" t="s">
        <v>504</v>
      </c>
    </row>
    <row r="7" ht="31.5">
      <c r="A7" s="526" t="s">
        <v>505</v>
      </c>
    </row>
    <row r="8" ht="15.75">
      <c r="A8" s="527" t="s">
        <v>506</v>
      </c>
    </row>
    <row r="11" ht="15.75">
      <c r="A11" s="525" t="s">
        <v>507</v>
      </c>
    </row>
    <row r="12" ht="15.75">
      <c r="A12" s="527" t="s">
        <v>508</v>
      </c>
    </row>
    <row r="15" ht="15.75">
      <c r="A15" s="525" t="s">
        <v>509</v>
      </c>
    </row>
    <row r="16" ht="15.75">
      <c r="A16" s="527" t="s">
        <v>510</v>
      </c>
    </row>
    <row r="19" ht="15.75">
      <c r="A19" s="525" t="s">
        <v>511</v>
      </c>
    </row>
    <row r="20" ht="15.75">
      <c r="A20" s="527" t="s">
        <v>512</v>
      </c>
    </row>
    <row r="23" ht="15.75">
      <c r="A23" s="525" t="s">
        <v>513</v>
      </c>
    </row>
    <row r="24" ht="15.75">
      <c r="A24" s="527" t="s">
        <v>514</v>
      </c>
    </row>
    <row r="27" ht="15.75">
      <c r="A27" s="525" t="s">
        <v>515</v>
      </c>
    </row>
    <row r="28" ht="15.75">
      <c r="A28" s="527" t="s">
        <v>516</v>
      </c>
    </row>
    <row r="31" ht="15.75">
      <c r="A31" s="525" t="s">
        <v>517</v>
      </c>
    </row>
    <row r="32" ht="15.75">
      <c r="A32" s="527" t="s">
        <v>518</v>
      </c>
    </row>
    <row r="35" ht="15.75">
      <c r="A35" s="525" t="s">
        <v>519</v>
      </c>
    </row>
    <row r="36" ht="15.75">
      <c r="A36" s="527" t="s">
        <v>520</v>
      </c>
    </row>
    <row r="39" ht="15.75">
      <c r="A39" s="525" t="s">
        <v>521</v>
      </c>
    </row>
    <row r="40" ht="15.75">
      <c r="A40" s="527" t="s">
        <v>522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712</v>
      </c>
    </row>
    <row r="2" ht="15.75">
      <c r="A2" s="91" t="s">
        <v>713</v>
      </c>
    </row>
    <row r="4" ht="15.75">
      <c r="A4" s="401" t="s">
        <v>710</v>
      </c>
    </row>
    <row r="5" ht="15.75">
      <c r="A5" s="91" t="s">
        <v>711</v>
      </c>
    </row>
    <row r="7" ht="15.75">
      <c r="A7" s="401" t="s">
        <v>707</v>
      </c>
    </row>
    <row r="8" ht="15.75">
      <c r="A8" s="605" t="s">
        <v>708</v>
      </c>
    </row>
    <row r="10" ht="15.75">
      <c r="A10" s="401" t="s">
        <v>704</v>
      </c>
    </row>
    <row r="11" ht="15.75">
      <c r="A11" s="91" t="s">
        <v>705</v>
      </c>
    </row>
    <row r="12" ht="15.75">
      <c r="A12" s="91" t="s">
        <v>706</v>
      </c>
    </row>
    <row r="14" ht="15.75">
      <c r="A14" s="401" t="s">
        <v>677</v>
      </c>
    </row>
    <row r="15" ht="15.75">
      <c r="A15" s="605" t="s">
        <v>678</v>
      </c>
    </row>
    <row r="16" ht="15.75">
      <c r="A16" s="605" t="s">
        <v>679</v>
      </c>
    </row>
    <row r="17" ht="31.5">
      <c r="A17" s="604" t="s">
        <v>680</v>
      </c>
    </row>
    <row r="18" ht="15.75">
      <c r="A18" s="605" t="s">
        <v>681</v>
      </c>
    </row>
    <row r="19" ht="15.75">
      <c r="A19" s="605" t="s">
        <v>682</v>
      </c>
    </row>
    <row r="20" ht="15.75">
      <c r="A20" s="605" t="s">
        <v>683</v>
      </c>
    </row>
    <row r="21" ht="15.75">
      <c r="A21" s="605" t="s">
        <v>684</v>
      </c>
    </row>
    <row r="22" ht="15.75">
      <c r="A22" s="605" t="s">
        <v>685</v>
      </c>
    </row>
    <row r="23" ht="15.75">
      <c r="A23" s="605" t="s">
        <v>686</v>
      </c>
    </row>
    <row r="24" ht="15.75">
      <c r="A24" s="605" t="s">
        <v>687</v>
      </c>
    </row>
    <row r="25" ht="15.75">
      <c r="A25" s="605" t="s">
        <v>688</v>
      </c>
    </row>
    <row r="26" ht="15.75">
      <c r="A26" s="605" t="s">
        <v>689</v>
      </c>
    </row>
    <row r="27" ht="15.75">
      <c r="A27" s="605" t="s">
        <v>700</v>
      </c>
    </row>
    <row r="28" ht="15.75">
      <c r="A28" s="605" t="s">
        <v>690</v>
      </c>
    </row>
    <row r="29" ht="15.75">
      <c r="A29" s="605" t="s">
        <v>691</v>
      </c>
    </row>
    <row r="30" ht="15.75">
      <c r="A30" s="605" t="s">
        <v>692</v>
      </c>
    </row>
    <row r="31" ht="15.75">
      <c r="A31" s="605" t="s">
        <v>693</v>
      </c>
    </row>
    <row r="32" ht="15.75">
      <c r="A32" s="605" t="s">
        <v>694</v>
      </c>
    </row>
    <row r="33" ht="15.75">
      <c r="A33" s="605" t="s">
        <v>695</v>
      </c>
    </row>
    <row r="34" ht="15.75">
      <c r="A34" s="605" t="s">
        <v>696</v>
      </c>
    </row>
    <row r="35" ht="15.75">
      <c r="A35" s="605" t="s">
        <v>697</v>
      </c>
    </row>
    <row r="36" ht="15.75">
      <c r="A36" s="605" t="s">
        <v>698</v>
      </c>
    </row>
    <row r="37" ht="15.75">
      <c r="A37" s="605" t="s">
        <v>703</v>
      </c>
    </row>
    <row r="39" ht="15.75">
      <c r="A39" s="401" t="s">
        <v>55</v>
      </c>
    </row>
    <row r="40" ht="39" customHeight="1">
      <c r="A40" s="360" t="s">
        <v>56</v>
      </c>
    </row>
    <row r="41" ht="23.25" customHeight="1"/>
    <row r="42" ht="15.75">
      <c r="A42" s="401" t="s">
        <v>826</v>
      </c>
    </row>
    <row r="43" ht="15.75">
      <c r="A43" s="91" t="s">
        <v>827</v>
      </c>
    </row>
    <row r="44" ht="15.75">
      <c r="A44" s="91" t="s">
        <v>828</v>
      </c>
    </row>
    <row r="45" ht="15.75">
      <c r="A45" s="91" t="s">
        <v>829</v>
      </c>
    </row>
    <row r="47" ht="15.75">
      <c r="A47" s="404" t="s">
        <v>815</v>
      </c>
    </row>
    <row r="48" ht="15.75">
      <c r="A48" s="91" t="s">
        <v>825</v>
      </c>
    </row>
    <row r="50" ht="15.75">
      <c r="A50" s="401" t="s">
        <v>789</v>
      </c>
    </row>
    <row r="51" ht="15.75">
      <c r="A51" s="402" t="s">
        <v>790</v>
      </c>
    </row>
    <row r="52" ht="15.75">
      <c r="A52" s="402" t="s">
        <v>791</v>
      </c>
    </row>
    <row r="53" ht="15.75">
      <c r="A53" s="402" t="s">
        <v>792</v>
      </c>
    </row>
    <row r="54" ht="15.75">
      <c r="A54" s="400" t="s">
        <v>793</v>
      </c>
    </row>
    <row r="56" ht="15.75">
      <c r="A56" s="373" t="s">
        <v>552</v>
      </c>
    </row>
    <row r="57" ht="15.75">
      <c r="A57" s="91" t="s">
        <v>554</v>
      </c>
    </row>
    <row r="58" ht="15.75">
      <c r="A58" s="91" t="s">
        <v>555</v>
      </c>
    </row>
    <row r="59" ht="15.75">
      <c r="A59" s="91" t="s">
        <v>556</v>
      </c>
    </row>
    <row r="60" ht="15.75">
      <c r="A60" s="91" t="s">
        <v>557</v>
      </c>
    </row>
    <row r="61" ht="15.75">
      <c r="A61" s="91" t="s">
        <v>558</v>
      </c>
    </row>
    <row r="62" ht="15.75">
      <c r="A62" s="91" t="s">
        <v>559</v>
      </c>
    </row>
    <row r="63" ht="15.75">
      <c r="A63" s="91" t="s">
        <v>574</v>
      </c>
    </row>
    <row r="64" ht="15.75">
      <c r="A64" s="91" t="s">
        <v>575</v>
      </c>
    </row>
    <row r="65" ht="15.75">
      <c r="A65" s="91" t="s">
        <v>576</v>
      </c>
    </row>
    <row r="66" ht="15.75">
      <c r="A66" s="91" t="s">
        <v>577</v>
      </c>
    </row>
    <row r="67" ht="15.75">
      <c r="A67" s="91" t="s">
        <v>126</v>
      </c>
    </row>
    <row r="68" ht="31.5">
      <c r="A68" s="360" t="s">
        <v>127</v>
      </c>
    </row>
    <row r="69" ht="15.75">
      <c r="A69" s="360" t="s">
        <v>136</v>
      </c>
    </row>
    <row r="70" ht="15.75">
      <c r="A70" s="375" t="s">
        <v>602</v>
      </c>
    </row>
    <row r="71" ht="15.75">
      <c r="A71" s="376" t="s">
        <v>603</v>
      </c>
    </row>
    <row r="73" ht="15.75">
      <c r="A73" s="373" t="s">
        <v>547</v>
      </c>
    </row>
    <row r="74" ht="15.75">
      <c r="A74" s="91" t="s">
        <v>548</v>
      </c>
    </row>
    <row r="75" ht="15.75">
      <c r="A75" s="91" t="s">
        <v>549</v>
      </c>
    </row>
    <row r="77" ht="15.75">
      <c r="A77" s="373" t="s">
        <v>545</v>
      </c>
    </row>
    <row r="78" ht="15.75">
      <c r="A78" s="91" t="s">
        <v>546</v>
      </c>
    </row>
    <row r="80" ht="15.75">
      <c r="A80" s="373" t="s">
        <v>543</v>
      </c>
    </row>
    <row r="81" ht="15.75">
      <c r="A81" s="91" t="s">
        <v>544</v>
      </c>
    </row>
    <row r="83" ht="15.75">
      <c r="A83" s="373" t="s">
        <v>540</v>
      </c>
    </row>
    <row r="84" ht="15.75">
      <c r="A84" s="91" t="s">
        <v>541</v>
      </c>
    </row>
    <row r="85" ht="15.75">
      <c r="A85" s="91" t="s">
        <v>542</v>
      </c>
    </row>
    <row r="87" ht="15.75">
      <c r="A87" s="91" t="s">
        <v>536</v>
      </c>
    </row>
    <row r="88" ht="15.75">
      <c r="A88" s="91" t="s">
        <v>537</v>
      </c>
    </row>
    <row r="89" ht="15.75">
      <c r="A89" s="91" t="s">
        <v>538</v>
      </c>
    </row>
    <row r="90" ht="15.75">
      <c r="A90" s="91" t="s">
        <v>539</v>
      </c>
    </row>
    <row r="92" ht="15.75">
      <c r="A92" s="91" t="s">
        <v>53</v>
      </c>
    </row>
    <row r="93" ht="15.75">
      <c r="A93" s="91" t="s">
        <v>54</v>
      </c>
    </row>
    <row r="94" ht="15.75">
      <c r="A94" s="91" t="s">
        <v>534</v>
      </c>
    </row>
    <row r="96" ht="15.75">
      <c r="A96" s="91" t="s">
        <v>51</v>
      </c>
    </row>
    <row r="97" ht="34.5" customHeight="1">
      <c r="A97" s="91" t="s">
        <v>52</v>
      </c>
    </row>
    <row r="99" ht="15.75">
      <c r="A99" s="91" t="s">
        <v>6</v>
      </c>
    </row>
    <row r="100" ht="15.75">
      <c r="A100" s="91" t="s">
        <v>7</v>
      </c>
    </row>
    <row r="101" ht="31.5">
      <c r="A101" s="360" t="s">
        <v>23</v>
      </c>
    </row>
    <row r="102" ht="15.75">
      <c r="A102" s="91" t="s">
        <v>8</v>
      </c>
    </row>
    <row r="103" ht="15.75">
      <c r="A103" s="91" t="s">
        <v>9</v>
      </c>
    </row>
    <row r="104" ht="15.75">
      <c r="A104" s="91" t="s">
        <v>10</v>
      </c>
    </row>
    <row r="105" ht="15.75">
      <c r="A105" s="91" t="s">
        <v>11</v>
      </c>
    </row>
    <row r="106" ht="31.5">
      <c r="A106" s="360" t="s">
        <v>481</v>
      </c>
    </row>
    <row r="107" ht="31.5">
      <c r="A107" s="360" t="s">
        <v>19</v>
      </c>
    </row>
    <row r="108" ht="31.5">
      <c r="A108" s="360" t="s">
        <v>12</v>
      </c>
    </row>
    <row r="109" ht="15.75">
      <c r="A109" s="360" t="s">
        <v>13</v>
      </c>
    </row>
    <row r="110" ht="31.5">
      <c r="A110" s="360" t="s">
        <v>14</v>
      </c>
    </row>
    <row r="111" ht="33.75" customHeight="1">
      <c r="A111" s="91" t="s">
        <v>15</v>
      </c>
    </row>
    <row r="112" ht="26.25" customHeight="1">
      <c r="A112" s="91" t="s">
        <v>16</v>
      </c>
    </row>
    <row r="113" ht="33.75" customHeight="1">
      <c r="A113" s="91" t="s">
        <v>17</v>
      </c>
    </row>
    <row r="114" ht="30.75" customHeight="1">
      <c r="A114" s="91" t="s">
        <v>22</v>
      </c>
    </row>
    <row r="115" ht="21" customHeight="1">
      <c r="A115" s="360" t="s">
        <v>20</v>
      </c>
    </row>
    <row r="116" ht="38.25" customHeight="1">
      <c r="A116" s="360" t="s">
        <v>475</v>
      </c>
    </row>
    <row r="117" ht="33.75" customHeight="1">
      <c r="A117" s="360" t="s">
        <v>482</v>
      </c>
    </row>
    <row r="118" ht="33.75" customHeight="1">
      <c r="A118" s="360" t="s">
        <v>476</v>
      </c>
    </row>
    <row r="119" ht="33.75" customHeight="1">
      <c r="A119" s="360" t="s">
        <v>477</v>
      </c>
    </row>
    <row r="120" ht="33.75" customHeight="1">
      <c r="A120" s="360" t="s">
        <v>478</v>
      </c>
    </row>
    <row r="121" ht="31.5">
      <c r="A121" s="360" t="s">
        <v>479</v>
      </c>
    </row>
    <row r="122" ht="31.5">
      <c r="A122" s="360" t="s">
        <v>483</v>
      </c>
    </row>
    <row r="123" ht="31.5">
      <c r="A123" s="360" t="s">
        <v>480</v>
      </c>
    </row>
    <row r="124" ht="31.5">
      <c r="A124" s="360" t="s">
        <v>484</v>
      </c>
    </row>
    <row r="125" ht="15.75">
      <c r="A125" s="360" t="s">
        <v>0</v>
      </c>
    </row>
    <row r="127" ht="15.75">
      <c r="A127" s="91" t="s">
        <v>430</v>
      </c>
    </row>
    <row r="128" ht="47.25">
      <c r="A128" s="360" t="s">
        <v>485</v>
      </c>
    </row>
    <row r="129" ht="15.75">
      <c r="A129" s="91" t="s">
        <v>431</v>
      </c>
    </row>
    <row r="130" ht="15.75">
      <c r="A130" s="91" t="s">
        <v>435</v>
      </c>
    </row>
    <row r="131" ht="15.75">
      <c r="A131" s="91" t="s">
        <v>436</v>
      </c>
    </row>
    <row r="132" ht="15.75">
      <c r="A132" s="91" t="s">
        <v>432</v>
      </c>
    </row>
    <row r="133" ht="15.75">
      <c r="A133" s="91" t="s">
        <v>433</v>
      </c>
    </row>
    <row r="134" ht="15.75">
      <c r="A134" s="91" t="s">
        <v>434</v>
      </c>
    </row>
    <row r="135" ht="15.75">
      <c r="A135" s="360" t="s">
        <v>437</v>
      </c>
    </row>
    <row r="136" ht="15.75">
      <c r="A136" s="91" t="s">
        <v>438</v>
      </c>
    </row>
    <row r="137" ht="15.75">
      <c r="A137" s="91" t="s">
        <v>439</v>
      </c>
    </row>
    <row r="138" ht="15.75">
      <c r="A138" s="91" t="s">
        <v>486</v>
      </c>
    </row>
    <row r="139" ht="15.75">
      <c r="A139" s="91" t="s">
        <v>440</v>
      </c>
    </row>
    <row r="140" ht="15.75">
      <c r="A140" s="91" t="s">
        <v>487</v>
      </c>
    </row>
    <row r="141" ht="15.75">
      <c r="A141" s="91" t="s">
        <v>441</v>
      </c>
    </row>
    <row r="142" ht="15.75">
      <c r="A142" s="91" t="s">
        <v>488</v>
      </c>
    </row>
    <row r="143" ht="15.75">
      <c r="A143" s="91" t="s">
        <v>442</v>
      </c>
    </row>
    <row r="144" ht="15.75">
      <c r="A144" s="91" t="s">
        <v>446</v>
      </c>
    </row>
    <row r="145" ht="15.75">
      <c r="A145" s="91" t="s">
        <v>489</v>
      </c>
    </row>
    <row r="146" ht="15.75">
      <c r="A146" s="91" t="s">
        <v>464</v>
      </c>
    </row>
    <row r="147" ht="15.75">
      <c r="A147" s="91" t="s">
        <v>465</v>
      </c>
    </row>
    <row r="148" ht="15.75">
      <c r="A148" s="91" t="s">
        <v>466</v>
      </c>
    </row>
    <row r="149" ht="15.75">
      <c r="A149" s="91" t="s">
        <v>450</v>
      </c>
    </row>
    <row r="150" ht="15.75">
      <c r="A150" s="91" t="s">
        <v>451</v>
      </c>
    </row>
    <row r="151" ht="15.75">
      <c r="A151" s="91" t="s">
        <v>452</v>
      </c>
    </row>
    <row r="152" ht="15.75">
      <c r="A152" s="91" t="s">
        <v>461</v>
      </c>
    </row>
    <row r="153" ht="15.75">
      <c r="A153" s="91" t="s">
        <v>462</v>
      </c>
    </row>
    <row r="154" ht="15.75">
      <c r="A154" s="91" t="s">
        <v>463</v>
      </c>
    </row>
    <row r="155" ht="15.75">
      <c r="A155" s="91" t="s">
        <v>474</v>
      </c>
    </row>
    <row r="156" ht="15.75">
      <c r="A156" s="91" t="s">
        <v>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3">
      <selection activeCell="D16" sqref="D16"/>
    </sheetView>
  </sheetViews>
  <sheetFormatPr defaultColWidth="8.796875" defaultRowHeight="15.75"/>
  <cols>
    <col min="1" max="1" width="13.69921875" style="0" customWidth="1"/>
    <col min="2" max="2" width="16" style="0" customWidth="1"/>
  </cols>
  <sheetData>
    <row r="2" spans="1:6" ht="54" customHeight="1">
      <c r="A2" s="641" t="s">
        <v>604</v>
      </c>
      <c r="B2" s="642"/>
      <c r="C2" s="642"/>
      <c r="D2" s="642"/>
      <c r="E2" s="642"/>
      <c r="F2" s="642"/>
    </row>
    <row r="4" spans="1:6" ht="15.75">
      <c r="A4" s="383"/>
      <c r="B4" s="383"/>
      <c r="C4" s="383"/>
      <c r="D4" s="385"/>
      <c r="E4" s="383"/>
      <c r="F4" s="383"/>
    </row>
    <row r="5" spans="1:6" ht="15.75">
      <c r="A5" s="384" t="s">
        <v>605</v>
      </c>
      <c r="B5" s="386" t="s">
        <v>137</v>
      </c>
      <c r="C5" s="387"/>
      <c r="D5" s="384" t="s">
        <v>702</v>
      </c>
      <c r="E5" s="383"/>
      <c r="F5" s="383"/>
    </row>
    <row r="6" spans="1:6" ht="15.75">
      <c r="A6" s="384"/>
      <c r="B6" s="388"/>
      <c r="C6" s="389"/>
      <c r="D6" s="384" t="s">
        <v>701</v>
      </c>
      <c r="E6" s="383"/>
      <c r="F6" s="383"/>
    </row>
    <row r="7" spans="1:6" ht="15.75">
      <c r="A7" s="384" t="s">
        <v>606</v>
      </c>
      <c r="B7" s="386" t="s">
        <v>138</v>
      </c>
      <c r="C7" s="390"/>
      <c r="D7" s="384"/>
      <c r="E7" s="383"/>
      <c r="F7" s="383"/>
    </row>
    <row r="8" spans="1:6" ht="15.75">
      <c r="A8" s="384"/>
      <c r="B8" s="384"/>
      <c r="C8" s="384"/>
      <c r="D8" s="384"/>
      <c r="E8" s="383"/>
      <c r="F8" s="383"/>
    </row>
    <row r="9" spans="1:6" ht="15.75">
      <c r="A9" s="384" t="s">
        <v>607</v>
      </c>
      <c r="B9" s="391" t="s">
        <v>592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608</v>
      </c>
      <c r="B12" s="391" t="s">
        <v>715</v>
      </c>
      <c r="C12" s="391"/>
      <c r="D12" s="391"/>
      <c r="E12" s="392"/>
      <c r="F12" s="383"/>
    </row>
    <row r="15" spans="1:6" ht="15.75">
      <c r="A15" s="643" t="s">
        <v>609</v>
      </c>
      <c r="B15" s="643"/>
      <c r="C15" s="384"/>
      <c r="D15" s="384"/>
      <c r="E15" s="384"/>
      <c r="F15" s="383"/>
    </row>
    <row r="16" spans="1:6" ht="15.75">
      <c r="A16" s="384"/>
      <c r="B16" s="384"/>
      <c r="C16" s="384"/>
      <c r="D16" s="384"/>
      <c r="E16" s="384"/>
      <c r="F16" s="383"/>
    </row>
    <row r="17" spans="1:5" ht="15.75">
      <c r="A17" s="384" t="s">
        <v>605</v>
      </c>
      <c r="B17" s="388" t="s">
        <v>610</v>
      </c>
      <c r="C17" s="384"/>
      <c r="D17" s="384"/>
      <c r="E17" s="384"/>
    </row>
    <row r="18" spans="1:5" ht="15.75">
      <c r="A18" s="384"/>
      <c r="B18" s="384"/>
      <c r="C18" s="384"/>
      <c r="D18" s="384"/>
      <c r="E18" s="384"/>
    </row>
    <row r="19" spans="1:5" ht="15.75">
      <c r="A19" s="384" t="s">
        <v>606</v>
      </c>
      <c r="B19" s="384" t="s">
        <v>611</v>
      </c>
      <c r="C19" s="384"/>
      <c r="D19" s="384"/>
      <c r="E19" s="384"/>
    </row>
    <row r="20" spans="1:5" ht="15.75">
      <c r="A20" s="384"/>
      <c r="B20" s="384"/>
      <c r="C20" s="384"/>
      <c r="D20" s="384"/>
      <c r="E20" s="384"/>
    </row>
    <row r="21" spans="1:5" ht="15.75">
      <c r="A21" s="384" t="s">
        <v>607</v>
      </c>
      <c r="B21" s="384" t="s">
        <v>613</v>
      </c>
      <c r="C21" s="384"/>
      <c r="D21" s="384"/>
      <c r="E21" s="384"/>
    </row>
    <row r="22" spans="1:5" ht="15.75">
      <c r="A22" s="384"/>
      <c r="B22" s="384"/>
      <c r="C22" s="384"/>
      <c r="D22" s="384"/>
      <c r="E22" s="384"/>
    </row>
    <row r="23" spans="1:5" ht="15.75">
      <c r="A23" s="384" t="s">
        <v>608</v>
      </c>
      <c r="B23" s="384" t="s">
        <v>612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50" zoomScaleNormal="50" zoomScalePageLayoutView="0" workbookViewId="0" topLeftCell="A25">
      <selection activeCell="G59" sqref="B1:H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307</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Morris County, State of Kansas</v>
      </c>
      <c r="C3" s="654"/>
      <c r="D3" s="654"/>
      <c r="E3" s="654"/>
      <c r="F3" s="654"/>
      <c r="G3" s="654"/>
      <c r="H3" s="654"/>
    </row>
    <row r="4" spans="2:7" s="14" customFormat="1" ht="15.75">
      <c r="B4" s="158" t="s">
        <v>390</v>
      </c>
      <c r="C4" s="156"/>
      <c r="D4" s="156"/>
      <c r="E4" s="156"/>
      <c r="F4" s="156"/>
      <c r="G4" s="156"/>
    </row>
    <row r="5" s="14" customFormat="1" ht="15.75">
      <c r="D5" s="427" t="str">
        <f>inputPrYr!D2</f>
        <v>SEVEN TOWNSHIP</v>
      </c>
    </row>
    <row r="6" spans="2:7" s="14" customFormat="1" ht="15.75">
      <c r="B6" s="653" t="s">
        <v>388</v>
      </c>
      <c r="C6" s="654"/>
      <c r="D6" s="654"/>
      <c r="E6" s="654"/>
      <c r="F6" s="654"/>
      <c r="G6" s="654"/>
    </row>
    <row r="7" spans="2:7" s="14" customFormat="1" ht="15.75" customHeight="1">
      <c r="B7" s="618" t="s">
        <v>389</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34</v>
      </c>
      <c r="F12" s="647" t="str">
        <f>CONCATENATE("Amount of ",H1-1," Ad Valorem Tax")</f>
        <v>Amount of 2011 Ad Valorem Tax</v>
      </c>
      <c r="G12" s="23" t="s">
        <v>35</v>
      </c>
    </row>
    <row r="13" spans="4:7" s="14" customFormat="1" ht="15.75">
      <c r="D13" s="23" t="s">
        <v>36</v>
      </c>
      <c r="E13" s="590" t="s">
        <v>454</v>
      </c>
      <c r="F13" s="648"/>
      <c r="G13" s="167" t="s">
        <v>37</v>
      </c>
    </row>
    <row r="14" spans="2:7" s="14" customFormat="1" ht="15.75">
      <c r="B14" s="82" t="s">
        <v>38</v>
      </c>
      <c r="C14" s="20"/>
      <c r="D14" s="26" t="s">
        <v>39</v>
      </c>
      <c r="E14" s="591" t="s">
        <v>532</v>
      </c>
      <c r="F14" s="649"/>
      <c r="G14" s="26" t="s">
        <v>41</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449</v>
      </c>
      <c r="C16" s="28"/>
      <c r="D16" s="172">
        <v>3</v>
      </c>
      <c r="E16" s="19"/>
      <c r="F16" s="19"/>
      <c r="G16" s="281"/>
    </row>
    <row r="17" spans="2:7" s="14" customFormat="1" ht="15.75">
      <c r="B17" s="74" t="s">
        <v>410</v>
      </c>
      <c r="C17" s="28"/>
      <c r="D17" s="172">
        <v>4</v>
      </c>
      <c r="E17" s="19"/>
      <c r="F17" s="19"/>
      <c r="G17" s="281"/>
    </row>
    <row r="18" spans="2:7" s="14" customFormat="1" ht="15.75">
      <c r="B18" s="74" t="s">
        <v>379</v>
      </c>
      <c r="C18" s="28"/>
      <c r="D18" s="172">
        <v>5</v>
      </c>
      <c r="E18" s="19"/>
      <c r="F18" s="19"/>
      <c r="G18" s="281"/>
    </row>
    <row r="19" spans="2:7" s="14" customFormat="1" ht="15.75">
      <c r="B19" s="282" t="s">
        <v>42</v>
      </c>
      <c r="C19" s="157" t="s">
        <v>43</v>
      </c>
      <c r="D19" s="192"/>
      <c r="G19" s="283"/>
    </row>
    <row r="20" spans="2:7" s="14" customFormat="1" ht="15.75">
      <c r="B20" s="96" t="str">
        <f>inputPrYr!B16</f>
        <v>General</v>
      </c>
      <c r="C20" s="284" t="str">
        <f>inputPrYr!C16</f>
        <v>79-1962</v>
      </c>
      <c r="D20" s="285">
        <f>IF(gen!C61&gt;0,gen!C61,"  ")</f>
        <v>6</v>
      </c>
      <c r="E20" s="172">
        <f>IF(gen!$E$50&lt;&gt;0,gen!$E$50,"  ")</f>
        <v>36300</v>
      </c>
      <c r="F20" s="172">
        <f>IF(gen!$E$57&lt;&gt;0,gen!$E$57,0)</f>
        <v>5138</v>
      </c>
      <c r="G20" s="168" t="str">
        <f>IF(AND(gen!E57=0,$C$38&gt;=0)," ",IF(AND(F20&gt;0,$C$38=0)," ",IF(AND(F20&gt;0,$C$38&gt;0),ROUND(F20/$C$38*1000,3))))</f>
        <v> </v>
      </c>
    </row>
    <row r="21" spans="2:7" s="14" customFormat="1" ht="15.75">
      <c r="B21" s="96" t="s">
        <v>535</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44</v>
      </c>
      <c r="C32" s="287"/>
      <c r="D32" s="288" t="str">
        <f>IF(road!C67&gt;0,road!C67,"  ")</f>
        <v>  </v>
      </c>
      <c r="E32" s="192"/>
      <c r="F32" s="192"/>
      <c r="G32" s="168"/>
    </row>
    <row r="33" spans="2:7" s="14" customFormat="1" ht="16.5" thickBot="1">
      <c r="B33" s="290" t="s">
        <v>45</v>
      </c>
      <c r="C33" s="291"/>
      <c r="D33" s="170" t="s">
        <v>46</v>
      </c>
      <c r="E33" s="292">
        <f>SUM(E20:E28)</f>
        <v>36300</v>
      </c>
      <c r="F33" s="292">
        <f>SUM(F20:F28)</f>
        <v>5138</v>
      </c>
      <c r="G33" s="293">
        <f>IF(SUM(G20:G28)&gt;0,SUM(G20:G28),"")</f>
      </c>
    </row>
    <row r="34" spans="2:4" s="14" customFormat="1" ht="16.5" thickTop="1">
      <c r="B34" s="27" t="s">
        <v>409</v>
      </c>
      <c r="C34" s="283"/>
      <c r="D34" s="288">
        <f>summ!D47</f>
        <v>7</v>
      </c>
    </row>
    <row r="35" spans="2:6" s="14" customFormat="1" ht="15.75">
      <c r="B35" s="27" t="s">
        <v>460</v>
      </c>
      <c r="C35" s="28"/>
      <c r="D35" s="288">
        <f>IF(nhood!C37&gt;0,nhood!C37,"")</f>
        <v>8</v>
      </c>
      <c r="E35" s="294" t="s">
        <v>396</v>
      </c>
      <c r="F35" s="295" t="str">
        <f>IF(F33&gt;computation!J34,"Yes","No")</f>
        <v>No</v>
      </c>
    </row>
    <row r="36" spans="2:6" s="14" customFormat="1" ht="15.75">
      <c r="B36" s="27" t="s">
        <v>395</v>
      </c>
      <c r="C36" s="28"/>
      <c r="D36" s="288">
        <f>IF(Resolution!D50&gt;0,Resolution!D50,"")</f>
      </c>
      <c r="E36" s="296"/>
      <c r="F36" s="297"/>
    </row>
    <row r="37" spans="2:7" s="14" customFormat="1" ht="15.75">
      <c r="B37" s="74" t="s">
        <v>335</v>
      </c>
      <c r="C37" s="620" t="s">
        <v>362</v>
      </c>
      <c r="D37" s="621"/>
      <c r="E37" s="298"/>
      <c r="G37" s="22" t="s">
        <v>47</v>
      </c>
    </row>
    <row r="38" spans="2:7" s="14" customFormat="1" ht="15.75">
      <c r="B38" s="27" t="s">
        <v>336</v>
      </c>
      <c r="C38" s="622"/>
      <c r="D38" s="623"/>
      <c r="E38" s="299"/>
      <c r="G38" s="22"/>
    </row>
    <row r="39" spans="2:7" s="14" customFormat="1" ht="15.75">
      <c r="B39" s="300"/>
      <c r="C39" s="624" t="str">
        <f>CONCATENATE("Nov. 1, ",H1-1," Valuation")</f>
        <v>Nov. 1, 2011 Valuation</v>
      </c>
      <c r="D39" s="625"/>
      <c r="E39" s="298"/>
      <c r="G39" s="22"/>
    </row>
    <row r="40" spans="2:7" s="14" customFormat="1" ht="15.75">
      <c r="B40" s="300" t="s">
        <v>48</v>
      </c>
      <c r="E40" s="19"/>
      <c r="G40" s="22"/>
    </row>
    <row r="41" spans="2:7" s="14" customFormat="1" ht="15.75">
      <c r="B41" s="301" t="s">
        <v>139</v>
      </c>
      <c r="C41" s="301"/>
      <c r="E41" s="298"/>
      <c r="F41" s="19"/>
      <c r="G41" s="19"/>
    </row>
    <row r="42" spans="2:3" s="14" customFormat="1" ht="15.75">
      <c r="B42" s="302"/>
      <c r="C42" s="302"/>
    </row>
    <row r="43" spans="2:7" s="14" customFormat="1" ht="15.75">
      <c r="B43" s="300" t="s">
        <v>383</v>
      </c>
      <c r="E43" s="20" t="s">
        <v>142</v>
      </c>
      <c r="F43" s="20"/>
      <c r="G43" s="20"/>
    </row>
    <row r="44" spans="2:4" s="14" customFormat="1" ht="15.75">
      <c r="B44" s="301" t="s">
        <v>140</v>
      </c>
      <c r="C44" s="301"/>
      <c r="D44" s="22"/>
    </row>
    <row r="45" spans="2:7" s="14" customFormat="1" ht="15.75">
      <c r="B45" s="302" t="s">
        <v>141</v>
      </c>
      <c r="C45" s="302"/>
      <c r="D45" s="22"/>
      <c r="E45" s="82" t="s">
        <v>142</v>
      </c>
      <c r="F45" s="174"/>
      <c r="G45" s="174"/>
    </row>
    <row r="46" spans="2:8" ht="15.75">
      <c r="B46" s="302"/>
      <c r="C46" s="302"/>
      <c r="D46" s="22"/>
      <c r="E46" s="22"/>
      <c r="F46" s="14"/>
      <c r="G46" s="14"/>
      <c r="H46" s="101"/>
    </row>
    <row r="47" spans="2:8" ht="15.75">
      <c r="B47" s="77"/>
      <c r="C47" s="77"/>
      <c r="D47" s="22"/>
      <c r="E47" s="82" t="s">
        <v>142</v>
      </c>
      <c r="F47" s="174"/>
      <c r="G47" s="174"/>
      <c r="H47" s="101"/>
    </row>
    <row r="48" spans="2:8" ht="15.75">
      <c r="B48" s="77"/>
      <c r="C48" s="14"/>
      <c r="D48" s="22"/>
      <c r="E48" s="22"/>
      <c r="F48" s="14"/>
      <c r="G48" s="14"/>
      <c r="H48" s="101"/>
    </row>
    <row r="49" spans="2:8" ht="15.75">
      <c r="B49" s="599" t="s">
        <v>387</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50</v>
      </c>
      <c r="C52" s="14"/>
      <c r="D52" s="14"/>
      <c r="E52" s="644" t="s">
        <v>49</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235</v>
      </c>
      <c r="C56" s="303"/>
      <c r="D56" s="303"/>
      <c r="E56" s="303"/>
      <c r="F56" s="428"/>
      <c r="G56" s="14"/>
    </row>
    <row r="57" spans="2:7" ht="15.75">
      <c r="B57" s="304" t="s">
        <v>236</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1" r:id="rId2"/>
  <headerFooter alignWithMargins="0">
    <oddHeader>&amp;RState of Kansas
Township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SEVEN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317</v>
      </c>
    </row>
    <row r="5" spans="1:10" ht="15.75">
      <c r="A5" s="269" t="s">
        <v>318</v>
      </c>
      <c r="B5" s="14" t="str">
        <f>CONCATENATE("Total Tax Levy Amount in ",J1-1,"")</f>
        <v>Total Tax Levy Amount in 2011</v>
      </c>
      <c r="C5" s="14"/>
      <c r="D5" s="14"/>
      <c r="E5" s="55"/>
      <c r="F5" s="55"/>
      <c r="G5" s="55"/>
      <c r="H5" s="270" t="s">
        <v>250</v>
      </c>
      <c r="I5" s="55" t="s">
        <v>237</v>
      </c>
      <c r="J5" s="271">
        <f>inputPrYr!E25</f>
        <v>5243</v>
      </c>
    </row>
    <row r="6" spans="1:10" ht="15.75">
      <c r="A6" s="269" t="s">
        <v>319</v>
      </c>
      <c r="B6" s="14" t="str">
        <f>CONCATENATE("Debt Service Levy in ",J1-1,"")</f>
        <v>Debt Service Levy in 2011</v>
      </c>
      <c r="C6" s="14"/>
      <c r="D6" s="14"/>
      <c r="E6" s="55"/>
      <c r="F6" s="55"/>
      <c r="G6" s="55"/>
      <c r="H6" s="270" t="s">
        <v>320</v>
      </c>
      <c r="I6" s="55" t="s">
        <v>237</v>
      </c>
      <c r="J6" s="272">
        <f>inputPrYr!E17</f>
        <v>0</v>
      </c>
    </row>
    <row r="7" spans="1:10" ht="15.75">
      <c r="A7" s="269" t="s">
        <v>321</v>
      </c>
      <c r="B7" s="17" t="s">
        <v>345</v>
      </c>
      <c r="C7" s="14"/>
      <c r="D7" s="14"/>
      <c r="E7" s="55"/>
      <c r="F7" s="55"/>
      <c r="G7" s="55"/>
      <c r="H7" s="55"/>
      <c r="I7" s="55" t="s">
        <v>237</v>
      </c>
      <c r="J7" s="273">
        <f>J5-J6</f>
        <v>5243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322</v>
      </c>
      <c r="B11" s="17" t="str">
        <f>CONCATENATE("New Improvements for ",J1-1,":")</f>
        <v>New Improvements for 2011:</v>
      </c>
      <c r="C11" s="14"/>
      <c r="D11" s="14"/>
      <c r="E11" s="270"/>
      <c r="F11" s="270" t="s">
        <v>250</v>
      </c>
      <c r="G11" s="271">
        <f>inputOth!E8</f>
        <v>27866</v>
      </c>
      <c r="H11" s="53"/>
      <c r="I11" s="55"/>
      <c r="J11" s="55"/>
    </row>
    <row r="12" spans="1:10" ht="15.75">
      <c r="A12" s="269"/>
      <c r="B12" s="269"/>
      <c r="C12" s="14"/>
      <c r="D12" s="14"/>
      <c r="E12" s="270"/>
      <c r="F12" s="270"/>
      <c r="G12" s="53"/>
      <c r="H12" s="53"/>
      <c r="I12" s="55"/>
      <c r="J12" s="55"/>
    </row>
    <row r="13" spans="1:10" ht="15.75">
      <c r="A13" s="269" t="s">
        <v>323</v>
      </c>
      <c r="B13" s="17" t="str">
        <f>CONCATENATE("Increase in Personal Property for ",J1-1,":")</f>
        <v>Increase in Personal Property for 2011:</v>
      </c>
      <c r="C13" s="14"/>
      <c r="D13" s="14"/>
      <c r="E13" s="270"/>
      <c r="F13" s="270"/>
      <c r="G13" s="53"/>
      <c r="H13" s="53"/>
      <c r="I13" s="55"/>
      <c r="J13" s="55"/>
    </row>
    <row r="14" spans="1:10" ht="15.75">
      <c r="A14" s="14"/>
      <c r="B14" s="14" t="s">
        <v>324</v>
      </c>
      <c r="C14" s="14" t="str">
        <f>CONCATENATE("Personal Property ",J1-1,"")</f>
        <v>Personal Property 2011</v>
      </c>
      <c r="D14" s="269" t="s">
        <v>250</v>
      </c>
      <c r="E14" s="271">
        <f>inputOth!E9</f>
        <v>79333</v>
      </c>
      <c r="F14" s="270"/>
      <c r="G14" s="55"/>
      <c r="H14" s="55"/>
      <c r="I14" s="53"/>
      <c r="J14" s="55"/>
    </row>
    <row r="15" spans="1:10" ht="15.75">
      <c r="A15" s="269"/>
      <c r="B15" s="14" t="s">
        <v>325</v>
      </c>
      <c r="C15" s="14" t="str">
        <f>CONCATENATE("Personal Property ",J1-2,"")</f>
        <v>Personal Property 2010</v>
      </c>
      <c r="D15" s="269" t="s">
        <v>320</v>
      </c>
      <c r="E15" s="273">
        <f>inputOth!E11</f>
        <v>233890</v>
      </c>
      <c r="F15" s="270"/>
      <c r="G15" s="53"/>
      <c r="H15" s="53"/>
      <c r="I15" s="55"/>
      <c r="J15" s="55"/>
    </row>
    <row r="16" spans="1:10" ht="15.75">
      <c r="A16" s="269"/>
      <c r="B16" s="14" t="s">
        <v>326</v>
      </c>
      <c r="C16" s="14" t="s">
        <v>346</v>
      </c>
      <c r="D16" s="14"/>
      <c r="E16" s="55"/>
      <c r="F16" s="55" t="s">
        <v>250</v>
      </c>
      <c r="G16" s="271">
        <f>IF(E14&gt;E15,E14-E15,0)</f>
        <v>0</v>
      </c>
      <c r="H16" s="53"/>
      <c r="I16" s="55"/>
      <c r="J16" s="55"/>
    </row>
    <row r="17" spans="1:10" ht="15.75">
      <c r="A17" s="269"/>
      <c r="B17" s="269"/>
      <c r="C17" s="14"/>
      <c r="D17" s="14"/>
      <c r="E17" s="55"/>
      <c r="F17" s="55"/>
      <c r="G17" s="53" t="s">
        <v>334</v>
      </c>
      <c r="H17" s="53"/>
      <c r="I17" s="55"/>
      <c r="J17" s="55"/>
    </row>
    <row r="18" spans="1:10" ht="15.75">
      <c r="A18" s="269" t="s">
        <v>327</v>
      </c>
      <c r="B18" s="17" t="str">
        <f>CONCATENATE("Valuation of Property that Changed in Use during ",J1-1,":")</f>
        <v>Valuation of Property that Changed in Use during 2011:</v>
      </c>
      <c r="C18" s="14"/>
      <c r="D18" s="14"/>
      <c r="E18" s="55"/>
      <c r="F18" s="270" t="s">
        <v>250</v>
      </c>
      <c r="G18" s="271">
        <f>inputOth!E10</f>
        <v>26927</v>
      </c>
      <c r="H18" s="55"/>
      <c r="I18" s="55"/>
      <c r="J18" s="55"/>
    </row>
    <row r="19" spans="1:10" ht="15.75">
      <c r="A19" s="14" t="s">
        <v>34</v>
      </c>
      <c r="B19" s="14"/>
      <c r="C19" s="14"/>
      <c r="D19" s="269"/>
      <c r="E19" s="53"/>
      <c r="F19" s="53"/>
      <c r="G19" s="53"/>
      <c r="H19" s="55"/>
      <c r="I19" s="55"/>
      <c r="J19" s="55"/>
    </row>
    <row r="20" spans="1:10" ht="15.75">
      <c r="A20" s="269" t="s">
        <v>328</v>
      </c>
      <c r="B20" s="17" t="s">
        <v>347</v>
      </c>
      <c r="C20" s="14"/>
      <c r="D20" s="14"/>
      <c r="E20" s="55"/>
      <c r="F20" s="55"/>
      <c r="G20" s="271">
        <f>G11+G16+G18</f>
        <v>54793</v>
      </c>
      <c r="H20" s="53"/>
      <c r="I20" s="55"/>
      <c r="J20" s="55"/>
    </row>
    <row r="21" spans="1:10" ht="15.75">
      <c r="A21" s="269"/>
      <c r="B21" s="269"/>
      <c r="C21" s="17"/>
      <c r="D21" s="14"/>
      <c r="E21" s="55"/>
      <c r="F21" s="55"/>
      <c r="G21" s="53"/>
      <c r="H21" s="53"/>
      <c r="I21" s="55"/>
      <c r="J21" s="55"/>
    </row>
    <row r="22" spans="1:10" ht="15.75">
      <c r="A22" s="269" t="s">
        <v>329</v>
      </c>
      <c r="B22" s="14" t="str">
        <f>CONCATENATE("Total Estimated Valuation July 1,",J1-1,"")</f>
        <v>Total Estimated Valuation July 1,2011</v>
      </c>
      <c r="C22" s="14"/>
      <c r="D22" s="14"/>
      <c r="E22" s="271">
        <f>inputOth!E7</f>
        <v>3588326</v>
      </c>
      <c r="F22" s="55"/>
      <c r="G22" s="55"/>
      <c r="H22" s="55"/>
      <c r="I22" s="270"/>
      <c r="J22" s="55"/>
    </row>
    <row r="23" spans="1:10" ht="15.75">
      <c r="A23" s="269"/>
      <c r="B23" s="269"/>
      <c r="C23" s="14"/>
      <c r="D23" s="14"/>
      <c r="E23" s="53"/>
      <c r="F23" s="55"/>
      <c r="G23" s="55"/>
      <c r="H23" s="55"/>
      <c r="I23" s="270"/>
      <c r="J23" s="55"/>
    </row>
    <row r="24" spans="1:10" ht="15.75">
      <c r="A24" s="269" t="s">
        <v>330</v>
      </c>
      <c r="B24" s="17" t="s">
        <v>348</v>
      </c>
      <c r="C24" s="14"/>
      <c r="D24" s="14"/>
      <c r="E24" s="55"/>
      <c r="F24" s="55"/>
      <c r="G24" s="271">
        <f>E22-G20</f>
        <v>3533533</v>
      </c>
      <c r="H24" s="53"/>
      <c r="I24" s="270"/>
      <c r="J24" s="55"/>
    </row>
    <row r="25" spans="1:10" ht="15.75">
      <c r="A25" s="269"/>
      <c r="B25" s="269"/>
      <c r="C25" s="17"/>
      <c r="D25" s="14"/>
      <c r="E25" s="14"/>
      <c r="F25" s="14"/>
      <c r="G25" s="274"/>
      <c r="H25" s="19"/>
      <c r="I25" s="269"/>
      <c r="J25" s="14"/>
    </row>
    <row r="26" spans="1:10" ht="15.75">
      <c r="A26" s="269" t="s">
        <v>331</v>
      </c>
      <c r="B26" s="14" t="s">
        <v>349</v>
      </c>
      <c r="C26" s="14"/>
      <c r="D26" s="14"/>
      <c r="E26" s="14"/>
      <c r="F26" s="14"/>
      <c r="G26" s="275">
        <f>IF(G20&gt;0,G20/G24,0)</f>
        <v>0.01550657656232445</v>
      </c>
      <c r="H26" s="19"/>
      <c r="I26" s="14"/>
      <c r="J26" s="14"/>
    </row>
    <row r="27" spans="1:10" ht="15.75">
      <c r="A27" s="269"/>
      <c r="B27" s="269"/>
      <c r="C27" s="14"/>
      <c r="D27" s="14"/>
      <c r="E27" s="14"/>
      <c r="F27" s="14"/>
      <c r="G27" s="19"/>
      <c r="H27" s="19"/>
      <c r="I27" s="14"/>
      <c r="J27" s="14"/>
    </row>
    <row r="28" spans="1:10" ht="15.75">
      <c r="A28" s="269" t="s">
        <v>332</v>
      </c>
      <c r="B28" s="14" t="s">
        <v>350</v>
      </c>
      <c r="C28" s="14"/>
      <c r="D28" s="14"/>
      <c r="E28" s="14"/>
      <c r="F28" s="14"/>
      <c r="G28" s="19"/>
      <c r="H28" s="276" t="s">
        <v>250</v>
      </c>
      <c r="I28" s="14" t="s">
        <v>237</v>
      </c>
      <c r="J28" s="271">
        <f>ROUND(G26*J7,0)</f>
        <v>81</v>
      </c>
    </row>
    <row r="29" spans="1:10" ht="15.75">
      <c r="A29" s="269"/>
      <c r="B29" s="269"/>
      <c r="C29" s="14"/>
      <c r="D29" s="14"/>
      <c r="E29" s="14"/>
      <c r="F29" s="14"/>
      <c r="G29" s="19"/>
      <c r="H29" s="276"/>
      <c r="I29" s="14"/>
      <c r="J29" s="53"/>
    </row>
    <row r="30" spans="1:10" ht="16.5" thickBot="1">
      <c r="A30" s="269" t="s">
        <v>333</v>
      </c>
      <c r="B30" s="17" t="s">
        <v>354</v>
      </c>
      <c r="C30" s="14"/>
      <c r="D30" s="14"/>
      <c r="E30" s="14"/>
      <c r="F30" s="14"/>
      <c r="G30" s="14"/>
      <c r="H30" s="14"/>
      <c r="I30" s="14" t="s">
        <v>237</v>
      </c>
      <c r="J30" s="277">
        <f>J7+J28</f>
        <v>5324</v>
      </c>
    </row>
    <row r="31" spans="1:10" ht="16.5" thickTop="1">
      <c r="A31" s="14"/>
      <c r="B31" s="14"/>
      <c r="C31" s="14"/>
      <c r="D31" s="14"/>
      <c r="E31" s="14"/>
      <c r="F31" s="14"/>
      <c r="G31" s="14"/>
      <c r="H31" s="14"/>
      <c r="I31" s="14"/>
      <c r="J31" s="14"/>
    </row>
    <row r="32" spans="1:10" ht="15.75">
      <c r="A32" s="269" t="s">
        <v>352</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353</v>
      </c>
      <c r="B34" s="17" t="s">
        <v>355</v>
      </c>
      <c r="C34" s="14"/>
      <c r="D34" s="14"/>
      <c r="E34" s="14"/>
      <c r="F34" s="14"/>
      <c r="G34" s="14"/>
      <c r="H34" s="14"/>
      <c r="I34" s="14"/>
      <c r="J34" s="277">
        <f>J30+J32</f>
        <v>5324</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351</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SEVEN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473</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315</v>
      </c>
      <c r="H10" s="26"/>
      <c r="I10" s="26" t="s">
        <v>316</v>
      </c>
      <c r="J10" s="167" t="s">
        <v>359</v>
      </c>
      <c r="K10" s="167" t="s">
        <v>401</v>
      </c>
      <c r="L10" s="111"/>
    </row>
    <row r="11" spans="2:12" ht="15.75">
      <c r="B11" s="96" t="str">
        <f>inputPrYr!B16</f>
        <v>General</v>
      </c>
      <c r="C11" s="252"/>
      <c r="D11" s="96">
        <f>IF(inputPrYr!E16&gt;0,inputPrYr!E16,"  ")</f>
        <v>5243</v>
      </c>
      <c r="E11" s="253">
        <f>IF(inputOth!D17&gt;0,inputOth!D17,"  ")</f>
        <v>1.397</v>
      </c>
      <c r="F11" s="254"/>
      <c r="G11" s="96">
        <f>IF(inputPrYr!E16=0,0,G22-SUM(G12:G19))</f>
        <v>461</v>
      </c>
      <c r="H11" s="255"/>
      <c r="I11" s="96">
        <f>IF(inputPrYr!E16=0,0,I24-SUM(I12:I19))</f>
        <v>29</v>
      </c>
      <c r="J11" s="96">
        <f>IF(inputPrYr!E16=0,0,J26-SUM(J12:J19))</f>
        <v>25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32</v>
      </c>
      <c r="C20" s="257"/>
      <c r="D20" s="258">
        <f>SUM(D11:D19)</f>
        <v>5243</v>
      </c>
      <c r="E20" s="259">
        <f>SUM(E11:E19)</f>
        <v>1.397</v>
      </c>
      <c r="F20" s="260"/>
      <c r="G20" s="258">
        <f>SUM(G11:G19)</f>
        <v>461</v>
      </c>
      <c r="H20" s="258"/>
      <c r="I20" s="258">
        <f>SUM(I11:I19)</f>
        <v>29</v>
      </c>
      <c r="J20" s="258">
        <f>SUM(J11:J19)</f>
        <v>25</v>
      </c>
      <c r="K20" s="258">
        <f>SUM(K11:K19)</f>
        <v>0</v>
      </c>
      <c r="L20" s="261" t="e">
        <f>SUM(L11:L19)</f>
        <v>#REF!</v>
      </c>
    </row>
    <row r="21" spans="2:12" ht="16.5" thickTop="1">
      <c r="B21" s="14"/>
      <c r="C21" s="14"/>
      <c r="D21" s="14"/>
      <c r="E21" s="14"/>
      <c r="F21" s="14"/>
      <c r="G21" s="14"/>
      <c r="H21" s="14"/>
      <c r="I21" s="14"/>
      <c r="J21" s="14"/>
      <c r="K21" s="14"/>
      <c r="L21" s="101"/>
    </row>
    <row r="22" spans="2:12" ht="15.75">
      <c r="B22" s="22" t="s">
        <v>240</v>
      </c>
      <c r="C22" s="62"/>
      <c r="D22" s="14"/>
      <c r="E22" s="14"/>
      <c r="F22" s="14"/>
      <c r="G22" s="90">
        <f>inputOth!E31</f>
        <v>461</v>
      </c>
      <c r="H22" s="14"/>
      <c r="I22" s="14"/>
      <c r="J22" s="14"/>
      <c r="K22" s="14"/>
      <c r="L22" s="101"/>
    </row>
    <row r="23" spans="2:12" ht="15.75">
      <c r="B23" s="14"/>
      <c r="C23" s="14"/>
      <c r="D23" s="14"/>
      <c r="E23" s="14"/>
      <c r="F23" s="14"/>
      <c r="G23" s="14"/>
      <c r="H23" s="14"/>
      <c r="I23" s="14"/>
      <c r="J23" s="14"/>
      <c r="K23" s="14"/>
      <c r="L23" s="101"/>
    </row>
    <row r="24" spans="2:12" ht="15.75">
      <c r="B24" s="22" t="s">
        <v>241</v>
      </c>
      <c r="C24" s="14"/>
      <c r="D24" s="14"/>
      <c r="E24" s="14"/>
      <c r="F24" s="14"/>
      <c r="G24" s="14"/>
      <c r="H24" s="90">
        <f>inputPrYr!E73</f>
        <v>0</v>
      </c>
      <c r="I24" s="90">
        <f>inputOth!E32</f>
        <v>29</v>
      </c>
      <c r="J24" s="14"/>
      <c r="K24" s="14"/>
      <c r="L24" s="101"/>
    </row>
    <row r="25" spans="2:12" ht="15.75">
      <c r="B25" s="14"/>
      <c r="C25" s="14"/>
      <c r="D25" s="14"/>
      <c r="E25" s="14"/>
      <c r="F25" s="14"/>
      <c r="G25" s="14"/>
      <c r="H25" s="14"/>
      <c r="I25" s="14"/>
      <c r="J25" s="14"/>
      <c r="K25" s="14"/>
      <c r="L25" s="101"/>
    </row>
    <row r="26" spans="2:12" ht="15.75">
      <c r="B26" s="22" t="s">
        <v>312</v>
      </c>
      <c r="C26" s="14"/>
      <c r="D26" s="14"/>
      <c r="E26" s="14"/>
      <c r="F26" s="14"/>
      <c r="G26" s="14"/>
      <c r="H26" s="14"/>
      <c r="I26" s="14"/>
      <c r="J26" s="90">
        <f>inputOth!E33</f>
        <v>25</v>
      </c>
      <c r="K26" s="24"/>
      <c r="L26" s="101"/>
    </row>
    <row r="27" spans="2:12" ht="15.75">
      <c r="B27" s="14"/>
      <c r="C27" s="14"/>
      <c r="D27" s="14"/>
      <c r="E27" s="14"/>
      <c r="F27" s="14"/>
      <c r="G27" s="14"/>
      <c r="H27" s="14"/>
      <c r="I27" s="14"/>
      <c r="J27" s="14"/>
      <c r="K27" s="14"/>
      <c r="L27" s="101"/>
    </row>
    <row r="28" spans="2:12" ht="15.75">
      <c r="B28" s="14" t="s">
        <v>447</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242</v>
      </c>
      <c r="C30" s="14"/>
      <c r="D30" s="14"/>
      <c r="E30" s="14"/>
      <c r="F30" s="14"/>
      <c r="G30" s="262">
        <f>IF(D20=0,0,G22/D20)</f>
        <v>0.08792675948884227</v>
      </c>
      <c r="H30" s="14"/>
      <c r="I30" s="14"/>
      <c r="J30" s="14"/>
      <c r="K30" s="14"/>
      <c r="L30" s="101"/>
    </row>
    <row r="31" spans="2:12" ht="15.75">
      <c r="B31" s="14"/>
      <c r="C31" s="263"/>
      <c r="D31" s="14"/>
      <c r="E31" s="14"/>
      <c r="F31" s="14"/>
      <c r="G31" s="14"/>
      <c r="H31" s="14"/>
      <c r="I31" s="14"/>
      <c r="J31" s="14"/>
      <c r="K31" s="14"/>
      <c r="L31" s="101"/>
    </row>
    <row r="32" spans="2:12" ht="15.75">
      <c r="B32" s="22" t="s">
        <v>243</v>
      </c>
      <c r="C32" s="14"/>
      <c r="D32" s="14"/>
      <c r="E32" s="14"/>
      <c r="F32" s="14"/>
      <c r="G32" s="14"/>
      <c r="H32" s="264">
        <f>IF(D20=0,0,H24/D20)</f>
        <v>0</v>
      </c>
      <c r="I32" s="265">
        <f>IF(D20=0,0,I24/D20)</f>
        <v>0.005531184436391379</v>
      </c>
      <c r="J32" s="14"/>
      <c r="K32" s="14"/>
      <c r="L32" s="101"/>
    </row>
    <row r="33" spans="2:12" ht="15.75">
      <c r="B33" s="14"/>
      <c r="C33" s="14"/>
      <c r="D33" s="14"/>
      <c r="E33" s="14"/>
      <c r="F33" s="14"/>
      <c r="G33" s="14"/>
      <c r="H33" s="14"/>
      <c r="I33" s="14"/>
      <c r="J33" s="14"/>
      <c r="K33" s="14"/>
      <c r="L33" s="101"/>
    </row>
    <row r="34" spans="2:12" ht="15.75">
      <c r="B34" s="22" t="s">
        <v>314</v>
      </c>
      <c r="C34" s="14"/>
      <c r="D34" s="14"/>
      <c r="E34" s="14"/>
      <c r="F34" s="14"/>
      <c r="G34" s="14"/>
      <c r="H34" s="14"/>
      <c r="I34" s="14"/>
      <c r="J34" s="262">
        <f>IF(D20=0,0,J26/D20)</f>
        <v>0.004768262445164982</v>
      </c>
      <c r="K34" s="266"/>
      <c r="L34" s="101"/>
    </row>
    <row r="35" spans="2:12" ht="15.75">
      <c r="B35" s="101"/>
      <c r="C35" s="101"/>
      <c r="D35" s="101"/>
      <c r="E35" s="101"/>
      <c r="F35" s="101"/>
      <c r="G35" s="101"/>
      <c r="H35" s="101"/>
      <c r="I35" s="101"/>
      <c r="J35" s="101"/>
      <c r="K35" s="101"/>
      <c r="L35" s="101"/>
    </row>
    <row r="36" spans="2:12" ht="15.75">
      <c r="B36" s="101" t="s">
        <v>448</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SEVEN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410</v>
      </c>
      <c r="B5" s="646"/>
      <c r="C5" s="646"/>
      <c r="D5" s="646"/>
      <c r="E5" s="646"/>
      <c r="F5" s="646"/>
    </row>
    <row r="6" spans="1:6" ht="14.25" customHeight="1">
      <c r="A6" s="136"/>
      <c r="B6" s="230"/>
      <c r="C6" s="230"/>
      <c r="D6" s="230"/>
      <c r="E6" s="230"/>
      <c r="F6" s="230"/>
    </row>
    <row r="7" spans="1:6" ht="15" customHeight="1">
      <c r="A7" s="231" t="s">
        <v>40</v>
      </c>
      <c r="B7" s="231" t="s">
        <v>821</v>
      </c>
      <c r="C7" s="232" t="s">
        <v>266</v>
      </c>
      <c r="D7" s="232" t="s">
        <v>411</v>
      </c>
      <c r="E7" s="231" t="s">
        <v>412</v>
      </c>
      <c r="F7" s="231" t="s">
        <v>413</v>
      </c>
    </row>
    <row r="8" spans="1:6" ht="15" customHeight="1">
      <c r="A8" s="233" t="s">
        <v>822</v>
      </c>
      <c r="B8" s="233" t="s">
        <v>823</v>
      </c>
      <c r="C8" s="234" t="s">
        <v>414</v>
      </c>
      <c r="D8" s="234" t="s">
        <v>414</v>
      </c>
      <c r="E8" s="234" t="s">
        <v>414</v>
      </c>
      <c r="F8" s="234" t="s">
        <v>415</v>
      </c>
    </row>
    <row r="9" spans="1:6" s="237" customFormat="1" ht="15" customHeight="1" thickBot="1">
      <c r="A9" s="235" t="s">
        <v>416</v>
      </c>
      <c r="B9" s="236" t="s">
        <v>417</v>
      </c>
      <c r="C9" s="236">
        <f>F1-2</f>
        <v>2010</v>
      </c>
      <c r="D9" s="236">
        <f>F1-1</f>
        <v>2011</v>
      </c>
      <c r="E9" s="236">
        <f>F1</f>
        <v>2012</v>
      </c>
      <c r="F9" s="236" t="s">
        <v>27</v>
      </c>
    </row>
    <row r="10" spans="1:6" ht="15" customHeight="1" thickTop="1">
      <c r="A10" s="238"/>
      <c r="B10" s="238"/>
      <c r="C10" s="239"/>
      <c r="D10" s="239"/>
      <c r="E10" s="239"/>
      <c r="F10" s="238"/>
    </row>
    <row r="11" spans="1:6" ht="15" customHeight="1">
      <c r="A11" s="84" t="s">
        <v>5</v>
      </c>
      <c r="B11" s="84" t="s">
        <v>44</v>
      </c>
      <c r="C11" s="240">
        <f>gen!$C$43</f>
        <v>0</v>
      </c>
      <c r="D11" s="240">
        <f>gen!$D$43</f>
        <v>0</v>
      </c>
      <c r="E11" s="240">
        <f>gen!$E$43</f>
        <v>0</v>
      </c>
      <c r="F11" s="84">
        <f>IF(C11+D11+E11&gt;0,"80-1406b","")</f>
      </c>
    </row>
    <row r="12" spans="1:6" ht="15" customHeight="1">
      <c r="A12" s="84" t="s">
        <v>5</v>
      </c>
      <c r="B12" s="84" t="s">
        <v>44</v>
      </c>
      <c r="C12" s="240">
        <f>gen!$C$45</f>
        <v>0</v>
      </c>
      <c r="D12" s="240">
        <f>gen!$D$45</f>
        <v>0</v>
      </c>
      <c r="E12" s="240">
        <f>gen!$E$45</f>
        <v>0</v>
      </c>
      <c r="F12" s="84">
        <f>IF(C12+D12+E12&gt;0,"80-122","")</f>
      </c>
    </row>
    <row r="13" spans="1:6" ht="15" customHeight="1">
      <c r="A13" s="84" t="s">
        <v>31</v>
      </c>
      <c r="B13" s="84" t="s">
        <v>44</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32</v>
      </c>
      <c r="C27" s="245">
        <f>SUM(C10:C26)</f>
        <v>0</v>
      </c>
      <c r="D27" s="245">
        <f>SUM(D10:D26)</f>
        <v>0</v>
      </c>
      <c r="E27" s="245">
        <f>SUM(E10:E26)</f>
        <v>0</v>
      </c>
      <c r="F27" s="140"/>
    </row>
    <row r="28" spans="1:6" ht="15.75">
      <c r="A28" s="140"/>
      <c r="B28" s="244" t="s">
        <v>820</v>
      </c>
      <c r="C28" s="140"/>
      <c r="D28" s="241"/>
      <c r="E28" s="241"/>
      <c r="F28" s="140"/>
    </row>
    <row r="29" spans="1:6" ht="15.75">
      <c r="A29" s="140"/>
      <c r="B29" s="192" t="s">
        <v>418</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824</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553</v>
      </c>
    </row>
    <row r="2" ht="15.75">
      <c r="A2" s="91"/>
    </row>
    <row r="3" ht="51" customHeight="1">
      <c r="A3" s="433" t="s">
        <v>523</v>
      </c>
    </row>
    <row r="4" ht="17.25" customHeight="1">
      <c r="A4" s="433"/>
    </row>
    <row r="5" ht="15.75">
      <c r="A5" s="91"/>
    </row>
    <row r="6" ht="52.5" customHeight="1">
      <c r="A6" s="176" t="s">
        <v>128</v>
      </c>
    </row>
    <row r="7" ht="15.75">
      <c r="A7" s="91"/>
    </row>
    <row r="8" ht="15.75">
      <c r="A8" s="91"/>
    </row>
    <row r="9" ht="70.5" customHeight="1">
      <c r="A9" s="176" t="s">
        <v>129</v>
      </c>
    </row>
    <row r="10" ht="15.75">
      <c r="A10" s="177"/>
    </row>
    <row r="11" ht="15.75">
      <c r="A11" s="177"/>
    </row>
    <row r="12" ht="63">
      <c r="A12" s="532" t="s">
        <v>524</v>
      </c>
    </row>
    <row r="13" ht="15.75">
      <c r="A13" s="177"/>
    </row>
    <row r="14" ht="15.75">
      <c r="A14" s="177"/>
    </row>
    <row r="15" ht="63">
      <c r="A15" s="532" t="s">
        <v>525</v>
      </c>
    </row>
    <row r="16" ht="15.75">
      <c r="A16" s="177"/>
    </row>
    <row r="17" ht="15.75">
      <c r="A17" s="91"/>
    </row>
    <row r="18" ht="56.25" customHeight="1">
      <c r="A18" s="176" t="s">
        <v>130</v>
      </c>
    </row>
    <row r="19" ht="15.75">
      <c r="A19" s="177"/>
    </row>
    <row r="20" ht="15.75">
      <c r="A20" s="177"/>
    </row>
    <row r="21" ht="87.75" customHeight="1">
      <c r="A21" s="176" t="s">
        <v>131</v>
      </c>
    </row>
    <row r="22" ht="15.75">
      <c r="A22" s="177"/>
    </row>
    <row r="23" ht="15.75">
      <c r="A23" s="91"/>
    </row>
    <row r="24" ht="54.75" customHeight="1">
      <c r="A24" s="176" t="s">
        <v>132</v>
      </c>
    </row>
    <row r="25" ht="15.75">
      <c r="A25" s="91"/>
    </row>
    <row r="26" ht="15.75">
      <c r="A26" s="91"/>
    </row>
    <row r="27" ht="69" customHeight="1">
      <c r="A27" s="176" t="s">
        <v>133</v>
      </c>
    </row>
    <row r="28" ht="15.75">
      <c r="A28" s="91"/>
    </row>
    <row r="29" ht="15.75">
      <c r="A29" s="226"/>
    </row>
    <row r="30" ht="47.25" customHeight="1">
      <c r="A30" s="227" t="s">
        <v>134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Your User Name</cp:lastModifiedBy>
  <cp:lastPrinted>2011-07-18T19:02:46Z</cp:lastPrinted>
  <dcterms:created xsi:type="dcterms:W3CDTF">1998-08-26T16:30:41Z</dcterms:created>
  <dcterms:modified xsi:type="dcterms:W3CDTF">2011-11-23T23:10:40Z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